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1" sheetId="1" r:id="rId1"/>
  </sheets>
  <definedNames>
    <definedName name="_xlnm.Print_Area" localSheetId="0">'T-2.1'!$A$1:$Y$27</definedName>
  </definedNames>
  <calcPr calcId="124519"/>
</workbook>
</file>

<file path=xl/calcChain.xml><?xml version="1.0" encoding="utf-8"?>
<calcChain xmlns="http://schemas.openxmlformats.org/spreadsheetml/2006/main">
  <c r="R22" i="1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H21" s="1"/>
  <c r="I21"/>
  <c r="G21" s="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H16" s="1"/>
  <c r="I16"/>
  <c r="G16" s="1"/>
  <c r="Q15"/>
  <c r="P15"/>
  <c r="O15"/>
  <c r="M15"/>
  <c r="L15"/>
  <c r="K15"/>
  <c r="G15" s="1"/>
  <c r="I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H13" s="1"/>
  <c r="I13"/>
  <c r="G13" s="1"/>
  <c r="R12"/>
  <c r="Q12"/>
  <c r="P12"/>
  <c r="O12"/>
  <c r="N12"/>
  <c r="M12"/>
  <c r="L12"/>
  <c r="K12"/>
  <c r="J12"/>
  <c r="H12" s="1"/>
  <c r="I12"/>
  <c r="G12" s="1"/>
  <c r="R11"/>
  <c r="Q11"/>
  <c r="P11"/>
  <c r="O11"/>
  <c r="N11"/>
  <c r="M11"/>
  <c r="L11"/>
  <c r="K11"/>
  <c r="J11"/>
  <c r="I11"/>
  <c r="H11"/>
  <c r="G11"/>
  <c r="R10"/>
  <c r="Q10"/>
  <c r="P10"/>
  <c r="O10"/>
  <c r="N10"/>
  <c r="M10"/>
  <c r="L10"/>
  <c r="K10"/>
  <c r="J10"/>
  <c r="I10"/>
  <c r="H10"/>
  <c r="G10"/>
  <c r="R9"/>
  <c r="Q9"/>
  <c r="P9"/>
  <c r="O9"/>
  <c r="N9"/>
  <c r="M9"/>
  <c r="L9"/>
  <c r="K9"/>
  <c r="J9"/>
  <c r="I9"/>
  <c r="H9"/>
  <c r="G9"/>
  <c r="R8"/>
  <c r="Q8"/>
  <c r="P8"/>
  <c r="O8"/>
  <c r="N8"/>
  <c r="M8"/>
  <c r="L8"/>
  <c r="K8"/>
  <c r="J8"/>
  <c r="I8"/>
  <c r="H8"/>
  <c r="G8"/>
</calcChain>
</file>

<file path=xl/sharedStrings.xml><?xml version="1.0" encoding="utf-8"?>
<sst xmlns="http://schemas.openxmlformats.org/spreadsheetml/2006/main" count="85" uniqueCount="63">
  <si>
    <t xml:space="preserve">ตาราง    </t>
  </si>
  <si>
    <t>ประชากรอายุ 15 ปีขึ้นไป จำแนกตามสถานภาพแรงงาน และเพศ เป็นรายภาค พ.ศ. 2558</t>
  </si>
  <si>
    <t>Table</t>
  </si>
  <si>
    <t>Population Aged 15 Years and Over by Labour Force Status, Sex and Region: 2015</t>
  </si>
  <si>
    <t>(หน่วยเป็นพัน  In thousands)</t>
  </si>
  <si>
    <t>สถานภาพแรงงาน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</si>
  <si>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</si>
  <si>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</si>
  <si>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</si>
  <si>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</si>
  <si>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>ภาคตะวันออกเฉียงเหนือ</t>
  </si>
  <si>
    <t xml:space="preserve">ภาคใต้      </t>
  </si>
  <si>
    <t>Labour force status</t>
  </si>
  <si>
    <t>Whole Kingdom</t>
  </si>
  <si>
    <t xml:space="preserve"> Bangkok</t>
  </si>
  <si>
    <t>Central region</t>
  </si>
  <si>
    <t>Northern region</t>
  </si>
  <si>
    <t>Northeastern region</t>
  </si>
  <si>
    <t>Southern region</t>
  </si>
  <si>
    <t>ชาย</t>
  </si>
  <si>
    <t>หญิง</t>
  </si>
  <si>
    <t>Male</t>
  </si>
  <si>
    <t>Female</t>
  </si>
  <si>
    <t>รวมยอด</t>
  </si>
  <si>
    <t>Total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</si>
  <si>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</si>
  <si>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</si>
  <si>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</si>
  <si>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</si>
  <si>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</si>
  <si>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</si>
  <si>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1.1.1  ทำงาน</t>
  </si>
  <si>
    <t>1.1.1  At work</t>
  </si>
  <si>
    <t>1.1.2  ไม่ทำงานแต่มีงานประจำ</t>
  </si>
  <si>
    <t>1.1.2  With job but not at work</t>
  </si>
  <si>
    <t>1.2  ผู้ว่างงาน</t>
  </si>
  <si>
    <t>1.2  Unemployed</t>
  </si>
  <si>
    <t>1.2.1  หางานทำ</t>
  </si>
  <si>
    <t>--</t>
  </si>
  <si>
    <t>1.2.1  Looking for work</t>
  </si>
  <si>
    <t>1.2.2  ไม่หางานทำแต่พร้อมที่จะทำงาน</t>
  </si>
  <si>
    <t>1.2.2  Not looking but available for work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</si>
  <si>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</si>
  <si>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</si>
  <si>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</si>
  <si>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</si>
  <si>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</si>
  <si>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</si>
  <si>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</si>
  <si>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</si>
  <si>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ยังเล็ก ชรา/ไม่สามารถทำงานได้</t>
  </si>
  <si>
    <t>3. Too young/old/incapable of work</t>
  </si>
  <si>
    <t>4. อื่น ๆ</t>
  </si>
  <si>
    <t>4. Others</t>
  </si>
  <si>
    <t xml:space="preserve"> หมายเหตุ:</t>
  </si>
  <si>
    <t xml:space="preserve"> ข้อมูลเป็นค่าเฉลี่ยของ 4 ไตรมาส</t>
  </si>
  <si>
    <t xml:space="preserve">     Note:</t>
  </si>
  <si>
    <t>The data is the average of four quarters.</t>
  </si>
  <si>
    <t>ที่มา:</t>
  </si>
  <si>
    <t xml:space="preserve"> การสำรวจภาวะการทำงานของประชากร พ.ศ. 2558 สำนักงานสถิติแห่งชาติ</t>
  </si>
  <si>
    <t xml:space="preserve">  Source:</t>
  </si>
  <si>
    <t>The Labour Force Survey:2015, National Statistical Office</t>
  </si>
  <si>
    <t>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</si>
</sst>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\ \ 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10" xfId="0" applyNumberFormat="1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187" fontId="5" fillId="0" borderId="5" xfId="0" applyNumberFormat="1" applyFont="1" applyBorder="1"/>
    <xf numFmtId="187" fontId="5" fillId="0" borderId="8" xfId="0" applyNumberFormat="1" applyFont="1" applyBorder="1"/>
    <xf numFmtId="187" fontId="5" fillId="0" borderId="0" xfId="0" applyNumberFormat="1" applyFont="1"/>
    <xf numFmtId="0" fontId="5" fillId="0" borderId="8" xfId="0" applyFont="1" applyBorder="1"/>
    <xf numFmtId="0" fontId="5" fillId="0" borderId="0" xfId="0" applyFont="1" applyBorder="1"/>
    <xf numFmtId="187" fontId="4" fillId="0" borderId="10" xfId="0" applyNumberFormat="1" applyFont="1" applyBorder="1"/>
    <xf numFmtId="187" fontId="4" fillId="0" borderId="5" xfId="0" applyNumberFormat="1" applyFont="1" applyBorder="1"/>
    <xf numFmtId="187" fontId="4" fillId="0" borderId="8" xfId="0" applyNumberFormat="1" applyFont="1" applyBorder="1"/>
    <xf numFmtId="187" fontId="4" fillId="0" borderId="0" xfId="0" applyNumberFormat="1" applyFont="1"/>
    <xf numFmtId="0" fontId="4" fillId="0" borderId="8" xfId="0" applyFont="1" applyBorder="1"/>
    <xf numFmtId="187" fontId="4" fillId="0" borderId="10" xfId="0" quotePrefix="1" applyNumberFormat="1" applyFont="1" applyBorder="1" applyAlignment="1">
      <alignment horizontal="right" indent="1"/>
    </xf>
    <xf numFmtId="187" fontId="4" fillId="0" borderId="0" xfId="0" quotePrefix="1" applyNumberFormat="1" applyFont="1" applyAlignment="1">
      <alignment horizontal="right" indent="1"/>
    </xf>
    <xf numFmtId="0" fontId="4" fillId="0" borderId="1" xfId="0" applyFont="1" applyBorder="1"/>
    <xf numFmtId="187" fontId="4" fillId="0" borderId="11" xfId="0" applyNumberFormat="1" applyFont="1" applyBorder="1"/>
    <xf numFmtId="187" fontId="4" fillId="0" borderId="7" xfId="0" applyNumberFormat="1" applyFont="1" applyBorder="1"/>
    <xf numFmtId="187" fontId="4" fillId="0" borderId="1" xfId="0" applyNumberFormat="1" applyFont="1" applyBorder="1"/>
    <xf numFmtId="187" fontId="4" fillId="0" borderId="6" xfId="0" applyNumberFormat="1" applyFont="1" applyBorder="1"/>
    <xf numFmtId="0" fontId="3" fillId="0" borderId="6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4" fontId="6" fillId="0" borderId="0" xfId="0" applyNumberFormat="1" applyFont="1"/>
  </cellXfs>
  <cellStyles count="53">
    <cellStyle name="เครื่องหมายจุลภาค 2 2 8" xfId="1"/>
    <cellStyle name="เครื่องหมายจุลภาค 2 2 8 10" xfId="2"/>
    <cellStyle name="เครื่องหมายจุลภาค 2 2 8 11" xfId="3"/>
    <cellStyle name="เครื่องหมายจุลภาค 2 2 8 2" xfId="4"/>
    <cellStyle name="เครื่องหมายจุลภาค 2 2 8 3" xfId="5"/>
    <cellStyle name="เครื่องหมายจุลภาค 2 2 8 4" xfId="6"/>
    <cellStyle name="เครื่องหมายจุลภาค 2 2 8 5" xfId="7"/>
    <cellStyle name="เครื่องหมายจุลภาค 2 2 8 6" xfId="8"/>
    <cellStyle name="เครื่องหมายจุลภาค 2 2 8 7" xfId="9"/>
    <cellStyle name="เครื่องหมายจุลภาค 2 2 8 8" xfId="10"/>
    <cellStyle name="เครื่องหมายจุลภาค 2 2 8 9" xfId="11"/>
    <cellStyle name="เครื่องหมายจุลภาค 2 8" xfId="12"/>
    <cellStyle name="เครื่องหมายจุลภาค 2 8 10" xfId="13"/>
    <cellStyle name="เครื่องหมายจุลภาค 2 8 11" xfId="14"/>
    <cellStyle name="เครื่องหมายจุลภาค 2 8 2" xfId="15"/>
    <cellStyle name="เครื่องหมายจุลภาค 2 8 3" xfId="16"/>
    <cellStyle name="เครื่องหมายจุลภาค 2 8 4" xfId="17"/>
    <cellStyle name="เครื่องหมายจุลภาค 2 8 5" xfId="18"/>
    <cellStyle name="เครื่องหมายจุลภาค 2 8 6" xfId="19"/>
    <cellStyle name="เครื่องหมายจุลภาค 2 8 7" xfId="20"/>
    <cellStyle name="เครื่องหมายจุลภาค 2 8 8" xfId="21"/>
    <cellStyle name="เครื่องหมายจุลภาค 2 8 9" xfId="22"/>
    <cellStyle name="ปกติ" xfId="0" builtinId="0"/>
    <cellStyle name="ปกติ 25 10" xfId="23"/>
    <cellStyle name="ปกติ 25 11" xfId="24"/>
    <cellStyle name="ปกติ 25 2" xfId="25"/>
    <cellStyle name="ปกติ 25 3" xfId="26"/>
    <cellStyle name="ปกติ 25 4" xfId="27"/>
    <cellStyle name="ปกติ 25 5" xfId="28"/>
    <cellStyle name="ปกติ 25 6" xfId="29"/>
    <cellStyle name="ปกติ 25 7" xfId="30"/>
    <cellStyle name="ปกติ 25 8" xfId="31"/>
    <cellStyle name="ปกติ 25 9" xfId="32"/>
    <cellStyle name="ปกติ 27 10" xfId="33"/>
    <cellStyle name="ปกติ 27 11" xfId="34"/>
    <cellStyle name="ปกติ 27 2" xfId="35"/>
    <cellStyle name="ปกติ 27 3" xfId="36"/>
    <cellStyle name="ปกติ 27 4" xfId="37"/>
    <cellStyle name="ปกติ 27 5" xfId="38"/>
    <cellStyle name="ปกติ 27 6" xfId="39"/>
    <cellStyle name="ปกติ 27 7" xfId="40"/>
    <cellStyle name="ปกติ 27 8" xfId="41"/>
    <cellStyle name="ปกติ 27 9" xfId="42"/>
    <cellStyle name="ปกติ 9 10" xfId="43"/>
    <cellStyle name="ปกติ 9 11" xfId="44"/>
    <cellStyle name="ปกติ 9 2" xfId="45"/>
    <cellStyle name="ปกติ 9 3" xfId="46"/>
    <cellStyle name="ปกติ 9 4" xfId="47"/>
    <cellStyle name="ปกติ 9 5" xfId="48"/>
    <cellStyle name="ปกติ 9 6" xfId="49"/>
    <cellStyle name="ปกติ 9 7" xfId="50"/>
    <cellStyle name="ปกติ 9 8" xfId="51"/>
    <cellStyle name="ปกติ 9 9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049000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1466850</xdr:colOff>
      <xdr:row>0</xdr:row>
      <xdr:rowOff>190500</xdr:rowOff>
    </xdr:from>
    <xdr:to>
      <xdr:col>25</xdr:col>
      <xdr:colOff>85725</xdr:colOff>
      <xdr:row>26</xdr:row>
      <xdr:rowOff>171450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11015663" y="190500"/>
          <a:ext cx="583406" cy="6410325"/>
          <a:chOff x="989" y="0"/>
          <a:chExt cx="62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3" y="160"/>
            <a:ext cx="50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31"/>
  <sheetViews>
    <sheetView showGridLines="0" tabSelected="1" view="pageBreakPreview" topLeftCell="A4" zoomScale="80" zoomScaleSheetLayoutView="80" workbookViewId="0">
      <selection activeCell="Z33" sqref="Z33"/>
    </sheetView>
  </sheetViews>
  <sheetFormatPr defaultRowHeight="18.75"/>
  <cols>
    <col min="1" max="2" width="1.7109375" style="8" customWidth="1"/>
    <col min="3" max="3" width="2.42578125" style="8" customWidth="1"/>
    <col min="4" max="4" width="1.5703125" style="8" customWidth="1"/>
    <col min="5" max="5" width="5.140625" style="8" customWidth="1"/>
    <col min="6" max="6" width="17.85546875" style="8" customWidth="1"/>
    <col min="7" max="7" width="9.28515625" style="8" customWidth="1"/>
    <col min="8" max="8" width="9.5703125" style="8" customWidth="1"/>
    <col min="9" max="9" width="8.7109375" style="8" bestFit="1" customWidth="1"/>
    <col min="10" max="10" width="9" style="8" customWidth="1"/>
    <col min="11" max="11" width="8.7109375" style="8" customWidth="1"/>
    <col min="12" max="12" width="8.85546875" style="8" customWidth="1"/>
    <col min="13" max="13" width="8.28515625" style="8" customWidth="1"/>
    <col min="14" max="15" width="8.140625" style="8" customWidth="1"/>
    <col min="16" max="17" width="8.28515625" style="8" customWidth="1"/>
    <col min="18" max="18" width="8.4257812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>
      <c r="B1" s="2" t="s">
        <v>0</v>
      </c>
      <c r="C1" s="2"/>
      <c r="D1" s="2"/>
      <c r="E1" s="3">
        <v>2.1</v>
      </c>
      <c r="F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</v>
      </c>
      <c r="C2" s="2"/>
      <c r="D2" s="2"/>
      <c r="E2" s="3">
        <v>2.1</v>
      </c>
      <c r="F2" s="2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>
      <c r="A3" s="6"/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S3" s="9" t="s">
        <v>4</v>
      </c>
      <c r="T3" s="9"/>
      <c r="U3" s="9"/>
      <c r="V3" s="9"/>
      <c r="W3" s="9"/>
    </row>
    <row r="4" spans="1:24" s="18" customFormat="1" ht="33" customHeight="1">
      <c r="A4" s="10" t="s">
        <v>5</v>
      </c>
      <c r="B4" s="10"/>
      <c r="C4" s="10"/>
      <c r="D4" s="10"/>
      <c r="E4" s="10"/>
      <c r="F4" s="11"/>
      <c r="G4" s="12" t="s">
        <v>6</v>
      </c>
      <c r="H4" s="13"/>
      <c r="I4" s="12" t="s">
        <v>7</v>
      </c>
      <c r="J4" s="14"/>
      <c r="K4" s="12" t="s">
        <v>8</v>
      </c>
      <c r="L4" s="14"/>
      <c r="M4" s="12" t="s">
        <v>9</v>
      </c>
      <c r="N4" s="14"/>
      <c r="O4" s="12" t="s">
        <v>10</v>
      </c>
      <c r="P4" s="14"/>
      <c r="Q4" s="12" t="s">
        <v>11</v>
      </c>
      <c r="R4" s="14"/>
      <c r="S4" s="15" t="s">
        <v>12</v>
      </c>
      <c r="T4" s="16"/>
      <c r="U4" s="16"/>
      <c r="V4" s="16"/>
      <c r="W4" s="16"/>
      <c r="X4" s="17"/>
    </row>
    <row r="5" spans="1:24" s="18" customFormat="1" ht="33" customHeight="1">
      <c r="A5" s="19"/>
      <c r="B5" s="19"/>
      <c r="C5" s="19"/>
      <c r="D5" s="19"/>
      <c r="E5" s="19"/>
      <c r="F5" s="20"/>
      <c r="G5" s="21" t="s">
        <v>13</v>
      </c>
      <c r="H5" s="22"/>
      <c r="I5" s="21" t="s">
        <v>14</v>
      </c>
      <c r="J5" s="23"/>
      <c r="K5" s="22" t="s">
        <v>15</v>
      </c>
      <c r="L5" s="22"/>
      <c r="M5" s="21" t="s">
        <v>16</v>
      </c>
      <c r="N5" s="23"/>
      <c r="O5" s="21" t="s">
        <v>17</v>
      </c>
      <c r="P5" s="23"/>
      <c r="Q5" s="21" t="s">
        <v>18</v>
      </c>
      <c r="R5" s="23"/>
      <c r="S5" s="24"/>
      <c r="T5" s="25"/>
      <c r="U5" s="25"/>
      <c r="V5" s="25"/>
      <c r="W5" s="25"/>
    </row>
    <row r="6" spans="1:24" s="18" customFormat="1" ht="20.25" customHeight="1">
      <c r="A6" s="19"/>
      <c r="B6" s="19"/>
      <c r="C6" s="19"/>
      <c r="D6" s="19"/>
      <c r="E6" s="19"/>
      <c r="F6" s="20"/>
      <c r="G6" s="26" t="s">
        <v>19</v>
      </c>
      <c r="H6" s="27" t="s">
        <v>20</v>
      </c>
      <c r="I6" s="28" t="s">
        <v>19</v>
      </c>
      <c r="J6" s="27" t="s">
        <v>20</v>
      </c>
      <c r="K6" s="28" t="s">
        <v>19</v>
      </c>
      <c r="L6" s="29" t="s">
        <v>20</v>
      </c>
      <c r="M6" s="28" t="s">
        <v>19</v>
      </c>
      <c r="N6" s="29" t="s">
        <v>20</v>
      </c>
      <c r="O6" s="26" t="s">
        <v>19</v>
      </c>
      <c r="P6" s="27" t="s">
        <v>20</v>
      </c>
      <c r="Q6" s="26" t="s">
        <v>19</v>
      </c>
      <c r="R6" s="27" t="s">
        <v>20</v>
      </c>
      <c r="S6" s="24"/>
      <c r="T6" s="25"/>
      <c r="U6" s="25"/>
      <c r="V6" s="25"/>
      <c r="W6" s="25"/>
    </row>
    <row r="7" spans="1:24" s="18" customFormat="1" ht="19.5" customHeight="1">
      <c r="A7" s="30"/>
      <c r="B7" s="30"/>
      <c r="C7" s="30"/>
      <c r="D7" s="30"/>
      <c r="E7" s="30"/>
      <c r="F7" s="31"/>
      <c r="G7" s="32" t="s">
        <v>21</v>
      </c>
      <c r="H7" s="33" t="s">
        <v>22</v>
      </c>
      <c r="I7" s="32" t="s">
        <v>21</v>
      </c>
      <c r="J7" s="33" t="s">
        <v>22</v>
      </c>
      <c r="K7" s="32" t="s">
        <v>21</v>
      </c>
      <c r="L7" s="34" t="s">
        <v>22</v>
      </c>
      <c r="M7" s="32" t="s">
        <v>21</v>
      </c>
      <c r="N7" s="33" t="s">
        <v>22</v>
      </c>
      <c r="O7" s="32" t="s">
        <v>21</v>
      </c>
      <c r="P7" s="33" t="s">
        <v>22</v>
      </c>
      <c r="Q7" s="32" t="s">
        <v>21</v>
      </c>
      <c r="R7" s="33" t="s">
        <v>22</v>
      </c>
      <c r="S7" s="35"/>
      <c r="T7" s="36"/>
      <c r="U7" s="36"/>
      <c r="V7" s="36"/>
      <c r="W7" s="36"/>
      <c r="X7" s="17"/>
    </row>
    <row r="8" spans="1:24" s="41" customFormat="1" ht="24" customHeight="1">
      <c r="A8" s="37" t="s">
        <v>23</v>
      </c>
      <c r="B8" s="37"/>
      <c r="C8" s="37"/>
      <c r="D8" s="37"/>
      <c r="E8" s="37"/>
      <c r="F8" s="38"/>
      <c r="G8" s="39">
        <f>SUM(G9,G18)</f>
        <v>26707.156999999999</v>
      </c>
      <c r="H8" s="39">
        <f t="shared" ref="H8:R8" si="0">H18+H9</f>
        <v>28531.303</v>
      </c>
      <c r="I8" s="39">
        <f t="shared" si="0"/>
        <v>3598.7920000000004</v>
      </c>
      <c r="J8" s="39">
        <f t="shared" si="0"/>
        <v>3887.1410000000001</v>
      </c>
      <c r="K8" s="39">
        <f t="shared" si="0"/>
        <v>7874.2809999999999</v>
      </c>
      <c r="L8" s="39">
        <f t="shared" si="0"/>
        <v>8339.616</v>
      </c>
      <c r="M8" s="39">
        <f t="shared" si="0"/>
        <v>4575.3019999999997</v>
      </c>
      <c r="N8" s="39">
        <f t="shared" si="0"/>
        <v>4904.5169999999998</v>
      </c>
      <c r="O8" s="39">
        <f t="shared" si="0"/>
        <v>7146.4660000000003</v>
      </c>
      <c r="P8" s="39">
        <f t="shared" si="0"/>
        <v>7712.3600000000006</v>
      </c>
      <c r="Q8" s="39">
        <f t="shared" si="0"/>
        <v>3512.3160000000003</v>
      </c>
      <c r="R8" s="39">
        <f t="shared" si="0"/>
        <v>3687.6710000000003</v>
      </c>
      <c r="S8" s="40" t="s">
        <v>24</v>
      </c>
      <c r="T8" s="37"/>
      <c r="U8" s="37"/>
      <c r="V8" s="37"/>
      <c r="W8" s="37"/>
      <c r="X8" s="18"/>
    </row>
    <row r="9" spans="1:24" s="41" customFormat="1" ht="21" customHeight="1">
      <c r="A9" s="41" t="s">
        <v>25</v>
      </c>
      <c r="G9" s="39">
        <f>20987074/1000</f>
        <v>20987.074000000001</v>
      </c>
      <c r="H9" s="42">
        <f>17561159/1000</f>
        <v>17561.159</v>
      </c>
      <c r="I9" s="43">
        <f>2828867/1000</f>
        <v>2828.8670000000002</v>
      </c>
      <c r="J9" s="39">
        <f>2522681/1000</f>
        <v>2522.681</v>
      </c>
      <c r="K9" s="42">
        <f>6337590/1000</f>
        <v>6337.59</v>
      </c>
      <c r="L9" s="44">
        <f>5359866/1000</f>
        <v>5359.866</v>
      </c>
      <c r="M9" s="39">
        <f>3516741/1000</f>
        <v>3516.741</v>
      </c>
      <c r="N9" s="44">
        <f>2969579/1000</f>
        <v>2969.5790000000002</v>
      </c>
      <c r="O9" s="43">
        <f>5452785/1000</f>
        <v>5452.7849999999999</v>
      </c>
      <c r="P9" s="39">
        <f>4452176/1000</f>
        <v>4452.1760000000004</v>
      </c>
      <c r="Q9" s="42">
        <f>2851090/1000</f>
        <v>2851.09</v>
      </c>
      <c r="R9" s="44">
        <f>2256857/1000</f>
        <v>2256.857</v>
      </c>
      <c r="S9" s="45" t="s">
        <v>26</v>
      </c>
      <c r="T9" s="46"/>
      <c r="U9" s="17"/>
      <c r="V9" s="17"/>
      <c r="W9" s="17"/>
      <c r="X9" s="17"/>
    </row>
    <row r="10" spans="1:24" s="18" customFormat="1" ht="19.5" customHeight="1">
      <c r="B10" s="18" t="s">
        <v>27</v>
      </c>
      <c r="G10" s="47">
        <f>20879981/1000</f>
        <v>20879.981</v>
      </c>
      <c r="H10" s="48">
        <f>17476750/1000</f>
        <v>17476.75</v>
      </c>
      <c r="I10" s="49">
        <f>2827663/1000</f>
        <v>2827.663</v>
      </c>
      <c r="J10" s="47">
        <f>2521583/1000</f>
        <v>2521.5830000000001</v>
      </c>
      <c r="K10" s="48">
        <f>6318036/1000</f>
        <v>6318.0360000000001</v>
      </c>
      <c r="L10" s="50">
        <f>5350601/1000</f>
        <v>5350.6009999999997</v>
      </c>
      <c r="M10" s="47">
        <f>3493767/1000</f>
        <v>3493.7669999999998</v>
      </c>
      <c r="N10" s="50">
        <f>2952898/1000</f>
        <v>2952.8980000000001</v>
      </c>
      <c r="O10" s="49">
        <f>5394963/1000</f>
        <v>5394.9629999999997</v>
      </c>
      <c r="P10" s="47">
        <f>4398068/1000</f>
        <v>4398.0680000000002</v>
      </c>
      <c r="Q10" s="48">
        <f>2845552/1000</f>
        <v>2845.5520000000001</v>
      </c>
      <c r="R10" s="50">
        <f>2253600/1000</f>
        <v>2253.6</v>
      </c>
      <c r="S10" s="51"/>
      <c r="T10" s="17" t="s">
        <v>28</v>
      </c>
      <c r="U10" s="17"/>
      <c r="V10" s="17"/>
      <c r="W10" s="17"/>
      <c r="X10" s="17"/>
    </row>
    <row r="11" spans="1:24" s="18" customFormat="1" ht="19.5" customHeight="1">
      <c r="C11" s="18" t="s">
        <v>29</v>
      </c>
      <c r="G11" s="47">
        <f>20690009/1000</f>
        <v>20690.008999999998</v>
      </c>
      <c r="H11" s="48">
        <f>17326160/1000</f>
        <v>17326.16</v>
      </c>
      <c r="I11" s="49">
        <f>2798850/1000</f>
        <v>2798.85</v>
      </c>
      <c r="J11" s="47">
        <f>2499245/1000</f>
        <v>2499.2449999999999</v>
      </c>
      <c r="K11" s="48">
        <f>6257046/1000</f>
        <v>6257.0460000000003</v>
      </c>
      <c r="L11" s="50">
        <f>5303132/1000</f>
        <v>5303.1319999999996</v>
      </c>
      <c r="M11" s="47">
        <f>3465576/1000</f>
        <v>3465.576</v>
      </c>
      <c r="N11" s="50">
        <f>2931390/1000</f>
        <v>2931.39</v>
      </c>
      <c r="O11" s="49">
        <f>5352875/1000</f>
        <v>5352.875</v>
      </c>
      <c r="P11" s="47">
        <f>4364971/1000</f>
        <v>4364.9709999999995</v>
      </c>
      <c r="Q11" s="48">
        <f>2815622/1000</f>
        <v>2815.6219999999998</v>
      </c>
      <c r="R11" s="50">
        <f>2227422/1000</f>
        <v>2227.422</v>
      </c>
      <c r="S11" s="51"/>
      <c r="T11" s="17"/>
      <c r="U11" s="17" t="s">
        <v>30</v>
      </c>
      <c r="V11" s="17"/>
      <c r="W11" s="17"/>
      <c r="X11" s="17"/>
    </row>
    <row r="12" spans="1:24" s="18" customFormat="1" ht="19.5" customHeight="1">
      <c r="D12" s="18" t="s">
        <v>31</v>
      </c>
      <c r="G12" s="47">
        <f>(I12+K12+M12+O12+Q12)</f>
        <v>20.422000000000001</v>
      </c>
      <c r="H12" s="47">
        <f>(J12+L12+N12+P12+R12)</f>
        <v>17.139000000000003</v>
      </c>
      <c r="I12" s="47">
        <f>2786/1000</f>
        <v>2.786</v>
      </c>
      <c r="J12" s="47">
        <f>2490/1000</f>
        <v>2.4900000000000002</v>
      </c>
      <c r="K12" s="47">
        <f>6223/1000</f>
        <v>6.2229999999999999</v>
      </c>
      <c r="L12" s="47">
        <f>5275/1000</f>
        <v>5.2750000000000004</v>
      </c>
      <c r="M12" s="47">
        <f>3422/1000</f>
        <v>3.4220000000000002</v>
      </c>
      <c r="N12" s="47">
        <f>2905/1000</f>
        <v>2.9049999999999998</v>
      </c>
      <c r="O12" s="47">
        <f>5250/1000</f>
        <v>5.25</v>
      </c>
      <c r="P12" s="47">
        <f>4293/1000</f>
        <v>4.2930000000000001</v>
      </c>
      <c r="Q12" s="47">
        <f>2741/1000</f>
        <v>2.7410000000000001</v>
      </c>
      <c r="R12" s="47">
        <f>2176/1000</f>
        <v>2.1760000000000002</v>
      </c>
      <c r="S12" s="51"/>
      <c r="T12" s="17"/>
      <c r="U12" s="17"/>
      <c r="V12" s="17" t="s">
        <v>32</v>
      </c>
      <c r="W12" s="17"/>
      <c r="X12" s="17"/>
    </row>
    <row r="13" spans="1:24" s="18" customFormat="1" ht="19.5" customHeight="1">
      <c r="D13" s="18" t="s">
        <v>33</v>
      </c>
      <c r="G13" s="47">
        <f>(I13+K13+M13+O13+Q13)</f>
        <v>0.26900000000000002</v>
      </c>
      <c r="H13" s="47">
        <f>(J13+L13+N13+P13+R13)</f>
        <v>0.188</v>
      </c>
      <c r="I13" s="47">
        <f>13/1000</f>
        <v>1.2999999999999999E-2</v>
      </c>
      <c r="J13" s="47">
        <f>9/1000</f>
        <v>8.9999999999999993E-3</v>
      </c>
      <c r="K13" s="47">
        <f>34/1000</f>
        <v>3.4000000000000002E-2</v>
      </c>
      <c r="L13" s="47">
        <f>29/1000</f>
        <v>2.9000000000000001E-2</v>
      </c>
      <c r="M13" s="47">
        <f>44/1000</f>
        <v>4.3999999999999997E-2</v>
      </c>
      <c r="N13" s="47">
        <f>26/1000</f>
        <v>2.5999999999999999E-2</v>
      </c>
      <c r="O13" s="47">
        <f>103/1000</f>
        <v>0.10299999999999999</v>
      </c>
      <c r="P13" s="47">
        <f>72/1000</f>
        <v>7.1999999999999995E-2</v>
      </c>
      <c r="Q13" s="47">
        <f>75/1000</f>
        <v>7.4999999999999997E-2</v>
      </c>
      <c r="R13" s="47">
        <f>52/1000</f>
        <v>5.1999999999999998E-2</v>
      </c>
      <c r="S13" s="51"/>
      <c r="T13" s="17"/>
      <c r="U13" s="17"/>
      <c r="V13" s="17" t="s">
        <v>34</v>
      </c>
      <c r="W13" s="17"/>
      <c r="X13" s="17"/>
    </row>
    <row r="14" spans="1:24" s="18" customFormat="1" ht="19.5" customHeight="1">
      <c r="C14" s="18" t="s">
        <v>35</v>
      </c>
      <c r="G14" s="47">
        <f>189972/1000</f>
        <v>189.97200000000001</v>
      </c>
      <c r="H14" s="48">
        <f>150590/1000</f>
        <v>150.59</v>
      </c>
      <c r="I14" s="49">
        <f>28813/1000</f>
        <v>28.812999999999999</v>
      </c>
      <c r="J14" s="47">
        <f>22338/1000</f>
        <v>22.338000000000001</v>
      </c>
      <c r="K14" s="48">
        <f>60990/1000</f>
        <v>60.99</v>
      </c>
      <c r="L14" s="50">
        <f>47468/1000</f>
        <v>47.468000000000004</v>
      </c>
      <c r="M14" s="47">
        <f>28191/1000</f>
        <v>28.190999999999999</v>
      </c>
      <c r="N14" s="50">
        <f>21508/1000</f>
        <v>21.507999999999999</v>
      </c>
      <c r="O14" s="49">
        <f>42088/1000</f>
        <v>42.088000000000001</v>
      </c>
      <c r="P14" s="47">
        <f>33097/1000</f>
        <v>33.097000000000001</v>
      </c>
      <c r="Q14" s="48">
        <f>29889/1000</f>
        <v>29.888999999999999</v>
      </c>
      <c r="R14" s="50">
        <f>26178/1000</f>
        <v>26.178000000000001</v>
      </c>
      <c r="S14" s="51"/>
      <c r="T14" s="17"/>
      <c r="U14" s="17" t="s">
        <v>36</v>
      </c>
      <c r="V14" s="17"/>
      <c r="W14" s="17"/>
      <c r="X14" s="17"/>
    </row>
    <row r="15" spans="1:24" s="18" customFormat="1" ht="19.5" customHeight="1">
      <c r="D15" s="18" t="s">
        <v>37</v>
      </c>
      <c r="G15" s="47">
        <f>(I15+K15+M15+O15+Q15)</f>
        <v>0.04</v>
      </c>
      <c r="H15" s="48">
        <v>0.03</v>
      </c>
      <c r="I15" s="49">
        <f>7/1000</f>
        <v>7.0000000000000001E-3</v>
      </c>
      <c r="J15" s="52" t="s">
        <v>38</v>
      </c>
      <c r="K15" s="48">
        <f>14/1000</f>
        <v>1.4E-2</v>
      </c>
      <c r="L15" s="50">
        <f>12/1000</f>
        <v>1.2E-2</v>
      </c>
      <c r="M15" s="47">
        <f>6/1000</f>
        <v>6.0000000000000001E-3</v>
      </c>
      <c r="N15" s="53" t="s">
        <v>38</v>
      </c>
      <c r="O15" s="49">
        <f>8/1000</f>
        <v>8.0000000000000002E-3</v>
      </c>
      <c r="P15" s="47">
        <f>6/1000</f>
        <v>6.0000000000000001E-3</v>
      </c>
      <c r="Q15" s="48">
        <f>5/1000</f>
        <v>5.0000000000000001E-3</v>
      </c>
      <c r="R15" s="53" t="s">
        <v>38</v>
      </c>
      <c r="S15" s="51"/>
      <c r="T15" s="17"/>
      <c r="U15" s="17"/>
      <c r="V15" s="17" t="s">
        <v>39</v>
      </c>
      <c r="W15" s="17"/>
      <c r="X15" s="17"/>
    </row>
    <row r="16" spans="1:24" s="18" customFormat="1" ht="19.5" customHeight="1">
      <c r="D16" s="18" t="s">
        <v>40</v>
      </c>
      <c r="G16" s="47">
        <f>(I16+K16+M16+O16+Q16)</f>
        <v>0.15</v>
      </c>
      <c r="H16" s="48">
        <f>(J16+L16+N16+P16+R16)</f>
        <v>0.12</v>
      </c>
      <c r="I16" s="49">
        <f>22/1000</f>
        <v>2.1999999999999999E-2</v>
      </c>
      <c r="J16" s="47">
        <f>18/1000</f>
        <v>1.7999999999999999E-2</v>
      </c>
      <c r="K16" s="48">
        <f>47/1000</f>
        <v>4.7E-2</v>
      </c>
      <c r="L16" s="50">
        <f>35/1000</f>
        <v>3.5000000000000003E-2</v>
      </c>
      <c r="M16" s="47">
        <f>22/1000</f>
        <v>2.1999999999999999E-2</v>
      </c>
      <c r="N16" s="50">
        <f>17/1000</f>
        <v>1.7000000000000001E-2</v>
      </c>
      <c r="O16" s="49">
        <f>34/1000</f>
        <v>3.4000000000000002E-2</v>
      </c>
      <c r="P16" s="47">
        <f>28/1000</f>
        <v>2.8000000000000001E-2</v>
      </c>
      <c r="Q16" s="48">
        <f>25/1000</f>
        <v>2.5000000000000001E-2</v>
      </c>
      <c r="R16" s="50">
        <f>22/1000</f>
        <v>2.1999999999999999E-2</v>
      </c>
      <c r="S16" s="51"/>
      <c r="T16" s="17"/>
      <c r="U16" s="17"/>
      <c r="V16" s="17" t="s">
        <v>41</v>
      </c>
      <c r="W16" s="17"/>
      <c r="X16" s="17"/>
    </row>
    <row r="17" spans="1:24" s="18" customFormat="1" ht="19.5" customHeight="1">
      <c r="B17" s="18" t="s">
        <v>42</v>
      </c>
      <c r="G17" s="47">
        <f>107093/1000</f>
        <v>107.093</v>
      </c>
      <c r="H17" s="48">
        <f>84409/1000</f>
        <v>84.409000000000006</v>
      </c>
      <c r="I17" s="49">
        <f>1204/1000</f>
        <v>1.204</v>
      </c>
      <c r="J17" s="47">
        <f>1098/1000</f>
        <v>1.0980000000000001</v>
      </c>
      <c r="K17" s="48">
        <f>19554/1000</f>
        <v>19.553999999999998</v>
      </c>
      <c r="L17" s="50">
        <f>9265/1000</f>
        <v>9.2650000000000006</v>
      </c>
      <c r="M17" s="47">
        <f>22974/1000</f>
        <v>22.974</v>
      </c>
      <c r="N17" s="50">
        <f>16681/1000</f>
        <v>16.681000000000001</v>
      </c>
      <c r="O17" s="49">
        <f>57822/1000</f>
        <v>57.822000000000003</v>
      </c>
      <c r="P17" s="47">
        <f>54108/1000</f>
        <v>54.107999999999997</v>
      </c>
      <c r="Q17" s="48">
        <f>5539/1000</f>
        <v>5.5389999999999997</v>
      </c>
      <c r="R17" s="50">
        <f>3256/100</f>
        <v>32.56</v>
      </c>
      <c r="S17" s="51"/>
      <c r="T17" s="17" t="s">
        <v>43</v>
      </c>
      <c r="U17" s="17"/>
      <c r="V17" s="17"/>
      <c r="W17" s="17"/>
      <c r="X17" s="17"/>
    </row>
    <row r="18" spans="1:24" s="41" customFormat="1" ht="19.5" customHeight="1">
      <c r="A18" s="41" t="s">
        <v>44</v>
      </c>
      <c r="G18" s="39">
        <f>5720083/1000</f>
        <v>5720.0829999999996</v>
      </c>
      <c r="H18" s="42">
        <f>10970144/1000</f>
        <v>10970.144</v>
      </c>
      <c r="I18" s="43">
        <f>769925/1000</f>
        <v>769.92499999999995</v>
      </c>
      <c r="J18" s="39">
        <f>1364460/1000</f>
        <v>1364.46</v>
      </c>
      <c r="K18" s="42">
        <f>1536691/1000</f>
        <v>1536.691</v>
      </c>
      <c r="L18" s="44">
        <f>2979750/1000</f>
        <v>2979.75</v>
      </c>
      <c r="M18" s="39">
        <f>1058561/1000</f>
        <v>1058.5609999999999</v>
      </c>
      <c r="N18" s="44">
        <f>1934938/1000</f>
        <v>1934.9380000000001</v>
      </c>
      <c r="O18" s="43">
        <f>1693681/1000</f>
        <v>1693.681</v>
      </c>
      <c r="P18" s="39">
        <f>3260184/1000</f>
        <v>3260.1840000000002</v>
      </c>
      <c r="Q18" s="42">
        <f>661226/1000</f>
        <v>661.226</v>
      </c>
      <c r="R18" s="44">
        <f>1430814/1000</f>
        <v>1430.8140000000001</v>
      </c>
      <c r="S18" s="45" t="s">
        <v>45</v>
      </c>
      <c r="T18" s="46"/>
      <c r="U18" s="46"/>
      <c r="V18" s="46"/>
      <c r="W18" s="46"/>
      <c r="X18" s="46"/>
    </row>
    <row r="19" spans="1:24" s="18" customFormat="1" ht="19.5" customHeight="1">
      <c r="B19" s="18" t="s">
        <v>46</v>
      </c>
      <c r="G19" s="47">
        <f>200027/1000</f>
        <v>200.02699999999999</v>
      </c>
      <c r="H19" s="48">
        <f>4743211/1000</f>
        <v>4743.2110000000002</v>
      </c>
      <c r="I19" s="49">
        <f>27152/1000</f>
        <v>27.152000000000001</v>
      </c>
      <c r="J19" s="47">
        <f>599138/1000</f>
        <v>599.13800000000003</v>
      </c>
      <c r="K19" s="48">
        <f>78228/1000</f>
        <v>78.227999999999994</v>
      </c>
      <c r="L19" s="50">
        <f>1353404/1000</f>
        <v>1353.404</v>
      </c>
      <c r="M19" s="47">
        <f>44207/1000</f>
        <v>44.207000000000001</v>
      </c>
      <c r="N19" s="50">
        <f>808930/1000</f>
        <v>808.93</v>
      </c>
      <c r="O19" s="49">
        <f>29777/1000</f>
        <v>29.777000000000001</v>
      </c>
      <c r="P19" s="47">
        <f>1258502/1000</f>
        <v>1258.502</v>
      </c>
      <c r="Q19" s="48">
        <f>20663/1000</f>
        <v>20.663</v>
      </c>
      <c r="R19" s="50">
        <f>723237/1000</f>
        <v>723.23699999999997</v>
      </c>
      <c r="S19" s="51"/>
      <c r="T19" s="17" t="s">
        <v>47</v>
      </c>
      <c r="U19" s="17"/>
      <c r="V19" s="17"/>
      <c r="W19" s="17"/>
      <c r="X19" s="17"/>
    </row>
    <row r="20" spans="1:24" s="18" customFormat="1" ht="19.5" customHeight="1">
      <c r="B20" s="18" t="s">
        <v>48</v>
      </c>
      <c r="G20" s="47">
        <f>2082424/1000</f>
        <v>2082.424</v>
      </c>
      <c r="H20" s="48">
        <f>2334045/1000</f>
        <v>2334.0450000000001</v>
      </c>
      <c r="I20" s="49">
        <f>290444/1000</f>
        <v>290.44400000000002</v>
      </c>
      <c r="J20" s="47">
        <f>299520/1000</f>
        <v>299.52</v>
      </c>
      <c r="K20" s="48">
        <f>538986/1000</f>
        <v>538.98599999999999</v>
      </c>
      <c r="L20" s="50">
        <f>600153/1000</f>
        <v>600.15300000000002</v>
      </c>
      <c r="M20" s="47">
        <f>360600/1000</f>
        <v>360.6</v>
      </c>
      <c r="N20" s="50">
        <f>397977/1000</f>
        <v>397.97699999999998</v>
      </c>
      <c r="O20" s="49">
        <f>637549/1000</f>
        <v>637.54899999999998</v>
      </c>
      <c r="P20" s="47">
        <f>721629/1000</f>
        <v>721.62900000000002</v>
      </c>
      <c r="Q20" s="48">
        <f>254844/1000</f>
        <v>254.84399999999999</v>
      </c>
      <c r="R20" s="50">
        <f>314766/1000</f>
        <v>314.76600000000002</v>
      </c>
      <c r="S20" s="51"/>
      <c r="T20" s="17" t="s">
        <v>49</v>
      </c>
      <c r="U20" s="17"/>
      <c r="V20" s="17"/>
      <c r="W20" s="17"/>
      <c r="X20" s="17"/>
    </row>
    <row r="21" spans="1:24" s="18" customFormat="1" ht="19.5" customHeight="1">
      <c r="B21" s="18" t="s">
        <v>50</v>
      </c>
      <c r="G21" s="47">
        <f>(I21+K21+M21+O21+Q21)</f>
        <v>2.4089999999999998</v>
      </c>
      <c r="H21" s="48">
        <f>(J21+L21+N21+P21+R21)</f>
        <v>3.1909999999999998</v>
      </c>
      <c r="I21" s="49">
        <f>229/1000</f>
        <v>0.22900000000000001</v>
      </c>
      <c r="J21" s="47">
        <f>321/1000</f>
        <v>0.32100000000000001</v>
      </c>
      <c r="K21" s="48">
        <f>612/1000</f>
        <v>0.61199999999999999</v>
      </c>
      <c r="L21" s="50">
        <f>818/1000</f>
        <v>0.81799999999999995</v>
      </c>
      <c r="M21" s="47">
        <f>517/1000</f>
        <v>0.51700000000000002</v>
      </c>
      <c r="N21" s="50">
        <f>651/1000</f>
        <v>0.65100000000000002</v>
      </c>
      <c r="O21" s="49">
        <f>771/1000</f>
        <v>0.77100000000000002</v>
      </c>
      <c r="P21" s="47">
        <f>1077/1000</f>
        <v>1.077</v>
      </c>
      <c r="Q21" s="48">
        <f>280/1000</f>
        <v>0.28000000000000003</v>
      </c>
      <c r="R21" s="50">
        <f>324/1000</f>
        <v>0.32400000000000001</v>
      </c>
      <c r="S21" s="51"/>
      <c r="T21" s="17" t="s">
        <v>51</v>
      </c>
      <c r="U21" s="17"/>
      <c r="V21" s="17"/>
      <c r="W21" s="17"/>
      <c r="X21" s="17"/>
    </row>
    <row r="22" spans="1:24" s="18" customFormat="1" ht="19.5" customHeight="1">
      <c r="B22" s="18" t="s">
        <v>52</v>
      </c>
      <c r="G22" s="47">
        <f>3437632/1000</f>
        <v>3437.6320000000001</v>
      </c>
      <c r="H22" s="48">
        <f>3892889/1000</f>
        <v>3892.8890000000001</v>
      </c>
      <c r="I22" s="49">
        <f>452329/1000</f>
        <v>452.32900000000001</v>
      </c>
      <c r="J22" s="47">
        <f>465801/1000</f>
        <v>465.80099999999999</v>
      </c>
      <c r="K22" s="48">
        <f>919476/1000</f>
        <v>919.476</v>
      </c>
      <c r="L22" s="50">
        <f>1026192/1000</f>
        <v>1026.192</v>
      </c>
      <c r="M22" s="47">
        <f>653754/1000</f>
        <v>653.75400000000002</v>
      </c>
      <c r="N22" s="50">
        <f>728031/100</f>
        <v>7280.31</v>
      </c>
      <c r="O22" s="49">
        <f>1026354/1000</f>
        <v>1026.354</v>
      </c>
      <c r="P22" s="47">
        <f>1280052/1000</f>
        <v>1280.0519999999999</v>
      </c>
      <c r="Q22" s="48">
        <f>385719/1000</f>
        <v>385.71899999999999</v>
      </c>
      <c r="R22" s="50">
        <f>392812/1000</f>
        <v>392.81200000000001</v>
      </c>
      <c r="S22" s="51"/>
      <c r="T22" s="17" t="s">
        <v>53</v>
      </c>
      <c r="U22" s="17"/>
      <c r="V22" s="17"/>
      <c r="W22" s="17"/>
      <c r="X22" s="17"/>
    </row>
    <row r="23" spans="1:24" s="18" customFormat="1" ht="3" customHeight="1">
      <c r="A23" s="54"/>
      <c r="B23" s="54"/>
      <c r="C23" s="54"/>
      <c r="D23" s="54"/>
      <c r="E23" s="54"/>
      <c r="F23" s="54"/>
      <c r="G23" s="55"/>
      <c r="H23" s="56"/>
      <c r="I23" s="55"/>
      <c r="J23" s="56"/>
      <c r="K23" s="55"/>
      <c r="L23" s="57"/>
      <c r="M23" s="58"/>
      <c r="N23" s="55"/>
      <c r="O23" s="55"/>
      <c r="P23" s="56"/>
      <c r="Q23" s="55"/>
      <c r="R23" s="57"/>
      <c r="S23" s="59"/>
      <c r="T23" s="6"/>
      <c r="U23" s="6"/>
      <c r="V23" s="6"/>
      <c r="W23" s="6"/>
      <c r="X23" s="7"/>
    </row>
    <row r="24" spans="1:24" s="18" customFormat="1" ht="3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7"/>
      <c r="T24" s="7"/>
      <c r="U24" s="7"/>
      <c r="V24" s="7"/>
      <c r="W24" s="7"/>
      <c r="X24" s="7"/>
    </row>
    <row r="25" spans="1:24" s="18" customFormat="1" ht="15.75">
      <c r="A25" s="60" t="s">
        <v>54</v>
      </c>
      <c r="B25" s="60"/>
      <c r="C25" s="60"/>
      <c r="D25" s="60"/>
      <c r="E25" s="60" t="s">
        <v>55</v>
      </c>
      <c r="N25" s="60" t="s">
        <v>56</v>
      </c>
      <c r="O25" s="60" t="s">
        <v>57</v>
      </c>
      <c r="X25" s="17"/>
    </row>
    <row r="26" spans="1:24" s="60" customFormat="1" ht="15.75">
      <c r="D26" s="61" t="s">
        <v>58</v>
      </c>
      <c r="E26" s="60" t="s">
        <v>59</v>
      </c>
      <c r="N26" s="60" t="s">
        <v>60</v>
      </c>
      <c r="O26" s="60" t="s">
        <v>61</v>
      </c>
    </row>
    <row r="27" spans="1:24" s="60" customFormat="1" ht="19.5" customHeight="1">
      <c r="D27" s="61"/>
      <c r="E27" s="60" t="s">
        <v>62</v>
      </c>
    </row>
    <row r="28" spans="1:24" s="60" customFormat="1" ht="17.25" customHeight="1"/>
    <row r="29" spans="1:24" s="60" customFormat="1" ht="15.75" customHeight="1">
      <c r="Q29" s="62"/>
    </row>
    <row r="30" spans="1:24" s="60" customFormat="1" ht="17.25" customHeight="1"/>
    <row r="31" spans="1:24" s="60" customFormat="1" ht="15.75" customHeight="1"/>
  </sheetData>
  <mergeCells count="17">
    <mergeCell ref="S8:W8"/>
    <mergeCell ref="I5:J5"/>
    <mergeCell ref="K5:L5"/>
    <mergeCell ref="M5:N5"/>
    <mergeCell ref="O5:P5"/>
    <mergeCell ref="Q5:R5"/>
    <mergeCell ref="A8:F8"/>
    <mergeCell ref="S3:W3"/>
    <mergeCell ref="A4:F7"/>
    <mergeCell ref="G4:H4"/>
    <mergeCell ref="I4:J4"/>
    <mergeCell ref="K4:L4"/>
    <mergeCell ref="M4:N4"/>
    <mergeCell ref="O4:P4"/>
    <mergeCell ref="Q4:R4"/>
    <mergeCell ref="S4:W7"/>
    <mergeCell ref="G5:H5"/>
  </mergeCells>
  <pageMargins left="0.55118110236220474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2016-11-18T08:16:30Z</dcterms:created>
  <dcterms:modified xsi:type="dcterms:W3CDTF">2016-11-18T08:18:21Z</dcterms:modified>
</cp:coreProperties>
</file>