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13.1" sheetId="1" r:id="rId1"/>
  </sheets>
  <definedNames>
    <definedName name="_xlnm.Print_Area" localSheetId="0">'T-13.1'!$A$1:$T$22</definedName>
  </definedNames>
  <calcPr calcId="125725"/>
</workbook>
</file>

<file path=xl/calcChain.xml><?xml version="1.0" encoding="utf-8"?>
<calcChain xmlns="http://schemas.openxmlformats.org/spreadsheetml/2006/main">
  <c r="E9" i="1"/>
  <c r="I10"/>
  <c r="I9" s="1"/>
  <c r="K10"/>
  <c r="K9" s="1"/>
  <c r="M10"/>
  <c r="O10"/>
  <c r="O9" s="1"/>
  <c r="I11"/>
  <c r="G11" s="1"/>
  <c r="K11"/>
  <c r="M11"/>
  <c r="M9" s="1"/>
  <c r="O11"/>
  <c r="I12"/>
  <c r="K12"/>
  <c r="G12" s="1"/>
  <c r="M12"/>
  <c r="O12"/>
  <c r="I13"/>
  <c r="G13" s="1"/>
  <c r="K13"/>
  <c r="M13"/>
  <c r="O13"/>
  <c r="I14"/>
  <c r="K14"/>
  <c r="G14" s="1"/>
  <c r="M14"/>
  <c r="O14"/>
  <c r="I15"/>
  <c r="G15" s="1"/>
  <c r="K15"/>
  <c r="M15"/>
  <c r="O15"/>
  <c r="G16"/>
  <c r="I16"/>
  <c r="K16"/>
  <c r="M16"/>
  <c r="O16"/>
  <c r="I17"/>
  <c r="G17" s="1"/>
  <c r="K17"/>
  <c r="M17"/>
  <c r="O17"/>
  <c r="I18"/>
  <c r="K18"/>
  <c r="G18" s="1"/>
  <c r="M18"/>
  <c r="O18"/>
  <c r="G10" l="1"/>
  <c r="G9" s="1"/>
</calcChain>
</file>

<file path=xl/sharedStrings.xml><?xml version="1.0" encoding="utf-8"?>
<sst xmlns="http://schemas.openxmlformats.org/spreadsheetml/2006/main" count="48" uniqueCount="47">
  <si>
    <t>Source:   Sa Kaeo Provincial  Electricity  Authority</t>
  </si>
  <si>
    <t xml:space="preserve">    ที่มา:   การไฟฟ้าส่วนภูมิภาคจังหวัดสระแก้ว</t>
  </si>
  <si>
    <t xml:space="preserve"> Wang Somboon</t>
  </si>
  <si>
    <t>วังสมบูรณ์</t>
  </si>
  <si>
    <t xml:space="preserve"> Khok Sung</t>
  </si>
  <si>
    <t>โคกสูง</t>
  </si>
  <si>
    <t xml:space="preserve"> Khao Chakan</t>
  </si>
  <si>
    <t>เขาฉกรรจ์</t>
  </si>
  <si>
    <t xml:space="preserve"> Aranyaprathet</t>
  </si>
  <si>
    <t>อรัญประเทศ</t>
  </si>
  <si>
    <t xml:space="preserve"> Wattana Nakhon</t>
  </si>
  <si>
    <t>วัฒนานคร</t>
  </si>
  <si>
    <t xml:space="preserve"> Wang Nam Yen</t>
  </si>
  <si>
    <t>วังน้ำเย็น</t>
  </si>
  <si>
    <t xml:space="preserve"> Ta Phraya</t>
  </si>
  <si>
    <t>ตาพระยา</t>
  </si>
  <si>
    <t xml:space="preserve"> Khlong Hat</t>
  </si>
  <si>
    <t>คลองหาด</t>
  </si>
  <si>
    <t xml:space="preserve"> Mueang Sa Kaeo</t>
  </si>
  <si>
    <t>เมืองสระแก้ว</t>
  </si>
  <si>
    <t>Total</t>
  </si>
  <si>
    <t>รวมยอด</t>
  </si>
  <si>
    <t>and public utility</t>
  </si>
  <si>
    <t>industry</t>
  </si>
  <si>
    <t>(Person)</t>
  </si>
  <si>
    <t>Others</t>
  </si>
  <si>
    <t>Government office</t>
  </si>
  <si>
    <t xml:space="preserve">Business and </t>
  </si>
  <si>
    <t>Residential</t>
  </si>
  <si>
    <t>consumer</t>
  </si>
  <si>
    <t>อื่น ๆ</t>
  </si>
  <si>
    <t>และสาธารณะ</t>
  </si>
  <si>
    <t>อุตสาหกรรม</t>
  </si>
  <si>
    <t>ที่อยู่อาศัย</t>
  </si>
  <si>
    <t>รวม</t>
  </si>
  <si>
    <t>Number of</t>
  </si>
  <si>
    <t>สถานที่ราชการ</t>
  </si>
  <si>
    <t>สถานธุรกิจและ</t>
  </si>
  <si>
    <t>(ราย)</t>
  </si>
  <si>
    <t>District</t>
  </si>
  <si>
    <t>การจำหน่ายกระแสไฟฟ้า (ล้านกิโลวัตต์/ชั่วโมง) Electricity sales (Gwh.)</t>
  </si>
  <si>
    <t>จำนวนผู้ใช้ไฟฟ้า</t>
  </si>
  <si>
    <t>อำเภอ</t>
  </si>
  <si>
    <t>Consumer and Electricity Sales by Type of Consumers and District: Fiscal Year 2015</t>
  </si>
  <si>
    <t>Table</t>
  </si>
  <si>
    <t>ผู้ใช้ไฟฟ้า และการจำหน่ายกระแสไฟฟ้า จำแนกตามประเภทผู้ใช้ เป็นรายอำเภอ ปีงบประมาณ 2558</t>
  </si>
  <si>
    <t>ตาราง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</si>
</sst>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-* #,##0_-;\-* #,##0_-;_-* &quot;-&quot;??_-;_-@_-\ \ "/>
    <numFmt numFmtId="188" formatCode="?,???,???"/>
    <numFmt numFmtId="189" formatCode="??,???,???"/>
    <numFmt numFmtId="190" formatCode="???,???,???"/>
    <numFmt numFmtId="191" formatCode="???,???"/>
  </numFmts>
  <fonts count="7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3" fontId="2" fillId="0" borderId="3" xfId="1" applyNumberFormat="1" applyFont="1" applyBorder="1" applyAlignment="1">
      <alignment horizontal="center"/>
    </xf>
    <xf numFmtId="3" fontId="2" fillId="0" borderId="2" xfId="1" applyNumberFormat="1" applyFont="1" applyBorder="1" applyAlignment="1">
      <alignment horizontal="center"/>
    </xf>
    <xf numFmtId="0" fontId="3" fillId="0" borderId="3" xfId="0" applyFont="1" applyBorder="1"/>
    <xf numFmtId="187" fontId="3" fillId="0" borderId="0" xfId="1" applyNumberFormat="1" applyFont="1" applyAlignment="1"/>
    <xf numFmtId="0" fontId="3" fillId="0" borderId="4" xfId="0" applyFont="1" applyBorder="1"/>
    <xf numFmtId="188" fontId="3" fillId="0" borderId="5" xfId="1" applyNumberFormat="1" applyFont="1" applyBorder="1" applyAlignment="1">
      <alignment horizontal="center"/>
    </xf>
    <xf numFmtId="188" fontId="3" fillId="0" borderId="4" xfId="1" applyNumberFormat="1" applyFont="1" applyBorder="1" applyAlignment="1">
      <alignment horizontal="center"/>
    </xf>
    <xf numFmtId="189" fontId="3" fillId="0" borderId="5" xfId="1" applyNumberFormat="1" applyFont="1" applyBorder="1" applyAlignment="1">
      <alignment horizontal="center"/>
    </xf>
    <xf numFmtId="189" fontId="3" fillId="0" borderId="4" xfId="1" applyNumberFormat="1" applyFont="1" applyBorder="1" applyAlignment="1">
      <alignment horizontal="center"/>
    </xf>
    <xf numFmtId="190" fontId="3" fillId="0" borderId="5" xfId="1" applyNumberFormat="1" applyFont="1" applyBorder="1" applyAlignment="1">
      <alignment horizontal="center"/>
    </xf>
    <xf numFmtId="190" fontId="3" fillId="0" borderId="4" xfId="1" applyNumberFormat="1" applyFont="1" applyBorder="1" applyAlignment="1">
      <alignment horizontal="center"/>
    </xf>
    <xf numFmtId="191" fontId="3" fillId="0" borderId="5" xfId="0" applyNumberFormat="1" applyFont="1" applyBorder="1" applyAlignment="1">
      <alignment horizontal="center"/>
    </xf>
    <xf numFmtId="191" fontId="3" fillId="0" borderId="4" xfId="0" applyNumberFormat="1" applyFont="1" applyBorder="1" applyAlignment="1">
      <alignment horizontal="center"/>
    </xf>
    <xf numFmtId="0" fontId="3" fillId="0" borderId="5" xfId="0" applyFont="1" applyBorder="1"/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188" fontId="4" fillId="0" borderId="6" xfId="1" applyNumberFormat="1" applyFont="1" applyBorder="1" applyAlignment="1">
      <alignment horizontal="center"/>
    </xf>
    <xf numFmtId="188" fontId="4" fillId="0" borderId="7" xfId="1" applyNumberFormat="1" applyFont="1" applyBorder="1" applyAlignment="1">
      <alignment horizontal="center"/>
    </xf>
    <xf numFmtId="189" fontId="4" fillId="0" borderId="6" xfId="1" applyNumberFormat="1" applyFont="1" applyBorder="1" applyAlignment="1">
      <alignment horizontal="center"/>
    </xf>
    <xf numFmtId="189" fontId="4" fillId="0" borderId="7" xfId="1" applyNumberFormat="1" applyFont="1" applyBorder="1" applyAlignment="1">
      <alignment horizontal="center"/>
    </xf>
    <xf numFmtId="190" fontId="4" fillId="0" borderId="6" xfId="1" applyNumberFormat="1" applyFont="1" applyBorder="1" applyAlignment="1">
      <alignment horizontal="center"/>
    </xf>
    <xf numFmtId="190" fontId="4" fillId="0" borderId="7" xfId="1" applyNumberFormat="1" applyFont="1" applyBorder="1" applyAlignment="1">
      <alignment horizontal="center"/>
    </xf>
    <xf numFmtId="191" fontId="4" fillId="0" borderId="6" xfId="0" applyNumberFormat="1" applyFont="1" applyBorder="1" applyAlignment="1">
      <alignment horizontal="center"/>
    </xf>
    <xf numFmtId="191" fontId="4" fillId="0" borderId="7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0" fontId="2" fillId="0" borderId="1" xfId="0" applyFont="1" applyBorder="1"/>
    <xf numFmtId="0" fontId="4" fillId="0" borderId="0" xfId="0" applyFont="1" applyBorder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1419225</xdr:colOff>
      <xdr:row>18</xdr:row>
      <xdr:rowOff>0</xdr:rowOff>
    </xdr:from>
    <xdr:to>
      <xdr:col>18</xdr:col>
      <xdr:colOff>104775</xdr:colOff>
      <xdr:row>21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972800" y="5591175"/>
          <a:ext cx="1047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R22"/>
  <sheetViews>
    <sheetView showGridLines="0" tabSelected="1" zoomScaleNormal="100" workbookViewId="0">
      <selection activeCell="D3" sqref="D3"/>
    </sheetView>
  </sheetViews>
  <sheetFormatPr defaultRowHeight="18.75"/>
  <cols>
    <col min="1" max="1" width="1.7109375" style="2" customWidth="1"/>
    <col min="2" max="2" width="5.7109375" style="2" customWidth="1"/>
    <col min="3" max="3" width="5.28515625" style="2" customWidth="1"/>
    <col min="4" max="4" width="10" style="2" customWidth="1"/>
    <col min="5" max="5" width="12.7109375" style="2" customWidth="1"/>
    <col min="6" max="6" width="1.7109375" style="2" customWidth="1"/>
    <col min="7" max="7" width="12.7109375" style="2" customWidth="1"/>
    <col min="8" max="8" width="1.7109375" style="2" customWidth="1"/>
    <col min="9" max="9" width="12.7109375" style="2" customWidth="1"/>
    <col min="10" max="10" width="1.7109375" style="2" customWidth="1"/>
    <col min="11" max="11" width="12.7109375" style="2" customWidth="1"/>
    <col min="12" max="12" width="1.7109375" style="2" customWidth="1"/>
    <col min="13" max="13" width="14.7109375" style="2" customWidth="1"/>
    <col min="14" max="14" width="1.7109375" style="2" customWidth="1"/>
    <col min="15" max="15" width="12.7109375" style="2" customWidth="1"/>
    <col min="16" max="16" width="1.7109375" style="2" customWidth="1"/>
    <col min="17" max="17" width="0.85546875" style="2" customWidth="1"/>
    <col min="18" max="18" width="26.7109375" style="2" customWidth="1"/>
    <col min="19" max="19" width="2.28515625" style="1" customWidth="1"/>
    <col min="20" max="20" width="4.140625" style="1" customWidth="1"/>
    <col min="21" max="16384" width="9.140625" style="1"/>
  </cols>
  <sheetData>
    <row r="1" spans="1:18" s="61" customFormat="1" ht="23.25" customHeight="1">
      <c r="A1" s="59"/>
      <c r="B1" s="59" t="s">
        <v>46</v>
      </c>
      <c r="C1" s="60">
        <v>13.1</v>
      </c>
      <c r="D1" s="59" t="s">
        <v>45</v>
      </c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</row>
    <row r="2" spans="1:18" s="57" customFormat="1">
      <c r="A2" s="58"/>
      <c r="B2" s="59" t="s">
        <v>44</v>
      </c>
      <c r="C2" s="60">
        <v>13.1</v>
      </c>
      <c r="D2" s="59" t="s">
        <v>43</v>
      </c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18" ht="5.25" customHeight="1">
      <c r="A3" s="56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8" s="4" customFormat="1" ht="21" customHeight="1">
      <c r="A4" s="55" t="s">
        <v>42</v>
      </c>
      <c r="B4" s="54"/>
      <c r="C4" s="54"/>
      <c r="D4" s="53"/>
      <c r="E4" s="47" t="s">
        <v>41</v>
      </c>
      <c r="F4" s="46"/>
      <c r="G4" s="52" t="s">
        <v>40</v>
      </c>
      <c r="H4" s="51"/>
      <c r="I4" s="51"/>
      <c r="J4" s="51"/>
      <c r="K4" s="51"/>
      <c r="L4" s="51"/>
      <c r="M4" s="51"/>
      <c r="N4" s="51"/>
      <c r="O4" s="51"/>
      <c r="P4" s="50"/>
      <c r="Q4" s="49"/>
      <c r="R4" s="48" t="s">
        <v>39</v>
      </c>
    </row>
    <row r="5" spans="1:18" s="4" customFormat="1" ht="21" customHeight="1">
      <c r="A5" s="45"/>
      <c r="B5" s="45"/>
      <c r="C5" s="45"/>
      <c r="D5" s="44"/>
      <c r="E5" s="43" t="s">
        <v>38</v>
      </c>
      <c r="F5" s="42"/>
      <c r="G5" s="43"/>
      <c r="H5" s="42"/>
      <c r="I5" s="43"/>
      <c r="J5" s="42"/>
      <c r="K5" s="47" t="s">
        <v>37</v>
      </c>
      <c r="L5" s="46"/>
      <c r="M5" s="47" t="s">
        <v>36</v>
      </c>
      <c r="N5" s="46"/>
      <c r="O5" s="47"/>
      <c r="P5" s="46"/>
      <c r="Q5" s="41"/>
      <c r="R5" s="40"/>
    </row>
    <row r="6" spans="1:18" s="4" customFormat="1" ht="21" customHeight="1">
      <c r="A6" s="45"/>
      <c r="B6" s="45"/>
      <c r="C6" s="45"/>
      <c r="D6" s="44"/>
      <c r="E6" s="43" t="s">
        <v>35</v>
      </c>
      <c r="F6" s="42"/>
      <c r="G6" s="43" t="s">
        <v>34</v>
      </c>
      <c r="H6" s="42"/>
      <c r="I6" s="43" t="s">
        <v>33</v>
      </c>
      <c r="J6" s="42"/>
      <c r="K6" s="43" t="s">
        <v>32</v>
      </c>
      <c r="L6" s="42"/>
      <c r="M6" s="43" t="s">
        <v>31</v>
      </c>
      <c r="N6" s="42"/>
      <c r="O6" s="43" t="s">
        <v>30</v>
      </c>
      <c r="P6" s="42"/>
      <c r="Q6" s="41"/>
      <c r="R6" s="40"/>
    </row>
    <row r="7" spans="1:18" s="4" customFormat="1" ht="21" customHeight="1">
      <c r="A7" s="45"/>
      <c r="B7" s="45"/>
      <c r="C7" s="45"/>
      <c r="D7" s="44"/>
      <c r="E7" s="43" t="s">
        <v>29</v>
      </c>
      <c r="F7" s="42"/>
      <c r="G7" s="43" t="s">
        <v>20</v>
      </c>
      <c r="H7" s="42"/>
      <c r="I7" s="43" t="s">
        <v>28</v>
      </c>
      <c r="J7" s="42"/>
      <c r="K7" s="43" t="s">
        <v>27</v>
      </c>
      <c r="L7" s="42"/>
      <c r="M7" s="43" t="s">
        <v>26</v>
      </c>
      <c r="N7" s="42"/>
      <c r="O7" s="43" t="s">
        <v>25</v>
      </c>
      <c r="P7" s="42"/>
      <c r="Q7" s="41"/>
      <c r="R7" s="40"/>
    </row>
    <row r="8" spans="1:18" s="4" customFormat="1" ht="21" customHeight="1">
      <c r="A8" s="39"/>
      <c r="B8" s="39"/>
      <c r="C8" s="39"/>
      <c r="D8" s="38"/>
      <c r="E8" s="8" t="s">
        <v>24</v>
      </c>
      <c r="F8" s="7"/>
      <c r="G8" s="8"/>
      <c r="H8" s="7"/>
      <c r="I8" s="8"/>
      <c r="J8" s="7"/>
      <c r="K8" s="8" t="s">
        <v>23</v>
      </c>
      <c r="L8" s="7"/>
      <c r="M8" s="8" t="s">
        <v>22</v>
      </c>
      <c r="N8" s="7"/>
      <c r="O8" s="8"/>
      <c r="P8" s="7"/>
      <c r="Q8" s="37"/>
      <c r="R8" s="36"/>
    </row>
    <row r="9" spans="1:18" s="4" customFormat="1" ht="28.5" customHeight="1">
      <c r="A9" s="35" t="s">
        <v>21</v>
      </c>
      <c r="B9" s="35"/>
      <c r="C9" s="35"/>
      <c r="D9" s="34"/>
      <c r="E9" s="33">
        <f>SUM(E10:E18)</f>
        <v>157681</v>
      </c>
      <c r="F9" s="32"/>
      <c r="G9" s="31">
        <f>SUM(G10:G18)</f>
        <v>747970754.88000011</v>
      </c>
      <c r="H9" s="30"/>
      <c r="I9" s="31">
        <f>SUM(I10:I18)</f>
        <v>235246179.72</v>
      </c>
      <c r="J9" s="30"/>
      <c r="K9" s="31">
        <f>SUM(K10:K18)</f>
        <v>489876220.68000001</v>
      </c>
      <c r="L9" s="30"/>
      <c r="M9" s="29">
        <f>SUM(M10:M18)</f>
        <v>16055229.359999999</v>
      </c>
      <c r="N9" s="28"/>
      <c r="O9" s="27">
        <f>SUM(O10:O18)</f>
        <v>6793125.120000001</v>
      </c>
      <c r="P9" s="26"/>
      <c r="Q9" s="13"/>
      <c r="R9" s="24" t="s">
        <v>20</v>
      </c>
    </row>
    <row r="10" spans="1:18" s="4" customFormat="1" ht="28.5" customHeight="1">
      <c r="A10" s="25"/>
      <c r="B10" s="12" t="s">
        <v>19</v>
      </c>
      <c r="C10" s="24"/>
      <c r="D10" s="23"/>
      <c r="E10" s="21">
        <v>33483</v>
      </c>
      <c r="F10" s="20"/>
      <c r="G10" s="19">
        <f>SUM(I10,K10,M10,O10)</f>
        <v>198295137.48000002</v>
      </c>
      <c r="H10" s="18"/>
      <c r="I10" s="19">
        <f>(1365282.99+3325793.65+20186.05)*12</f>
        <v>56535152.279999994</v>
      </c>
      <c r="J10" s="18"/>
      <c r="K10" s="19">
        <f>(603271.03+1032184.28+20595.32+622831.22+2196918.72+6623181.66+181295.38)*12</f>
        <v>135363331.32000002</v>
      </c>
      <c r="L10" s="18"/>
      <c r="M10" s="17">
        <f>(57169.8+193481.8+102144+11184.33)*12</f>
        <v>4367759.16</v>
      </c>
      <c r="N10" s="16"/>
      <c r="O10" s="15">
        <f>(148707.1+20367.46)*12</f>
        <v>2028894.72</v>
      </c>
      <c r="P10" s="14"/>
      <c r="Q10" s="13"/>
      <c r="R10" s="12" t="s">
        <v>18</v>
      </c>
    </row>
    <row r="11" spans="1:18" s="4" customFormat="1" ht="28.5" customHeight="1">
      <c r="A11" s="24"/>
      <c r="B11" s="12" t="s">
        <v>17</v>
      </c>
      <c r="C11" s="24"/>
      <c r="D11" s="23"/>
      <c r="E11" s="21">
        <v>10151</v>
      </c>
      <c r="F11" s="20"/>
      <c r="G11" s="19">
        <f>SUM(I11,K11,M11,O11)</f>
        <v>21789865.68</v>
      </c>
      <c r="H11" s="18"/>
      <c r="I11" s="19">
        <f>(451253+776589.2)*12</f>
        <v>14734106.399999999</v>
      </c>
      <c r="J11" s="18"/>
      <c r="K11" s="19">
        <f>(80292.69+319642+36070.99+76663.26)*12</f>
        <v>6152027.2800000003</v>
      </c>
      <c r="L11" s="18"/>
      <c r="M11" s="17">
        <f>(1980+23671+151+8285+4296)*12</f>
        <v>460596</v>
      </c>
      <c r="N11" s="16"/>
      <c r="O11" s="15">
        <f>(36073+855)*12</f>
        <v>443136</v>
      </c>
      <c r="P11" s="14"/>
      <c r="Q11" s="13"/>
      <c r="R11" s="12" t="s">
        <v>16</v>
      </c>
    </row>
    <row r="12" spans="1:18" s="4" customFormat="1" ht="28.5" customHeight="1">
      <c r="A12" s="24"/>
      <c r="B12" s="12" t="s">
        <v>15</v>
      </c>
      <c r="C12" s="24"/>
      <c r="D12" s="23"/>
      <c r="E12" s="21">
        <v>9407</v>
      </c>
      <c r="F12" s="20"/>
      <c r="G12" s="19">
        <f>SUM(I12,K12,M12,O12)</f>
        <v>15170987.640000001</v>
      </c>
      <c r="H12" s="18"/>
      <c r="I12" s="19">
        <f>(427289+443169)*12</f>
        <v>10445496</v>
      </c>
      <c r="J12" s="18"/>
      <c r="K12" s="19">
        <f>(58202.41+204899+2456.56+48495.02)*12</f>
        <v>3768635.8800000008</v>
      </c>
      <c r="L12" s="18"/>
      <c r="M12" s="17">
        <f>(24989.98+27623+15998)*12</f>
        <v>823331.76</v>
      </c>
      <c r="N12" s="16"/>
      <c r="O12" s="15">
        <f>(1608+9519)*12</f>
        <v>133524</v>
      </c>
      <c r="P12" s="14"/>
      <c r="Q12" s="13"/>
      <c r="R12" s="12" t="s">
        <v>14</v>
      </c>
    </row>
    <row r="13" spans="1:18" s="4" customFormat="1" ht="28.5" customHeight="1">
      <c r="A13" s="24"/>
      <c r="B13" s="12" t="s">
        <v>13</v>
      </c>
      <c r="C13" s="24"/>
      <c r="D13" s="23"/>
      <c r="E13" s="21">
        <v>17104</v>
      </c>
      <c r="F13" s="20"/>
      <c r="G13" s="19">
        <f>SUM(I13,K13,M13,O13)</f>
        <v>48648583.079999998</v>
      </c>
      <c r="H13" s="18"/>
      <c r="I13" s="19">
        <f>(755568+1401401)*12</f>
        <v>25883628</v>
      </c>
      <c r="J13" s="18"/>
      <c r="K13" s="19">
        <f>(166309.5+432811+6763.74+5649+167694.62+960934.38+3400+15072)*12</f>
        <v>21103610.879999999</v>
      </c>
      <c r="L13" s="18"/>
      <c r="M13" s="17">
        <f>(2130+81037.8+12335+3380.55)*12</f>
        <v>1186600.2000000002</v>
      </c>
      <c r="N13" s="16"/>
      <c r="O13" s="15">
        <f>(35637+3925)*12</f>
        <v>474744</v>
      </c>
      <c r="P13" s="14"/>
      <c r="Q13" s="13"/>
      <c r="R13" s="12" t="s">
        <v>12</v>
      </c>
    </row>
    <row r="14" spans="1:18" s="4" customFormat="1" ht="28.5" customHeight="1">
      <c r="A14" s="24"/>
      <c r="B14" s="12" t="s">
        <v>11</v>
      </c>
      <c r="C14" s="24"/>
      <c r="D14" s="23"/>
      <c r="E14" s="21">
        <v>19529</v>
      </c>
      <c r="F14" s="20"/>
      <c r="G14" s="19">
        <f>SUM(I14,K14,M14,O14)</f>
        <v>88863356.160000011</v>
      </c>
      <c r="H14" s="18"/>
      <c r="I14" s="19">
        <f>(904374+1439047.49+1604.97)*12</f>
        <v>28140317.520000003</v>
      </c>
      <c r="J14" s="18"/>
      <c r="K14" s="19">
        <f>(296496.67+570496+72151.29+266562.3+1309743.07+32000+2233434.4+3565.52)*12</f>
        <v>57413391</v>
      </c>
      <c r="L14" s="18"/>
      <c r="M14" s="17">
        <f>(56128+97363+54763+1528.37)*12</f>
        <v>2517388.44</v>
      </c>
      <c r="N14" s="16"/>
      <c r="O14" s="15">
        <f>(57900.6+8121)*12</f>
        <v>792259.20000000007</v>
      </c>
      <c r="P14" s="14"/>
      <c r="Q14" s="13"/>
      <c r="R14" s="12" t="s">
        <v>10</v>
      </c>
    </row>
    <row r="15" spans="1:18" s="4" customFormat="1" ht="28.5" customHeight="1">
      <c r="B15" s="12" t="s">
        <v>9</v>
      </c>
      <c r="D15" s="22"/>
      <c r="E15" s="21">
        <v>32430</v>
      </c>
      <c r="F15" s="20"/>
      <c r="G15" s="19">
        <f>SUM(I15,K15,M15,O15)</f>
        <v>287742938.39999998</v>
      </c>
      <c r="H15" s="18"/>
      <c r="I15" s="19">
        <f>(1090024+3093381+5128.26)*12</f>
        <v>50262399.119999997</v>
      </c>
      <c r="J15" s="18"/>
      <c r="K15" s="19">
        <f>(452155.3+2112442+35898.41+2356+157819.09+2234841.54+13865907.2+402230.82)*12</f>
        <v>231163804.31999999</v>
      </c>
      <c r="L15" s="18"/>
      <c r="M15" s="17">
        <f>(46368.18+265672.2+27817)*12</f>
        <v>4078288.56</v>
      </c>
      <c r="N15" s="16"/>
      <c r="O15" s="15">
        <f>(167747.2+18790)*12</f>
        <v>2238446.4000000004</v>
      </c>
      <c r="P15" s="14"/>
      <c r="Q15" s="13"/>
      <c r="R15" s="12" t="s">
        <v>8</v>
      </c>
    </row>
    <row r="16" spans="1:18" s="4" customFormat="1" ht="28.5" customHeight="1">
      <c r="B16" s="12" t="s">
        <v>7</v>
      </c>
      <c r="D16" s="22"/>
      <c r="E16" s="21">
        <v>14032</v>
      </c>
      <c r="F16" s="20"/>
      <c r="G16" s="19">
        <f>SUM(I16,K16,M16,O16)</f>
        <v>30610997.16</v>
      </c>
      <c r="H16" s="18"/>
      <c r="I16" s="19">
        <f>(691560.9+931048.8+9672)*12</f>
        <v>19587380.400000002</v>
      </c>
      <c r="J16" s="18"/>
      <c r="K16" s="19">
        <f>(93665.41+179554+1884.34+35202.68+162624.93+308200)*12</f>
        <v>9373576.3200000003</v>
      </c>
      <c r="L16" s="18"/>
      <c r="M16" s="17">
        <f>(69658.8+36657.87+12750+4101.5)*12</f>
        <v>1478018.04</v>
      </c>
      <c r="N16" s="16"/>
      <c r="O16" s="15">
        <f>(13215.2+1120)*12</f>
        <v>172022.40000000002</v>
      </c>
      <c r="P16" s="14"/>
      <c r="Q16" s="13"/>
      <c r="R16" s="12" t="s">
        <v>6</v>
      </c>
    </row>
    <row r="17" spans="1:18" s="4" customFormat="1" ht="28.5" customHeight="1">
      <c r="B17" s="12" t="s">
        <v>5</v>
      </c>
      <c r="D17" s="22"/>
      <c r="E17" s="21">
        <v>11025</v>
      </c>
      <c r="F17" s="20"/>
      <c r="G17" s="19">
        <f>SUM(I17,K17,M17,O17)</f>
        <v>17435869.079999998</v>
      </c>
      <c r="H17" s="18"/>
      <c r="I17" s="19">
        <f>(523148+567074)*12</f>
        <v>13082664</v>
      </c>
      <c r="J17" s="18"/>
      <c r="K17" s="19">
        <f>(82970.2+163428+3042.66+5634+15454.48+18439.75)*12</f>
        <v>3467629.08</v>
      </c>
      <c r="L17" s="18"/>
      <c r="M17" s="17">
        <f>(3672+36337+25967+107)*12</f>
        <v>792996</v>
      </c>
      <c r="N17" s="16"/>
      <c r="O17" s="15">
        <f>(6491+1224)*12</f>
        <v>92580</v>
      </c>
      <c r="P17" s="14"/>
      <c r="Q17" s="13"/>
      <c r="R17" s="12" t="s">
        <v>4</v>
      </c>
    </row>
    <row r="18" spans="1:18" s="4" customFormat="1" ht="28.5" customHeight="1">
      <c r="B18" s="12" t="s">
        <v>3</v>
      </c>
      <c r="D18" s="22"/>
      <c r="E18" s="21">
        <v>10520</v>
      </c>
      <c r="F18" s="20"/>
      <c r="G18" s="19">
        <f>SUM(I18,K18,M18,O18)</f>
        <v>39413020.200000003</v>
      </c>
      <c r="H18" s="18"/>
      <c r="I18" s="19">
        <f>(454284+926969)*12</f>
        <v>16575036</v>
      </c>
      <c r="J18" s="18"/>
      <c r="K18" s="19">
        <f>(155464.92+239055+7549.94+4778+212906.71+497700.98+13209+708520)*12</f>
        <v>22070214.600000001</v>
      </c>
      <c r="L18" s="18"/>
      <c r="M18" s="17">
        <f>(1254.6+22522+65+5346)*12</f>
        <v>350251.19999999995</v>
      </c>
      <c r="N18" s="16"/>
      <c r="O18" s="15">
        <f>(23787+11006.2)*12</f>
        <v>417518.39999999997</v>
      </c>
      <c r="P18" s="14"/>
      <c r="Q18" s="13"/>
      <c r="R18" s="12" t="s">
        <v>2</v>
      </c>
    </row>
    <row r="19" spans="1:18" s="4" customFormat="1" ht="3" customHeight="1">
      <c r="A19" s="5"/>
      <c r="B19" s="5"/>
      <c r="C19" s="5"/>
      <c r="D19" s="11"/>
      <c r="E19" s="10"/>
      <c r="F19" s="9"/>
      <c r="G19" s="8"/>
      <c r="H19" s="7"/>
      <c r="I19" s="8"/>
      <c r="J19" s="7"/>
      <c r="K19" s="8"/>
      <c r="L19" s="7"/>
      <c r="M19" s="8"/>
      <c r="N19" s="7"/>
      <c r="O19" s="8"/>
      <c r="P19" s="7"/>
      <c r="Q19" s="6"/>
      <c r="R19" s="5"/>
    </row>
    <row r="20" spans="1:18" s="4" customFormat="1" ht="3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4" customFormat="1" ht="22.5" customHeight="1">
      <c r="A21" s="3"/>
      <c r="B21" s="3" t="s">
        <v>1</v>
      </c>
      <c r="C21" s="3"/>
      <c r="D21" s="3"/>
      <c r="E21" s="3"/>
      <c r="F21" s="3"/>
      <c r="G21" s="3"/>
      <c r="H21" s="3"/>
      <c r="I21" s="3"/>
      <c r="J21" s="3"/>
      <c r="M21" s="3"/>
      <c r="N21" s="3"/>
      <c r="O21" s="3"/>
      <c r="P21" s="3"/>
      <c r="Q21" s="3"/>
      <c r="R21" s="3"/>
    </row>
    <row r="22" spans="1:18">
      <c r="B22" s="3" t="s">
        <v>0</v>
      </c>
    </row>
  </sheetData>
  <mergeCells count="95">
    <mergeCell ref="A9:D9"/>
    <mergeCell ref="I7:J7"/>
    <mergeCell ref="G7:H7"/>
    <mergeCell ref="I6:J6"/>
    <mergeCell ref="G6:H6"/>
    <mergeCell ref="R4:R8"/>
    <mergeCell ref="A4:D8"/>
    <mergeCell ref="I5:J5"/>
    <mergeCell ref="G5:H5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G4:P4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K5:L5"/>
    <mergeCell ref="K6:L6"/>
    <mergeCell ref="K7:L7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M5:N5"/>
    <mergeCell ref="M6:N6"/>
    <mergeCell ref="M7:N7"/>
    <mergeCell ref="M8:N8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M18:N18"/>
    <mergeCell ref="M19:N19"/>
    <mergeCell ref="O5:P5"/>
    <mergeCell ref="O6:P6"/>
    <mergeCell ref="O7:P7"/>
    <mergeCell ref="O8:P8"/>
    <mergeCell ref="O9:P9"/>
    <mergeCell ref="O10:P10"/>
    <mergeCell ref="O11:P11"/>
    <mergeCell ref="O12:P12"/>
    <mergeCell ref="O19:P19"/>
    <mergeCell ref="O13:P13"/>
    <mergeCell ref="O14:P14"/>
    <mergeCell ref="O15:P15"/>
    <mergeCell ref="O16:P16"/>
    <mergeCell ref="O17:P17"/>
    <mergeCell ref="O18:P18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4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T-13.1</vt:lpstr>
      <vt:lpstr>'T-13.1'!Print_Area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2016-10-31T07:01:24Z</dcterms:created>
  <dcterms:modified xsi:type="dcterms:W3CDTF">2016-10-31T07:01:45Z</dcterms:modified>
</cp:coreProperties>
</file>