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 activeTab="8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</sheets>
  <calcPr calcId="124519"/>
</workbook>
</file>

<file path=xl/calcChain.xml><?xml version="1.0" encoding="utf-8"?>
<calcChain xmlns="http://schemas.openxmlformats.org/spreadsheetml/2006/main">
  <c r="AB11" i="18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10"/>
  <c r="Z1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R20" i="7"/>
  <c r="R19"/>
  <c r="R18"/>
  <c r="R17"/>
  <c r="R15"/>
  <c r="R14"/>
  <c r="R13"/>
  <c r="R12"/>
  <c r="R11"/>
  <c r="R10"/>
  <c r="Q20"/>
  <c r="Q19"/>
  <c r="Q18"/>
  <c r="Q17"/>
  <c r="Q15"/>
  <c r="Q14"/>
  <c r="Q13"/>
  <c r="Q12"/>
  <c r="Q11"/>
  <c r="Q10"/>
  <c r="P20"/>
  <c r="P19"/>
  <c r="P18"/>
  <c r="P17"/>
  <c r="P15"/>
  <c r="P14"/>
  <c r="P13"/>
  <c r="P12"/>
  <c r="P11"/>
  <c r="P10"/>
  <c r="O20"/>
  <c r="O19"/>
  <c r="O18"/>
  <c r="O17"/>
  <c r="O15"/>
  <c r="O14"/>
  <c r="O13"/>
  <c r="O12"/>
  <c r="O11"/>
  <c r="O10"/>
  <c r="N20"/>
  <c r="N19"/>
  <c r="N18"/>
  <c r="N17"/>
  <c r="N15"/>
  <c r="N14"/>
  <c r="N13"/>
  <c r="N12"/>
  <c r="N11"/>
  <c r="N10"/>
  <c r="M20"/>
  <c r="M19"/>
  <c r="M18"/>
  <c r="M17"/>
  <c r="M15"/>
  <c r="M14"/>
  <c r="M13"/>
  <c r="M12"/>
  <c r="M11"/>
  <c r="M10"/>
  <c r="L20"/>
  <c r="L19"/>
  <c r="L18"/>
  <c r="L17"/>
  <c r="L15"/>
  <c r="L14"/>
  <c r="L13"/>
  <c r="L12"/>
  <c r="L11"/>
  <c r="L10"/>
  <c r="K20"/>
  <c r="K19"/>
  <c r="K18"/>
  <c r="K17"/>
  <c r="K15"/>
  <c r="K14"/>
  <c r="K13"/>
  <c r="K12"/>
  <c r="K11"/>
  <c r="K10"/>
  <c r="J20"/>
  <c r="J19"/>
  <c r="J18"/>
  <c r="J17"/>
  <c r="J15"/>
  <c r="J14"/>
  <c r="J13"/>
  <c r="J12"/>
  <c r="J11"/>
  <c r="J10"/>
  <c r="I20"/>
  <c r="I19"/>
  <c r="I18"/>
  <c r="I17"/>
  <c r="I15"/>
  <c r="I14"/>
  <c r="I13"/>
  <c r="I12"/>
  <c r="I11"/>
  <c r="I10"/>
  <c r="H20"/>
  <c r="H19"/>
  <c r="H18"/>
  <c r="H17"/>
  <c r="H15"/>
  <c r="H14"/>
  <c r="H13"/>
  <c r="H12"/>
  <c r="H11"/>
  <c r="G20"/>
  <c r="G19"/>
  <c r="G18"/>
  <c r="G17"/>
  <c r="G15"/>
  <c r="G13"/>
  <c r="G14"/>
  <c r="G12"/>
  <c r="G11"/>
  <c r="G10"/>
  <c r="H10"/>
  <c r="K25" i="16"/>
  <c r="Q37"/>
  <c r="M25"/>
  <c r="O24"/>
  <c r="M24"/>
  <c r="K24"/>
  <c r="AC19" i="13"/>
  <c r="AE19"/>
  <c r="AG19"/>
  <c r="AC15"/>
  <c r="AE15"/>
  <c r="AG15"/>
  <c r="W19"/>
  <c r="Y19"/>
  <c r="AA19"/>
  <c r="W15"/>
  <c r="Y15"/>
  <c r="AA15"/>
  <c r="U19"/>
  <c r="S19"/>
  <c r="Q19"/>
  <c r="O19"/>
  <c r="Q15"/>
  <c r="S15"/>
  <c r="U15"/>
  <c r="M19"/>
  <c r="K19"/>
  <c r="M15"/>
  <c r="O15"/>
  <c r="K15"/>
  <c r="I19"/>
  <c r="G19"/>
  <c r="I15"/>
  <c r="G15"/>
</calcChain>
</file>

<file path=xl/sharedStrings.xml><?xml version="1.0" encoding="utf-8"?>
<sst xmlns="http://schemas.openxmlformats.org/spreadsheetml/2006/main" count="851" uniqueCount="360">
  <si>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</si>
  <si>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</si>
  <si>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</si>
  <si>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</si>
  <si>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</si>
  <si>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</si>
  <si>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</si>
  <si>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</si>
  <si>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</si>
  <si>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</si>
  <si>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</si>
  <si>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</si>
  <si>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</si>
  <si>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</si>
  <si>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</si>
  <si>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</si>
  <si>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</si>
  <si>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</si>
  <si>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</si>
  <si>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</si>
  <si>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</si>
  <si>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</si>
  <si>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</si>
  <si>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</si>
  <si>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</si>
  <si>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</si>
  <si>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</si>
  <si>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</si>
  <si>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</si>
  <si>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</si>
  <si>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</si>
  <si>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</si>
  <si>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</si>
  <si>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</si>
  <si>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</si>
  <si>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</si>
  <si>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</si>
  <si>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</si>
  <si>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</si>
  <si>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</si>
  <si>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</si>
  <si>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</si>
  <si>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</si>
  <si>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</si>
  <si>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</si>
  <si>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</si>
  <si>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</si>
  <si>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</si>
  <si>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</si>
  <si>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</si>
  <si>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</si>
  <si>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</si>
  <si>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</si>
  <si>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</si>
  <si>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</si>
  <si>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</si>
  <si>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</si>
  <si>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</si>
  <si>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</si>
  <si>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</si>
  <si>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</si>
  <si>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</si>
  <si>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</si>
  <si>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</si>
  <si>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</si>
  <si>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</si>
  <si>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</si>
  <si>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</si>
  <si>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</si>
  <si>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</si>
  <si>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</si>
  <si>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</si>
  <si>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</si>
  <si>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</si>
  <si>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</si>
  <si>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</si>
  <si>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</si>
  <si>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</si>
  <si>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</si>
  <si>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</si>
  <si>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</si>
  <si>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</si>
  <si>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</si>
  <si>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</si>
  <si>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</si>
  <si>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</si>
  <si>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</si>
  <si>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</si>
  <si>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</si>
  <si>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</si>
  <si>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</si>
  <si>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</si>
  <si>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</si>
  <si>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</si>
  <si>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</si>
  <si>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</si>
  <si>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</si>
  <si>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</si>
  <si>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</si>
  <si>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</si>
  <si>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</si>
  <si>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</si>
  <si>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</si>
  <si>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</si>
  <si>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</si>
  <si>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</si>
  <si>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</si>
  <si>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</si>
  <si>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</si>
  <si>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</si>
  <si>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</si>
  <si>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</si>
  <si>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</si>
  <si>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</si>
  <si>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</si>
  <si>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</si>
  <si>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</si>
  <si>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</si>
  <si>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</si>
  <si>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</si>
  <si>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</si>
  <si>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</si>
  <si>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</si>
  <si>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</si>
  <si>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</si>
  <si>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</si>
  <si>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</si>
  <si>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</si>
  <si>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</si>
  <si>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</si>
  <si>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</si>
  <si>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</si>
  <si>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</si>
  <si>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</si>
  <si>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The data is the average of four quarters.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</si>
  <si>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</si>
  <si>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</si>
  <si>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</si>
  <si>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</si>
  <si>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</si>
  <si>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</si>
  <si>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</si>
  <si>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</si>
  <si>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มิ.ย.</t>
  </si>
  <si>
    <t xml:space="preserve"> Jun.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</si>
  <si>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</si>
  <si>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</si>
  <si>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</si>
  <si>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</si>
  <si>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</si>
  <si>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</si>
  <si>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</si>
  <si>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</si>
  <si>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</si>
  <si>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</si>
  <si>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</si>
  <si>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</si>
  <si>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</si>
  <si>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</si>
  <si>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</si>
  <si>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</si>
  <si>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</si>
  <si>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</si>
  <si>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</si>
  <si>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</si>
  <si>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</si>
  <si>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</si>
  <si>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</si>
  <si>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</si>
  <si>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</si>
  <si>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</si>
  <si>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</si>
  <si>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</si>
  <si>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</si>
  <si>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</si>
  <si>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</si>
  <si>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</si>
  <si>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</si>
  <si>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</si>
  <si>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</si>
  <si>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</si>
  <si>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</si>
  <si>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</si>
  <si>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</si>
  <si>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>(2013)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</si>
  <si>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</si>
  <si>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</si>
  <si>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</si>
  <si>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</si>
  <si>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</si>
  <si>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</si>
  <si>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</si>
  <si>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</si>
  <si>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</si>
  <si>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</si>
  <si>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</si>
  <si>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</si>
  <si>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</si>
  <si>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</si>
  <si>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</si>
  <si>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</si>
  <si>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</si>
  <si>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</si>
  <si>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</si>
  <si>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</si>
  <si>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</si>
  <si>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</si>
  <si>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</si>
  <si>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</si>
  <si>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</si>
  <si>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</si>
  <si>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</si>
  <si>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</si>
  <si>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</si>
  <si>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</si>
  <si>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</si>
  <si>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</si>
  <si>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</si>
  <si>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</si>
  <si>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</si>
  <si>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</si>
  <si>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</si>
  <si>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</si>
  <si>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</si>
  <si>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</si>
  <si>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</si>
  <si>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</si>
  <si>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</si>
  <si>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</si>
  <si>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</si>
  <si>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</si>
  <si>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</si>
  <si>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</si>
  <si>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</si>
  <si>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</si>
  <si>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</si>
  <si>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</si>
  <si>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</si>
  <si>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 xml:space="preserve">  2017</t>
  </si>
  <si>
    <t>2560 (2017)</t>
  </si>
  <si>
    <t>Service worker and sell goods</t>
  </si>
  <si>
    <t>region</t>
  </si>
  <si>
    <t xml:space="preserve">Northeastern </t>
  </si>
  <si>
    <t xml:space="preserve">ประชากรอายุ 15 ปีขึ้นไป จำแนกตามสถานภาพแรงงาน และเพศ เป็นรายภาค พ.ศ.2559 </t>
  </si>
  <si>
    <t>Population Aged 15 Years and Over by Labour Force Status, Sex and Region: 2016</t>
  </si>
  <si>
    <t xml:space="preserve"> การสำรวจภาวะการทำงานของประชากร พ.ศ. 2559-2560 สำนักงานสถิติแห่งชาติ</t>
  </si>
  <si>
    <t>The Labour Force Survey: 2016-2017, National Statistical Office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</si>
  <si>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</si>
  <si>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</si>
  <si>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Source: The  Labour Force Survey: 2014 - 2017 , Provincial level ,  National Statistical Office</t>
  </si>
  <si>
    <t xml:space="preserve">ประชากรอายุ 15 ปีขึ้นไปที่มีงานทำ จำแนกตามอาชีพ และเพศ เป็นรายไตรมาส พ.ศ. 2559 -2560 </t>
  </si>
  <si>
    <t xml:space="preserve">Employed Persons Aged 15 Years and Over by Occupation, Sex and Quarterly: 2016 - 2017 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</si>
  <si>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</si>
  <si>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2016 -2017 ,  Provincial level,  National Statistical Office</t>
  </si>
  <si>
    <t xml:space="preserve">ประชากรอายุ 15 ปีขึ้นไปที่มีงานทำ จำแนกตามอุตสาหกรรม และเพศ เป็นรายไตรมาส พ.ศ. 2559 - 2560 </t>
  </si>
  <si>
    <t>Employed Persons Aged 15 Years and Over by Industry, Sex and Quarterly: 2016 - 2017</t>
  </si>
  <si>
    <t xml:space="preserve"> การสำรวจภาวะการทำงานของประชากร พ.ศ.2559 - 2560ระดับจังหวัด สำนักงานสถิติแห่งชาติ</t>
  </si>
  <si>
    <t>The  Labour Force Survey: 2016-2017 ,  Provincial level,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</si>
  <si>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</si>
  <si>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</si>
  <si>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The  Labour Force Survey: 2016 - 2017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</si>
  <si>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</si>
  <si>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</si>
  <si>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 xml:space="preserve"> การสำรวจภาวะการทำงานของประชากร พ.ศ. 2559- 2560ระดับจังหวัด  สำนักงานสถิติแห่งชาติ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</si>
  <si>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</si>
  <si>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2016 -2017</t>
  </si>
  <si>
    <t xml:space="preserve"> การสำรวจภาวะการทำงานของประชากร พ.ศ. 2559 -2560 ระดับจังหวัด สำนักงานสถิติแห่งชาติ</t>
  </si>
  <si>
    <t>The  Labour Force Survey: 2016- 2017 ,  Provincial level,  National Statistical Office</t>
  </si>
  <si>
    <t xml:space="preserve">ผู้ว่างงาน และอัตราการว่างงาน จำแนกตามเพศ เป็นรายไตรมาส พ.ศ. 2557 - 2560   </t>
  </si>
  <si>
    <t xml:space="preserve">  การสำรวจภาวะการทำงานของประชากร 2557 - 2560, ระดับจังหวัด</t>
  </si>
  <si>
    <t xml:space="preserve">  The Labour Force Survey 2014 -2017, Province level</t>
  </si>
  <si>
    <t>(2014)</t>
  </si>
  <si>
    <t>(2015)</t>
  </si>
  <si>
    <t>(2016)</t>
  </si>
  <si>
    <t xml:space="preserve"> ตะวันออกฉียงเหนือ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</si>
  <si>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</si>
  <si>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</si>
  <si>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</si>
  <si>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</si>
  <si>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</si>
  <si>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</si>
  <si>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</si>
  <si>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</si>
  <si>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</si>
  <si>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</si>
  <si>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</si>
  <si>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</si>
  <si>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</si>
  <si>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</si>
  <si>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</si>
  <si>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</si>
  <si>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</si>
  <si>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</si>
  <si>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</si>
  <si>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บึงกาฬ</t>
  </si>
  <si>
    <t xml:space="preserve">    ที่มา:  สำนักงานสวัสดิการและคุ้มครองแรงงานจังหวัดนครพนม</t>
  </si>
  <si>
    <t>Source:  NakhonphonomProvincial Labour Protection and Welfare Office</t>
  </si>
  <si>
    <t>-</t>
  </si>
  <si>
    <t>Northeast Region</t>
  </si>
  <si>
    <t>Nakhon  Ratchasima</t>
  </si>
  <si>
    <t>Buri  Ram</t>
  </si>
  <si>
    <t>Surin</t>
  </si>
  <si>
    <t>Si Sa Ket</t>
  </si>
  <si>
    <t>Ubon  Ratchathani</t>
  </si>
  <si>
    <t>Yasothon</t>
  </si>
  <si>
    <t>Chaiyaphum</t>
  </si>
  <si>
    <t>Amnat  Charoen</t>
  </si>
  <si>
    <t>Nong Bua Lam Phu</t>
  </si>
  <si>
    <t>Khon Kean</t>
  </si>
  <si>
    <t>Udon  Thani</t>
  </si>
  <si>
    <t>Loei</t>
  </si>
  <si>
    <t>Nong  Khai</t>
  </si>
  <si>
    <t>Maha  Sarakham</t>
  </si>
  <si>
    <t>Roi  Et</t>
  </si>
  <si>
    <t>Kalasin</t>
  </si>
  <si>
    <t>Sakon  Nakhon</t>
  </si>
  <si>
    <t>Nakhon  Phanom</t>
  </si>
  <si>
    <t>Mukdahan</t>
  </si>
  <si>
    <t>Bung Kan</t>
  </si>
  <si>
    <t xml:space="preserve">กิจกรรมการจ้างงานในครัวเรือนส่วนบุคคล  </t>
  </si>
  <si>
    <t>การผลิตสินค้าและบริการที่ทำขี้นเองเพื่อใช้ในครัวเรือน</t>
  </si>
  <si>
    <t>นอกภาคเกษรกรรม</t>
  </si>
  <si>
    <t xml:space="preserve">   (หน่วยเป็นพัน   In thousands)</t>
  </si>
  <si>
    <t xml:space="preserve">           ที่มา:  การสำรวจภาวะการทำงานของประชากร พ.ศ 2557 - 2560  ระดับจังหวัด  สำนักงานสถิติแห่งชาติ</t>
  </si>
  <si>
    <t>ไตร 2 59</t>
  </si>
  <si>
    <t>ไตร 3 59</t>
  </si>
  <si>
    <t xml:space="preserve"> 2014</t>
  </si>
  <si>
    <t xml:space="preserve"> 2015</t>
  </si>
  <si>
    <t xml:space="preserve"> 2016</t>
  </si>
  <si>
    <t xml:space="preserve"> 2017</t>
  </si>
  <si>
    <t>อัตราค่าจ้างขั้นต่ำ เป็นรายจังหวัดภาคตะวันออกเฉียงเหนือ พ.ศ. 2555 - 2560</t>
  </si>
  <si>
    <t>ค่าจ้าง  (Wage)</t>
  </si>
  <si>
    <t>อัตราการเปลี่ยนแปลง (Percen change)</t>
  </si>
  <si>
    <t>ธ.ค</t>
  </si>
  <si>
    <t>Dec.</t>
  </si>
  <si>
    <t>Unemployed and Unemployment Rate by Sex and Quarterly : 2014 - 2017</t>
  </si>
  <si>
    <t xml:space="preserve"> ประชากรอายุ 15 ปี ขึ้นไป</t>
  </si>
  <si>
    <t xml:space="preserve">  2. ผู้ไม่อยู่ในกำลังแรงงาน</t>
  </si>
  <si>
    <t xml:space="preserve">  1. กำลังแรงงานรวม</t>
  </si>
  <si>
    <t xml:space="preserve">        1.1 กำลังแรงงานปจจุจบัน</t>
  </si>
  <si>
    <t xml:space="preserve">           1.2 กำลังรอฤดูกาล</t>
  </si>
  <si>
    <t xml:space="preserve">           - ผู้งานทำ</t>
  </si>
  <si>
    <t xml:space="preserve">           - ผู้ว่างงาน</t>
  </si>
  <si>
    <t xml:space="preserve">           2.1 ทำงานบ้าน</t>
  </si>
  <si>
    <t xml:space="preserve">           2.2 เรียนหนังสือ</t>
  </si>
  <si>
    <t xml:space="preserve">           2.3 อื่นๆ</t>
  </si>
  <si>
    <t xml:space="preserve">    2.1 Household wok</t>
  </si>
  <si>
    <t>2. Persons not in labour force</t>
  </si>
  <si>
    <t xml:space="preserve">    2.2 Studies</t>
  </si>
  <si>
    <t xml:space="preserve">    2.3 Other</t>
  </si>
  <si>
    <t xml:space="preserve"> 1. Total labour force</t>
  </si>
  <si>
    <t xml:space="preserve">      - Employed</t>
  </si>
  <si>
    <t xml:space="preserve">      - Unemployed</t>
  </si>
  <si>
    <t xml:space="preserve">     1.1 Current labour force</t>
  </si>
  <si>
    <t xml:space="preserve">     1.2 Seasonall inactive labour force</t>
  </si>
  <si>
    <t>Population 15 years and over</t>
  </si>
  <si>
    <t>Minimum Wage Rate by Province of Northeast Region : 2012 - 2017</t>
  </si>
  <si>
    <t>(2017</t>
  </si>
  <si>
    <t>(2017)</t>
  </si>
  <si>
    <t>ม.ค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</si>
</sst>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_-* #,##0_-;\-* #,##0_-;_-* &quot;-&quot;??_-;_-@_-"/>
    <numFmt numFmtId="191" formatCode="_-* #,##0.0_-;\-* #,##0.0_-;_-* &quot;-&quot;??_-;_-@_-"/>
  </numFmts>
  <fonts count="2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3"/>
      <color indexed="8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sz val="9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43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</cellStyleXfs>
  <cellXfs count="49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18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88" fontId="10" fillId="0" borderId="1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0" xfId="1" applyNumberFormat="1" applyFont="1" applyAlignment="1">
      <alignment horizontal="left"/>
    </xf>
    <xf numFmtId="0" fontId="7" fillId="0" borderId="0" xfId="0" applyFont="1" applyAlignment="1">
      <alignment horizontal="left"/>
    </xf>
    <xf numFmtId="187" fontId="11" fillId="0" borderId="0" xfId="1" applyNumberFormat="1" applyFont="1" applyBorder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12" fillId="0" borderId="0" xfId="0" applyFont="1" applyBorder="1"/>
    <xf numFmtId="0" fontId="12" fillId="0" borderId="0" xfId="0" applyFont="1"/>
    <xf numFmtId="0" fontId="9" fillId="0" borderId="0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8" xfId="0" applyFont="1" applyBorder="1"/>
    <xf numFmtId="0" fontId="9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13" fillId="0" borderId="0" xfId="0" applyFont="1"/>
    <xf numFmtId="0" fontId="9" fillId="0" borderId="7" xfId="0" applyFont="1" applyBorder="1"/>
    <xf numFmtId="0" fontId="9" fillId="0" borderId="0" xfId="0" applyFont="1" applyAlignment="1">
      <alignment horizontal="left"/>
    </xf>
    <xf numFmtId="0" fontId="9" fillId="0" borderId="8" xfId="0" applyFont="1" applyBorder="1"/>
    <xf numFmtId="0" fontId="9" fillId="0" borderId="6" xfId="0" applyFont="1" applyBorder="1"/>
    <xf numFmtId="0" fontId="7" fillId="0" borderId="0" xfId="0" quotePrefix="1" applyFont="1" applyAlignment="1">
      <alignment horizontal="left"/>
    </xf>
    <xf numFmtId="0" fontId="6" fillId="0" borderId="9" xfId="0" applyFont="1" applyBorder="1"/>
    <xf numFmtId="0" fontId="9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9" fillId="0" borderId="9" xfId="0" applyFont="1" applyBorder="1"/>
    <xf numFmtId="0" fontId="12" fillId="0" borderId="0" xfId="0" applyFont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/>
    <xf numFmtId="0" fontId="9" fillId="0" borderId="9" xfId="0" applyFont="1" applyBorder="1" applyAlignment="1">
      <alignment horizontal="left"/>
    </xf>
    <xf numFmtId="0" fontId="9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applyFont="1" applyBorder="1" applyAlignment="1"/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90" fontId="6" fillId="0" borderId="7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190" fontId="12" fillId="0" borderId="7" xfId="1" applyNumberFormat="1" applyFont="1" applyBorder="1" applyAlignment="1">
      <alignment horizontal="right" vertical="center"/>
    </xf>
    <xf numFmtId="190" fontId="15" fillId="0" borderId="10" xfId="1" applyNumberFormat="1" applyFont="1" applyBorder="1" applyAlignment="1">
      <alignment horizontal="right"/>
    </xf>
    <xf numFmtId="190" fontId="16" fillId="0" borderId="7" xfId="1" applyNumberFormat="1" applyFont="1" applyBorder="1" applyAlignment="1">
      <alignment horizontal="right"/>
    </xf>
    <xf numFmtId="190" fontId="15" fillId="0" borderId="9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 vertical="center"/>
    </xf>
    <xf numFmtId="190" fontId="12" fillId="0" borderId="7" xfId="1" applyNumberFormat="1" applyFont="1" applyBorder="1" applyAlignment="1">
      <alignment horizontal="center" vertical="center"/>
    </xf>
    <xf numFmtId="190" fontId="20" fillId="0" borderId="4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10" xfId="0" applyNumberFormat="1" applyFont="1" applyBorder="1" applyAlignment="1">
      <alignment vertical="center"/>
    </xf>
    <xf numFmtId="0" fontId="7" fillId="0" borderId="11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3" xfId="1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9" fillId="0" borderId="11" xfId="0" applyFont="1" applyBorder="1"/>
    <xf numFmtId="3" fontId="12" fillId="0" borderId="0" xfId="0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190" fontId="12" fillId="0" borderId="0" xfId="1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90" fontId="12" fillId="0" borderId="7" xfId="1" applyNumberFormat="1" applyFont="1" applyBorder="1" applyAlignment="1">
      <alignment vertical="center"/>
    </xf>
    <xf numFmtId="190" fontId="12" fillId="0" borderId="0" xfId="1" applyNumberFormat="1" applyFont="1" applyBorder="1" applyAlignment="1">
      <alignment vertical="center"/>
    </xf>
    <xf numFmtId="190" fontId="9" fillId="0" borderId="0" xfId="1" applyNumberFormat="1" applyFont="1" applyBorder="1" applyAlignment="1">
      <alignment vertical="center"/>
    </xf>
    <xf numFmtId="190" fontId="12" fillId="0" borderId="3" xfId="1" applyNumberFormat="1" applyFont="1" applyBorder="1" applyAlignment="1">
      <alignment horizontal="right" vertical="center"/>
    </xf>
    <xf numFmtId="190" fontId="12" fillId="0" borderId="0" xfId="1" applyNumberFormat="1" applyFont="1" applyBorder="1" applyAlignment="1">
      <alignment horizontal="right" vertical="center"/>
    </xf>
    <xf numFmtId="190" fontId="12" fillId="0" borderId="3" xfId="1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90" fontId="5" fillId="0" borderId="0" xfId="1" applyNumberFormat="1" applyFont="1" applyBorder="1" applyAlignment="1">
      <alignment vertical="center"/>
    </xf>
    <xf numFmtId="190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90" fontId="12" fillId="0" borderId="8" xfId="1" applyNumberFormat="1" applyFont="1" applyBorder="1" applyAlignment="1">
      <alignment vertical="center"/>
    </xf>
    <xf numFmtId="190" fontId="12" fillId="0" borderId="6" xfId="1" applyNumberFormat="1" applyFont="1" applyBorder="1" applyAlignment="1">
      <alignment vertical="center"/>
    </xf>
    <xf numFmtId="190" fontId="12" fillId="0" borderId="1" xfId="1" applyNumberFormat="1" applyFont="1" applyBorder="1" applyAlignment="1">
      <alignment vertical="center"/>
    </xf>
    <xf numFmtId="190" fontId="7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22" fillId="0" borderId="11" xfId="0" applyNumberFormat="1" applyFont="1" applyBorder="1" applyAlignment="1">
      <alignment horizontal="right" vertical="center"/>
    </xf>
    <xf numFmtId="3" fontId="23" fillId="0" borderId="3" xfId="0" applyNumberFormat="1" applyFont="1" applyBorder="1" applyAlignment="1">
      <alignment horizontal="right" vertical="center"/>
    </xf>
    <xf numFmtId="3" fontId="23" fillId="0" borderId="3" xfId="1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23" fillId="0" borderId="7" xfId="1" applyNumberFormat="1" applyFont="1" applyBorder="1" applyAlignment="1">
      <alignment horizontal="right" vertical="center"/>
    </xf>
    <xf numFmtId="190" fontId="23" fillId="0" borderId="3" xfId="1" applyNumberFormat="1" applyFont="1" applyBorder="1" applyAlignment="1">
      <alignment horizontal="right" vertical="center"/>
    </xf>
    <xf numFmtId="190" fontId="23" fillId="0" borderId="7" xfId="1" applyNumberFormat="1" applyFont="1" applyBorder="1" applyAlignment="1">
      <alignment horizontal="right" vertical="center"/>
    </xf>
    <xf numFmtId="0" fontId="23" fillId="0" borderId="3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3" fontId="22" fillId="0" borderId="7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vertical="center"/>
    </xf>
    <xf numFmtId="190" fontId="15" fillId="0" borderId="0" xfId="1" applyNumberFormat="1" applyFont="1" applyAlignment="1">
      <alignment horizontal="right"/>
    </xf>
    <xf numFmtId="190" fontId="16" fillId="0" borderId="0" xfId="1" applyNumberFormat="1" applyFont="1" applyAlignment="1">
      <alignment horizontal="right"/>
    </xf>
    <xf numFmtId="0" fontId="20" fillId="0" borderId="6" xfId="0" applyFont="1" applyBorder="1"/>
    <xf numFmtId="0" fontId="20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90" fontId="19" fillId="0" borderId="2" xfId="1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90" fontId="15" fillId="0" borderId="11" xfId="1" applyNumberFormat="1" applyFont="1" applyBorder="1" applyAlignment="1">
      <alignment horizontal="right"/>
    </xf>
    <xf numFmtId="190" fontId="16" fillId="0" borderId="3" xfId="1" applyNumberFormat="1" applyFont="1" applyBorder="1" applyAlignment="1">
      <alignment horizontal="right"/>
    </xf>
    <xf numFmtId="190" fontId="15" fillId="0" borderId="10" xfId="1" applyNumberFormat="1" applyFont="1" applyBorder="1" applyAlignment="1">
      <alignment horizontal="right" vertical="center"/>
    </xf>
    <xf numFmtId="190" fontId="16" fillId="0" borderId="7" xfId="1" applyNumberFormat="1" applyFont="1" applyBorder="1" applyAlignment="1">
      <alignment horizontal="right" vertical="center"/>
    </xf>
    <xf numFmtId="190" fontId="15" fillId="0" borderId="11" xfId="1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90" fontId="16" fillId="0" borderId="3" xfId="1" applyNumberFormat="1" applyFont="1" applyBorder="1" applyAlignment="1">
      <alignment horizontal="right" vertical="center"/>
    </xf>
    <xf numFmtId="3" fontId="16" fillId="0" borderId="7" xfId="0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16" fillId="0" borderId="0" xfId="0" applyNumberFormat="1" applyFont="1" applyBorder="1" applyAlignment="1">
      <alignment horizontal="right" vertical="center"/>
    </xf>
    <xf numFmtId="190" fontId="15" fillId="0" borderId="7" xfId="1" applyNumberFormat="1" applyFont="1" applyBorder="1" applyAlignment="1">
      <alignment horizontal="right" vertical="center"/>
    </xf>
    <xf numFmtId="190" fontId="8" fillId="0" borderId="0" xfId="1" applyNumberFormat="1" applyFont="1" applyAlignment="1">
      <alignment horizontal="right"/>
    </xf>
    <xf numFmtId="190" fontId="7" fillId="0" borderId="0" xfId="1" applyNumberFormat="1" applyFont="1" applyAlignment="1">
      <alignment horizontal="right"/>
    </xf>
    <xf numFmtId="0" fontId="13" fillId="0" borderId="0" xfId="0" applyFont="1" applyAlignment="1">
      <alignment vertical="center"/>
    </xf>
    <xf numFmtId="190" fontId="15" fillId="0" borderId="0" xfId="1" applyNumberFormat="1" applyFont="1" applyBorder="1" applyAlignment="1">
      <alignment horizontal="right" vertical="center"/>
    </xf>
    <xf numFmtId="190" fontId="16" fillId="0" borderId="0" xfId="1" applyNumberFormat="1" applyFont="1" applyBorder="1" applyAlignment="1">
      <alignment horizontal="right" vertical="center"/>
    </xf>
    <xf numFmtId="190" fontId="15" fillId="0" borderId="9" xfId="1" applyNumberFormat="1" applyFont="1" applyBorder="1" applyAlignment="1">
      <alignment horizontal="right" vertical="center"/>
    </xf>
    <xf numFmtId="190" fontId="15" fillId="0" borderId="3" xfId="1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vertical="center"/>
    </xf>
    <xf numFmtId="190" fontId="16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12" fillId="0" borderId="8" xfId="0" applyFont="1" applyBorder="1" applyAlignment="1">
      <alignment horizontal="right"/>
    </xf>
    <xf numFmtId="2" fontId="6" fillId="0" borderId="7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12" fillId="0" borderId="7" xfId="0" quotePrefix="1" applyFont="1" applyBorder="1" applyAlignment="1">
      <alignment horizontal="left" vertical="center"/>
    </xf>
    <xf numFmtId="190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187" fontId="11" fillId="0" borderId="6" xfId="1" applyNumberFormat="1" applyFont="1" applyBorder="1" applyAlignment="1">
      <alignment horizontal="right"/>
    </xf>
    <xf numFmtId="187" fontId="11" fillId="0" borderId="8" xfId="1" applyNumberFormat="1" applyFont="1" applyBorder="1" applyAlignment="1">
      <alignment horizontal="right"/>
    </xf>
    <xf numFmtId="188" fontId="7" fillId="0" borderId="3" xfId="1" applyNumberFormat="1" applyFont="1" applyBorder="1" applyAlignment="1">
      <alignment horizontal="right" vertical="center"/>
    </xf>
    <xf numFmtId="188" fontId="11" fillId="0" borderId="6" xfId="1" applyNumberFormat="1" applyFont="1" applyBorder="1" applyAlignment="1">
      <alignment horizontal="right"/>
    </xf>
    <xf numFmtId="188" fontId="11" fillId="0" borderId="8" xfId="1" applyNumberFormat="1" applyFont="1" applyBorder="1" applyAlignment="1">
      <alignment horizontal="right"/>
    </xf>
    <xf numFmtId="0" fontId="7" fillId="0" borderId="11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horizontal="left" vertical="center"/>
    </xf>
    <xf numFmtId="191" fontId="24" fillId="0" borderId="4" xfId="1" applyNumberFormat="1" applyFont="1" applyBorder="1" applyAlignment="1">
      <alignment vertical="center"/>
    </xf>
    <xf numFmtId="191" fontId="24" fillId="0" borderId="0" xfId="1" applyNumberFormat="1" applyFont="1" applyAlignment="1">
      <alignment vertical="center"/>
    </xf>
    <xf numFmtId="191" fontId="25" fillId="0" borderId="4" xfId="1" applyNumberFormat="1" applyFont="1" applyBorder="1" applyAlignment="1">
      <alignment vertical="center"/>
    </xf>
    <xf numFmtId="191" fontId="7" fillId="0" borderId="0" xfId="1" applyNumberFormat="1" applyFont="1" applyAlignment="1">
      <alignment vertical="center"/>
    </xf>
    <xf numFmtId="191" fontId="7" fillId="0" borderId="7" xfId="1" applyNumberFormat="1" applyFont="1" applyBorder="1" applyAlignment="1">
      <alignment vertical="center"/>
    </xf>
    <xf numFmtId="191" fontId="7" fillId="0" borderId="4" xfId="1" applyNumberFormat="1" applyFont="1" applyBorder="1" applyAlignment="1">
      <alignment vertical="center"/>
    </xf>
    <xf numFmtId="191" fontId="7" fillId="0" borderId="3" xfId="1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191" fontId="8" fillId="0" borderId="3" xfId="1" applyNumberFormat="1" applyFont="1" applyBorder="1" applyAlignment="1">
      <alignment vertical="center"/>
    </xf>
    <xf numFmtId="191" fontId="8" fillId="0" borderId="7" xfId="1" applyNumberFormat="1" applyFont="1" applyBorder="1" applyAlignment="1">
      <alignment vertical="center"/>
    </xf>
    <xf numFmtId="191" fontId="8" fillId="0" borderId="4" xfId="1" applyNumberFormat="1" applyFont="1" applyBorder="1" applyAlignment="1">
      <alignment vertical="center"/>
    </xf>
    <xf numFmtId="191" fontId="8" fillId="0" borderId="0" xfId="1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9" xfId="0" applyNumberFormat="1" applyFont="1" applyBorder="1" applyAlignment="1">
      <alignment vertical="center"/>
    </xf>
    <xf numFmtId="187" fontId="11" fillId="0" borderId="1" xfId="1" applyNumberFormat="1" applyFont="1" applyBorder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center"/>
    </xf>
    <xf numFmtId="188" fontId="12" fillId="0" borderId="10" xfId="1" applyNumberFormat="1" applyFont="1" applyBorder="1" applyAlignment="1">
      <alignment horizontal="right" vertical="center"/>
    </xf>
    <xf numFmtId="188" fontId="12" fillId="0" borderId="0" xfId="1" applyNumberFormat="1" applyFont="1" applyBorder="1" applyAlignment="1">
      <alignment horizontal="right" vertical="center"/>
    </xf>
    <xf numFmtId="0" fontId="26" fillId="0" borderId="0" xfId="1" applyNumberFormat="1" applyFont="1" applyBorder="1" applyAlignment="1">
      <alignment vertical="center"/>
    </xf>
    <xf numFmtId="187" fontId="12" fillId="0" borderId="3" xfId="1" applyNumberFormat="1" applyFont="1" applyBorder="1" applyAlignment="1">
      <alignment horizontal="right" vertical="center"/>
    </xf>
    <xf numFmtId="187" fontId="12" fillId="0" borderId="7" xfId="1" applyNumberFormat="1" applyFont="1" applyBorder="1" applyAlignment="1">
      <alignment horizontal="right" vertical="center"/>
    </xf>
    <xf numFmtId="187" fontId="12" fillId="0" borderId="0" xfId="1" applyNumberFormat="1" applyFont="1" applyBorder="1" applyAlignment="1">
      <alignment horizontal="right" vertical="center"/>
    </xf>
    <xf numFmtId="188" fontId="12" fillId="0" borderId="7" xfId="1" applyNumberFormat="1" applyFont="1" applyBorder="1" applyAlignment="1">
      <alignment horizontal="right" vertical="center"/>
    </xf>
    <xf numFmtId="188" fontId="12" fillId="0" borderId="3" xfId="1" applyNumberFormat="1" applyFont="1" applyBorder="1" applyAlignment="1">
      <alignment horizontal="right" vertical="center"/>
    </xf>
    <xf numFmtId="187" fontId="18" fillId="0" borderId="3" xfId="1" applyNumberFormat="1" applyFont="1" applyBorder="1" applyAlignment="1">
      <alignment horizontal="right" vertical="center"/>
    </xf>
    <xf numFmtId="187" fontId="18" fillId="0" borderId="7" xfId="1" applyNumberFormat="1" applyFont="1" applyBorder="1" applyAlignment="1">
      <alignment horizontal="right" vertical="center"/>
    </xf>
    <xf numFmtId="187" fontId="18" fillId="0" borderId="0" xfId="1" applyNumberFormat="1" applyFont="1" applyBorder="1" applyAlignment="1">
      <alignment horizontal="right" vertical="center"/>
    </xf>
    <xf numFmtId="188" fontId="18" fillId="0" borderId="7" xfId="1" applyNumberFormat="1" applyFont="1" applyBorder="1" applyAlignment="1">
      <alignment horizontal="right" vertical="center"/>
    </xf>
    <xf numFmtId="188" fontId="18" fillId="0" borderId="3" xfId="1" applyNumberFormat="1" applyFont="1" applyBorder="1" applyAlignment="1">
      <alignment horizontal="right" vertical="center"/>
    </xf>
    <xf numFmtId="187" fontId="18" fillId="0" borderId="3" xfId="1" applyNumberFormat="1" applyFont="1" applyBorder="1" applyAlignment="1">
      <alignment horizontal="right"/>
    </xf>
    <xf numFmtId="187" fontId="18" fillId="0" borderId="7" xfId="1" applyNumberFormat="1" applyFont="1" applyBorder="1" applyAlignment="1">
      <alignment horizontal="right"/>
    </xf>
    <xf numFmtId="187" fontId="18" fillId="0" borderId="0" xfId="1" applyNumberFormat="1" applyFont="1" applyBorder="1" applyAlignment="1">
      <alignment horizontal="right"/>
    </xf>
    <xf numFmtId="188" fontId="18" fillId="0" borderId="3" xfId="1" applyNumberFormat="1" applyFont="1" applyBorder="1" applyAlignment="1">
      <alignment horizontal="right"/>
    </xf>
    <xf numFmtId="187" fontId="12" fillId="0" borderId="3" xfId="1" applyNumberFormat="1" applyFont="1" applyBorder="1" applyAlignment="1">
      <alignment horizontal="right"/>
    </xf>
    <xf numFmtId="187" fontId="12" fillId="0" borderId="7" xfId="1" applyNumberFormat="1" applyFont="1" applyBorder="1" applyAlignment="1">
      <alignment horizontal="right"/>
    </xf>
    <xf numFmtId="187" fontId="12" fillId="0" borderId="0" xfId="1" applyNumberFormat="1" applyFont="1" applyBorder="1" applyAlignment="1">
      <alignment horizontal="right"/>
    </xf>
    <xf numFmtId="188" fontId="12" fillId="0" borderId="3" xfId="1" applyNumberFormat="1" applyFont="1" applyBorder="1" applyAlignment="1">
      <alignment horizontal="right"/>
    </xf>
    <xf numFmtId="190" fontId="6" fillId="0" borderId="3" xfId="1" applyNumberFormat="1" applyFont="1" applyBorder="1" applyAlignment="1">
      <alignment horizontal="right" vertical="center"/>
    </xf>
    <xf numFmtId="190" fontId="6" fillId="0" borderId="7" xfId="1" applyNumberFormat="1" applyFont="1" applyBorder="1" applyAlignment="1">
      <alignment horizontal="right"/>
    </xf>
    <xf numFmtId="190" fontId="6" fillId="0" borderId="0" xfId="1" applyNumberFormat="1" applyFont="1" applyBorder="1" applyAlignment="1">
      <alignment horizontal="right"/>
    </xf>
    <xf numFmtId="190" fontId="4" fillId="0" borderId="7" xfId="1" applyNumberFormat="1" applyFont="1" applyBorder="1" applyAlignment="1">
      <alignment horizontal="right" vertical="center"/>
    </xf>
    <xf numFmtId="190" fontId="4" fillId="0" borderId="3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190" fontId="6" fillId="0" borderId="7" xfId="1" applyNumberFormat="1" applyFont="1" applyFill="1" applyBorder="1" applyAlignment="1">
      <alignment horizontal="right" vertical="center"/>
    </xf>
    <xf numFmtId="190" fontId="6" fillId="0" borderId="3" xfId="1" applyNumberFormat="1" applyFont="1" applyFill="1" applyBorder="1" applyAlignment="1">
      <alignment horizontal="right" vertical="center"/>
    </xf>
    <xf numFmtId="190" fontId="6" fillId="0" borderId="0" xfId="1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0" fontId="6" fillId="0" borderId="0" xfId="0" applyNumberFormat="1" applyFont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4" fillId="0" borderId="0" xfId="57" applyNumberFormat="1" applyFont="1" applyBorder="1" applyAlignment="1"/>
    <xf numFmtId="0" fontId="4" fillId="0" borderId="3" xfId="57" applyNumberFormat="1" applyFont="1" applyBorder="1" applyAlignment="1"/>
    <xf numFmtId="0" fontId="7" fillId="0" borderId="9" xfId="0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 shrinkToFit="1"/>
    </xf>
    <xf numFmtId="0" fontId="7" fillId="0" borderId="3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6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6" fillId="0" borderId="0" xfId="57" applyNumberFormat="1" applyFont="1" applyBorder="1" applyAlignment="1"/>
    <xf numFmtId="0" fontId="6" fillId="0" borderId="3" xfId="57" applyNumberFormat="1" applyFont="1" applyBorder="1" applyAlignment="1"/>
    <xf numFmtId="0" fontId="6" fillId="0" borderId="0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7" xfId="0" quotePrefix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quotePrefix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1" fillId="3" borderId="0" xfId="0" applyFont="1" applyFill="1" applyAlignment="1">
      <alignment horizontal="left"/>
    </xf>
    <xf numFmtId="190" fontId="12" fillId="3" borderId="7" xfId="1" applyNumberFormat="1" applyFont="1" applyFill="1" applyBorder="1" applyAlignment="1">
      <alignment horizontal="right" vertical="center"/>
    </xf>
    <xf numFmtId="190" fontId="12" fillId="3" borderId="0" xfId="1" applyNumberFormat="1" applyFont="1" applyFill="1" applyBorder="1" applyAlignment="1">
      <alignment horizontal="right" vertical="center"/>
    </xf>
    <xf numFmtId="187" fontId="18" fillId="3" borderId="3" xfId="1" applyNumberFormat="1" applyFont="1" applyFill="1" applyBorder="1" applyAlignment="1">
      <alignment horizontal="right"/>
    </xf>
    <xf numFmtId="187" fontId="18" fillId="3" borderId="7" xfId="1" applyNumberFormat="1" applyFont="1" applyFill="1" applyBorder="1" applyAlignment="1">
      <alignment horizontal="right"/>
    </xf>
    <xf numFmtId="187" fontId="18" fillId="3" borderId="0" xfId="1" applyNumberFormat="1" applyFont="1" applyFill="1" applyBorder="1" applyAlignment="1">
      <alignment horizontal="right"/>
    </xf>
    <xf numFmtId="188" fontId="18" fillId="3" borderId="7" xfId="1" applyNumberFormat="1" applyFont="1" applyFill="1" applyBorder="1" applyAlignment="1">
      <alignment horizontal="right" vertical="center"/>
    </xf>
    <xf numFmtId="188" fontId="18" fillId="3" borderId="3" xfId="1" applyNumberFormat="1" applyFont="1" applyFill="1" applyBorder="1" applyAlignment="1">
      <alignment horizontal="right"/>
    </xf>
    <xf numFmtId="187" fontId="18" fillId="3" borderId="7" xfId="1" applyNumberFormat="1" applyFont="1" applyFill="1" applyBorder="1" applyAlignment="1">
      <alignment horizontal="right" vertical="center"/>
    </xf>
  </cellXfs>
  <cellStyles count="58">
    <cellStyle name="เครื่องหมายจุลภาค" xfId="1" builtinId="3"/>
    <cellStyle name="เครื่องหมายจุลภาค 10" xfId="22"/>
    <cellStyle name="เครื่องหมายจุลภาค 11" xfId="24"/>
    <cellStyle name="เครื่องหมายจุลภาค 12" xfId="26"/>
    <cellStyle name="เครื่องหมายจุลภาค 13" xfId="28"/>
    <cellStyle name="เครื่องหมายจุลภาค 14" xfId="30"/>
    <cellStyle name="เครื่องหมายจุลภาค 15" xfId="32"/>
    <cellStyle name="เครื่องหมายจุลภาค 16" xfId="34"/>
    <cellStyle name="เครื่องหมายจุลภาค 17" xfId="36"/>
    <cellStyle name="เครื่องหมายจุลภาค 18" xfId="38"/>
    <cellStyle name="เครื่องหมายจุลภาค 19" xfId="40"/>
    <cellStyle name="เครื่องหมายจุลภาค 2" xfId="6"/>
    <cellStyle name="เครื่องหมายจุลภาค 20" xfId="42"/>
    <cellStyle name="เครื่องหมายจุลภาค 21" xfId="44"/>
    <cellStyle name="เครื่องหมายจุลภาค 22" xfId="46"/>
    <cellStyle name="เครื่องหมายจุลภาค 23" xfId="48"/>
    <cellStyle name="เครื่องหมายจุลภาค 24" xfId="50"/>
    <cellStyle name="เครื่องหมายจุลภาค 25" xfId="52"/>
    <cellStyle name="เครื่องหมายจุลภาค 3" xfId="9"/>
    <cellStyle name="เครื่องหมายจุลภาค 4" xfId="11"/>
    <cellStyle name="เครื่องหมายจุลภาค 5" xfId="13"/>
    <cellStyle name="เครื่องหมายจุลภาค 6" xfId="14"/>
    <cellStyle name="เครื่องหมายจุลภาค 7" xfId="16"/>
    <cellStyle name="เครื่องหมายจุลภาค 8" xfId="18"/>
    <cellStyle name="เครื่องหมายจุลภาค 9" xfId="20"/>
    <cellStyle name="ปกติ" xfId="0" builtinId="0"/>
    <cellStyle name="ปกติ 2" xfId="57"/>
    <cellStyle name="ปกติ 2 10" xfId="21"/>
    <cellStyle name="ปกติ 2 11" xfId="23"/>
    <cellStyle name="ปกติ 2 12" xfId="25"/>
    <cellStyle name="ปกติ 2 13" xfId="27"/>
    <cellStyle name="ปกติ 2 14" xfId="29"/>
    <cellStyle name="ปกติ 2 15" xfId="31"/>
    <cellStyle name="ปกติ 2 16" xfId="33"/>
    <cellStyle name="ปกติ 2 17" xfId="35"/>
    <cellStyle name="ปกติ 2 18" xfId="37"/>
    <cellStyle name="ปกติ 2 19" xfId="39"/>
    <cellStyle name="ปกติ 2 2" xfId="2"/>
    <cellStyle name="ปกติ 2 20" xfId="41"/>
    <cellStyle name="ปกติ 2 21" xfId="43"/>
    <cellStyle name="ปกติ 2 22" xfId="45"/>
    <cellStyle name="ปกติ 2 23" xfId="47"/>
    <cellStyle name="ปกติ 2 24" xfId="49"/>
    <cellStyle name="ปกติ 2 25" xfId="51"/>
    <cellStyle name="ปกติ 2 26" xfId="53"/>
    <cellStyle name="ปกติ 2 27" xfId="54"/>
    <cellStyle name="ปกติ 2 28" xfId="55"/>
    <cellStyle name="ปกติ 2 29" xfId="56"/>
    <cellStyle name="ปกติ 2 3" xfId="7"/>
    <cellStyle name="ปกติ 2 4" xfId="8"/>
    <cellStyle name="ปกติ 2 5" xfId="10"/>
    <cellStyle name="ปกติ 2 6" xfId="12"/>
    <cellStyle name="ปกติ 2 7" xfId="15"/>
    <cellStyle name="ปกติ 2 8" xfId="17"/>
    <cellStyle name="ปกติ 2 9" xfId="19"/>
    <cellStyle name="ปกติ 3" xfId="3"/>
    <cellStyle name="ปกติ 4" xfId="4"/>
    <cellStyle name="ปกติ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1464301</xdr:colOff>
      <xdr:row>0</xdr:row>
      <xdr:rowOff>0</xdr:rowOff>
    </xdr:from>
    <xdr:to>
      <xdr:col>25</xdr:col>
      <xdr:colOff>150738</xdr:colOff>
      <xdr:row>26</xdr:row>
      <xdr:rowOff>179915</xdr:rowOff>
    </xdr:to>
    <xdr:grpSp>
      <xdr:nvGrpSpPr>
        <xdr:cNvPr id="2385" name="Group 230"/>
        <xdr:cNvGrpSpPr>
          <a:grpSpLocks/>
        </xdr:cNvGrpSpPr>
      </xdr:nvGrpSpPr>
      <xdr:grpSpPr bwMode="auto">
        <a:xfrm>
          <a:off x="9636751" y="0"/>
          <a:ext cx="886712" cy="6637865"/>
          <a:chOff x="987" y="0"/>
          <a:chExt cx="66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87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88" name="Straight Connector 12"/>
          <xdr:cNvCxnSpPr>
            <a:cxnSpLocks noChangeShapeType="1"/>
          </xdr:cNvCxnSpPr>
        </xdr:nvCxnSpPr>
        <xdr:spPr bwMode="auto">
          <a:xfrm rot="5400000">
            <a:off x="687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1019174</xdr:colOff>
      <xdr:row>0</xdr:row>
      <xdr:rowOff>0</xdr:rowOff>
    </xdr:from>
    <xdr:to>
      <xdr:col>26</xdr:col>
      <xdr:colOff>28575</xdr:colOff>
      <xdr:row>32</xdr:row>
      <xdr:rowOff>152400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124949" y="0"/>
          <a:ext cx="628651" cy="6648450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1645678</xdr:colOff>
      <xdr:row>0</xdr:row>
      <xdr:rowOff>9525</xdr:rowOff>
    </xdr:from>
    <xdr:to>
      <xdr:col>41</xdr:col>
      <xdr:colOff>234230</xdr:colOff>
      <xdr:row>27</xdr:row>
      <xdr:rowOff>123024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694303" y="9525"/>
          <a:ext cx="569752" cy="6628599"/>
          <a:chOff x="991" y="0"/>
          <a:chExt cx="62" cy="71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56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1351682</xdr:colOff>
      <xdr:row>0</xdr:row>
      <xdr:rowOff>0</xdr:rowOff>
    </xdr:from>
    <xdr:to>
      <xdr:col>27</xdr:col>
      <xdr:colOff>56282</xdr:colOff>
      <xdr:row>40</xdr:row>
      <xdr:rowOff>153939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9924182" y="0"/>
          <a:ext cx="752475" cy="6697614"/>
          <a:chOff x="1000" y="699"/>
          <a:chExt cx="66" cy="685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1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58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1348740</xdr:colOff>
      <xdr:row>0</xdr:row>
      <xdr:rowOff>0</xdr:rowOff>
    </xdr:from>
    <xdr:to>
      <xdr:col>38</xdr:col>
      <xdr:colOff>26670</xdr:colOff>
      <xdr:row>19</xdr:row>
      <xdr:rowOff>76200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9587865" y="0"/>
          <a:ext cx="659130" cy="6534150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7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1121827</xdr:colOff>
      <xdr:row>0</xdr:row>
      <xdr:rowOff>0</xdr:rowOff>
    </xdr:from>
    <xdr:to>
      <xdr:col>38</xdr:col>
      <xdr:colOff>8466</xdr:colOff>
      <xdr:row>27</xdr:row>
      <xdr:rowOff>203200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684802" y="0"/>
          <a:ext cx="639239" cy="65659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27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123825</xdr:colOff>
      <xdr:row>0</xdr:row>
      <xdr:rowOff>9525</xdr:rowOff>
    </xdr:from>
    <xdr:to>
      <xdr:col>38</xdr:col>
      <xdr:colOff>232410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382125" y="9525"/>
          <a:ext cx="565785" cy="6543675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62</xdr:row>
      <xdr:rowOff>38100</xdr:rowOff>
    </xdr:from>
    <xdr:to>
      <xdr:col>18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19</xdr:col>
      <xdr:colOff>0</xdr:colOff>
      <xdr:row>62</xdr:row>
      <xdr:rowOff>190500</xdr:rowOff>
    </xdr:from>
    <xdr:to>
      <xdr:col>19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17</xdr:col>
      <xdr:colOff>800100</xdr:colOff>
      <xdr:row>0</xdr:row>
      <xdr:rowOff>0</xdr:rowOff>
    </xdr:from>
    <xdr:to>
      <xdr:col>19</xdr:col>
      <xdr:colOff>295275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201150" y="0"/>
          <a:ext cx="542925" cy="6638925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1</xdr:row>
      <xdr:rowOff>0</xdr:rowOff>
    </xdr:from>
    <xdr:to>
      <xdr:col>31</xdr:col>
      <xdr:colOff>0</xdr:colOff>
      <xdr:row>33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05900" y="238125"/>
          <a:ext cx="0" cy="60769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4</xdr:row>
      <xdr:rowOff>0</xdr:rowOff>
    </xdr:from>
    <xdr:to>
      <xdr:col>31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29</xdr:row>
      <xdr:rowOff>0</xdr:rowOff>
    </xdr:from>
    <xdr:to>
      <xdr:col>31</xdr:col>
      <xdr:colOff>0</xdr:colOff>
      <xdr:row>33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105900" y="57626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33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105900" y="5572125"/>
          <a:ext cx="0" cy="7429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30</xdr:col>
      <xdr:colOff>942975</xdr:colOff>
      <xdr:row>0</xdr:row>
      <xdr:rowOff>0</xdr:rowOff>
    </xdr:from>
    <xdr:to>
      <xdr:col>33</xdr:col>
      <xdr:colOff>0</xdr:colOff>
      <xdr:row>35</xdr:row>
      <xdr:rowOff>9525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43975" y="0"/>
          <a:ext cx="590550" cy="6724650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238125</xdr:colOff>
      <xdr:row>26</xdr:row>
      <xdr:rowOff>142875</xdr:rowOff>
    </xdr:from>
    <xdr:to>
      <xdr:col>30</xdr:col>
      <xdr:colOff>819150</xdr:colOff>
      <xdr:row>28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8353425" y="5334000"/>
          <a:ext cx="581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238125</xdr:colOff>
      <xdr:row>26</xdr:row>
      <xdr:rowOff>142875</xdr:rowOff>
    </xdr:from>
    <xdr:to>
      <xdr:col>30</xdr:col>
      <xdr:colOff>819150</xdr:colOff>
      <xdr:row>28</xdr:row>
      <xdr:rowOff>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8353425" y="5334000"/>
          <a:ext cx="581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AB31"/>
  <sheetViews>
    <sheetView showGridLines="0" workbookViewId="0">
      <selection activeCell="Z13" sqref="Z13"/>
    </sheetView>
  </sheetViews>
  <sheetFormatPr defaultColWidth="9.140625" defaultRowHeight="18.75"/>
  <cols>
    <col min="1" max="2" width="1.7109375" style="136" customWidth="1"/>
    <col min="3" max="3" width="2.42578125" style="136" customWidth="1"/>
    <col min="4" max="4" width="1.5703125" style="136" customWidth="1"/>
    <col min="5" max="5" width="4.140625" style="136" customWidth="1"/>
    <col min="6" max="6" width="13.140625" style="136" customWidth="1"/>
    <col min="7" max="7" width="7.85546875" style="136" bestFit="1" customWidth="1"/>
    <col min="8" max="13" width="7.5703125" style="136" customWidth="1"/>
    <col min="14" max="14" width="6.7109375" style="136" customWidth="1"/>
    <col min="15" max="15" width="7.5703125" style="136" customWidth="1"/>
    <col min="16" max="16" width="7" style="136" customWidth="1"/>
    <col min="17" max="17" width="7.5703125" style="136" customWidth="1"/>
    <col min="18" max="18" width="7.140625" style="136" customWidth="1"/>
    <col min="19" max="20" width="1.7109375" style="136" customWidth="1"/>
    <col min="21" max="21" width="2.42578125" style="136" customWidth="1"/>
    <col min="22" max="22" width="2.7109375" style="136" customWidth="1"/>
    <col min="23" max="23" width="23" style="136" customWidth="1"/>
    <col min="24" max="24" width="4" style="136" customWidth="1"/>
    <col min="25" max="25" width="6" style="136" customWidth="1"/>
    <col min="26" max="16384" width="9.140625" style="136"/>
  </cols>
  <sheetData>
    <row r="1" spans="1:27" s="133" customFormat="1" ht="21.75" customHeight="1">
      <c r="B1" s="133" t="s">
        <v>185</v>
      </c>
      <c r="E1" s="132">
        <v>2.1</v>
      </c>
      <c r="F1" s="133" t="s">
        <v>243</v>
      </c>
    </row>
    <row r="2" spans="1:27" s="131" customFormat="1" ht="21.75" customHeight="1">
      <c r="A2" s="133"/>
      <c r="B2" s="133" t="s">
        <v>186</v>
      </c>
      <c r="C2" s="133"/>
      <c r="D2" s="133"/>
      <c r="E2" s="132">
        <v>2.1</v>
      </c>
      <c r="F2" s="133" t="s">
        <v>244</v>
      </c>
      <c r="AA2" s="131">
        <v>1000</v>
      </c>
    </row>
    <row r="3" spans="1:27">
      <c r="A3" s="134"/>
      <c r="B3" s="134"/>
      <c r="C3" s="134"/>
      <c r="D3" s="134"/>
      <c r="E3" s="134"/>
      <c r="F3" s="134"/>
      <c r="G3" s="135"/>
      <c r="H3" s="135"/>
      <c r="I3" s="135"/>
      <c r="J3" s="135"/>
      <c r="K3" s="135"/>
      <c r="L3" s="135"/>
      <c r="M3" s="135"/>
      <c r="N3" s="135"/>
      <c r="S3" s="347" t="s">
        <v>141</v>
      </c>
      <c r="T3" s="347"/>
      <c r="U3" s="347"/>
      <c r="V3" s="347"/>
      <c r="W3" s="347"/>
    </row>
    <row r="4" spans="1:27" s="140" customFormat="1" ht="27" customHeight="1">
      <c r="A4" s="359" t="s">
        <v>7</v>
      </c>
      <c r="B4" s="359"/>
      <c r="C4" s="359"/>
      <c r="D4" s="359"/>
      <c r="E4" s="359"/>
      <c r="F4" s="360"/>
      <c r="G4" s="137"/>
      <c r="H4" s="138"/>
      <c r="I4" s="137"/>
      <c r="J4" s="138"/>
      <c r="K4" s="137"/>
      <c r="L4" s="138"/>
      <c r="M4" s="137"/>
      <c r="N4" s="138"/>
      <c r="O4" s="349" t="s">
        <v>124</v>
      </c>
      <c r="P4" s="349"/>
      <c r="Q4" s="137"/>
      <c r="R4" s="138"/>
      <c r="S4" s="350" t="s">
        <v>66</v>
      </c>
      <c r="T4" s="344"/>
      <c r="U4" s="344"/>
      <c r="V4" s="344"/>
      <c r="W4" s="344"/>
      <c r="X4" s="297"/>
    </row>
    <row r="5" spans="1:27" s="140" customFormat="1" ht="18" customHeight="1">
      <c r="A5" s="361"/>
      <c r="B5" s="361"/>
      <c r="C5" s="361"/>
      <c r="D5" s="361"/>
      <c r="E5" s="361"/>
      <c r="F5" s="362"/>
      <c r="G5" s="339" t="s">
        <v>139</v>
      </c>
      <c r="H5" s="365"/>
      <c r="I5" s="339" t="s">
        <v>138</v>
      </c>
      <c r="J5" s="340"/>
      <c r="K5" s="339" t="s">
        <v>120</v>
      </c>
      <c r="L5" s="340"/>
      <c r="M5" s="339" t="s">
        <v>135</v>
      </c>
      <c r="N5" s="340"/>
      <c r="O5" s="339" t="s">
        <v>242</v>
      </c>
      <c r="P5" s="340"/>
      <c r="Q5" s="339" t="s">
        <v>121</v>
      </c>
      <c r="R5" s="340"/>
      <c r="S5" s="351"/>
      <c r="T5" s="352"/>
      <c r="U5" s="352"/>
      <c r="V5" s="352"/>
      <c r="W5" s="352"/>
      <c r="X5" s="139"/>
    </row>
    <row r="6" spans="1:27" s="140" customFormat="1" ht="24" customHeight="1">
      <c r="A6" s="361"/>
      <c r="B6" s="361"/>
      <c r="C6" s="361"/>
      <c r="D6" s="361"/>
      <c r="E6" s="361"/>
      <c r="F6" s="362"/>
      <c r="G6" s="341" t="s">
        <v>119</v>
      </c>
      <c r="H6" s="348"/>
      <c r="I6" s="341" t="s">
        <v>123</v>
      </c>
      <c r="J6" s="342"/>
      <c r="K6" s="348" t="s">
        <v>199</v>
      </c>
      <c r="L6" s="348"/>
      <c r="M6" s="341" t="s">
        <v>198</v>
      </c>
      <c r="N6" s="342"/>
      <c r="O6" s="341" t="s">
        <v>241</v>
      </c>
      <c r="P6" s="342"/>
      <c r="Q6" s="341" t="s">
        <v>200</v>
      </c>
      <c r="R6" s="342"/>
      <c r="S6" s="353"/>
      <c r="T6" s="354"/>
      <c r="U6" s="354"/>
      <c r="V6" s="354"/>
      <c r="W6" s="354"/>
    </row>
    <row r="7" spans="1:27" s="140" customFormat="1" ht="20.25" customHeight="1">
      <c r="A7" s="361"/>
      <c r="B7" s="361"/>
      <c r="C7" s="361"/>
      <c r="D7" s="361"/>
      <c r="E7" s="361"/>
      <c r="F7" s="362"/>
      <c r="G7" s="141" t="s">
        <v>2</v>
      </c>
      <c r="H7" s="142" t="s">
        <v>3</v>
      </c>
      <c r="I7" s="143" t="s">
        <v>2</v>
      </c>
      <c r="J7" s="142" t="s">
        <v>3</v>
      </c>
      <c r="K7" s="143" t="s">
        <v>2</v>
      </c>
      <c r="L7" s="144" t="s">
        <v>3</v>
      </c>
      <c r="M7" s="143" t="s">
        <v>2</v>
      </c>
      <c r="N7" s="144" t="s">
        <v>3</v>
      </c>
      <c r="O7" s="141" t="s">
        <v>2</v>
      </c>
      <c r="P7" s="142" t="s">
        <v>3</v>
      </c>
      <c r="Q7" s="141" t="s">
        <v>2</v>
      </c>
      <c r="R7" s="142" t="s">
        <v>3</v>
      </c>
      <c r="S7" s="353"/>
      <c r="T7" s="354"/>
      <c r="U7" s="354"/>
      <c r="V7" s="354"/>
      <c r="W7" s="354"/>
    </row>
    <row r="8" spans="1:27" s="140" customFormat="1" ht="19.5" customHeight="1">
      <c r="A8" s="363"/>
      <c r="B8" s="363"/>
      <c r="C8" s="363"/>
      <c r="D8" s="363"/>
      <c r="E8" s="363"/>
      <c r="F8" s="364"/>
      <c r="G8" s="128" t="s">
        <v>5</v>
      </c>
      <c r="H8" s="129" t="s">
        <v>6</v>
      </c>
      <c r="I8" s="128" t="s">
        <v>5</v>
      </c>
      <c r="J8" s="129" t="s">
        <v>6</v>
      </c>
      <c r="K8" s="128" t="s">
        <v>5</v>
      </c>
      <c r="L8" s="130" t="s">
        <v>6</v>
      </c>
      <c r="M8" s="128" t="s">
        <v>5</v>
      </c>
      <c r="N8" s="129" t="s">
        <v>6</v>
      </c>
      <c r="O8" s="128" t="s">
        <v>5</v>
      </c>
      <c r="P8" s="129" t="s">
        <v>6</v>
      </c>
      <c r="Q8" s="128" t="s">
        <v>5</v>
      </c>
      <c r="R8" s="129" t="s">
        <v>6</v>
      </c>
      <c r="S8" s="355"/>
      <c r="T8" s="356"/>
      <c r="U8" s="356"/>
      <c r="V8" s="356"/>
      <c r="W8" s="356"/>
      <c r="X8" s="139"/>
    </row>
    <row r="9" spans="1:27" s="140" customFormat="1" ht="6" customHeight="1">
      <c r="A9" s="359"/>
      <c r="B9" s="359"/>
      <c r="C9" s="359"/>
      <c r="D9" s="359"/>
      <c r="E9" s="359"/>
      <c r="F9" s="360"/>
      <c r="G9" s="141"/>
      <c r="H9" s="275"/>
      <c r="I9" s="141"/>
      <c r="J9" s="275"/>
      <c r="K9" s="141"/>
      <c r="L9" s="276"/>
      <c r="M9" s="141"/>
      <c r="N9" s="275"/>
      <c r="O9" s="141"/>
      <c r="P9" s="275"/>
      <c r="Q9" s="141"/>
      <c r="R9" s="276"/>
      <c r="S9" s="343"/>
      <c r="T9" s="344"/>
      <c r="U9" s="344"/>
      <c r="V9" s="344"/>
      <c r="W9" s="344"/>
      <c r="X9" s="139"/>
    </row>
    <row r="10" spans="1:27" s="133" customFormat="1" ht="24.95" customHeight="1">
      <c r="A10" s="357" t="s">
        <v>336</v>
      </c>
      <c r="B10" s="357"/>
      <c r="C10" s="357"/>
      <c r="D10" s="357"/>
      <c r="E10" s="357"/>
      <c r="F10" s="358"/>
      <c r="G10" s="283">
        <f>26873405.5/1000</f>
        <v>26873.405500000001</v>
      </c>
      <c r="H10" s="283">
        <f>(28736735.005/$G31)</f>
        <v>28736.735004999999</v>
      </c>
      <c r="I10" s="283">
        <f>3618350.4975/1000</f>
        <v>3618.3504975000001</v>
      </c>
      <c r="J10" s="283">
        <f>3911681.7475/1000</f>
        <v>3911.6817475000003</v>
      </c>
      <c r="K10" s="283">
        <f>7973424.75/1000</f>
        <v>7973.4247500000001</v>
      </c>
      <c r="L10" s="283">
        <f>8450936.7475/1000</f>
        <v>8450.9367474999999</v>
      </c>
      <c r="M10" s="283">
        <f>4575745.7525/1000</f>
        <v>4575.7457525</v>
      </c>
      <c r="N10" s="283">
        <f>4912007.2525/1000</f>
        <v>4912.0072525000005</v>
      </c>
      <c r="O10" s="283">
        <f>7165017.0025/1000</f>
        <v>7165.0170025000007</v>
      </c>
      <c r="P10" s="283">
        <f>7740061.005/1000</f>
        <v>7740.0610049999996</v>
      </c>
      <c r="Q10" s="283">
        <f>3540867.5025/1000</f>
        <v>3540.8675024999998</v>
      </c>
      <c r="R10" s="284">
        <f>3722048.2475/1000</f>
        <v>3722.0482474999999</v>
      </c>
      <c r="S10" s="277"/>
      <c r="T10" s="337" t="s">
        <v>355</v>
      </c>
      <c r="U10" s="337"/>
      <c r="V10" s="337"/>
      <c r="W10" s="337"/>
      <c r="X10" s="136"/>
    </row>
    <row r="11" spans="1:27" s="133" customFormat="1" ht="24.95" customHeight="1">
      <c r="A11" s="357" t="s">
        <v>338</v>
      </c>
      <c r="B11" s="357"/>
      <c r="C11" s="357"/>
      <c r="D11" s="357"/>
      <c r="E11" s="357"/>
      <c r="F11" s="358"/>
      <c r="G11" s="283">
        <f>20849079.4975/1000</f>
        <v>20849.079497499999</v>
      </c>
      <c r="H11" s="283">
        <f>17417511.13/1000</f>
        <v>17417.511129999999</v>
      </c>
      <c r="I11" s="283">
        <f>2795840.17/1000</f>
        <v>2795.8401699999999</v>
      </c>
      <c r="J11" s="283">
        <f>2480335.0225/1000</f>
        <v>2480.3350224999999</v>
      </c>
      <c r="K11" s="283">
        <f>6345384.3075/1000</f>
        <v>6345.3843075000004</v>
      </c>
      <c r="L11" s="283">
        <f>5395024.46/1000</f>
        <v>5395.0244599999996</v>
      </c>
      <c r="M11" s="283">
        <f>3479197.745/1000</f>
        <v>3479.1977449999999</v>
      </c>
      <c r="N11" s="283">
        <f>2927337.8925/1000</f>
        <v>2927.3378925000002</v>
      </c>
      <c r="O11" s="283">
        <f>5359695.675/1000</f>
        <v>5359.6956749999999</v>
      </c>
      <c r="P11" s="283">
        <f>4331921.97/1000</f>
        <v>4331.9219699999994</v>
      </c>
      <c r="Q11" s="283">
        <f>2868961.6/1000</f>
        <v>2868.9616000000001</v>
      </c>
      <c r="R11" s="284">
        <f>2282891.78/1000</f>
        <v>2282.8917799999999</v>
      </c>
      <c r="S11" s="277"/>
      <c r="T11" s="337" t="s">
        <v>350</v>
      </c>
      <c r="U11" s="337"/>
      <c r="V11" s="337"/>
      <c r="W11" s="337"/>
      <c r="X11" s="135"/>
    </row>
    <row r="12" spans="1:27" ht="24.95" customHeight="1">
      <c r="A12" s="368" t="s">
        <v>339</v>
      </c>
      <c r="B12" s="368"/>
      <c r="C12" s="368"/>
      <c r="D12" s="368"/>
      <c r="E12" s="368"/>
      <c r="F12" s="369"/>
      <c r="G12" s="285">
        <f>20731010.8325/1000</f>
        <v>20731.0108325</v>
      </c>
      <c r="H12" s="286">
        <f>17339105.645/1000</f>
        <v>17339.105645</v>
      </c>
      <c r="I12" s="287">
        <f>2790417.77/1000</f>
        <v>2790.41777</v>
      </c>
      <c r="J12" s="288">
        <f>2477789.9575/1000</f>
        <v>2477.7899575000001</v>
      </c>
      <c r="K12" s="289">
        <f>6319029.0425/1000</f>
        <v>6319.0290425000003</v>
      </c>
      <c r="L12" s="286">
        <f>5381277.2/1000</f>
        <v>5381.2772000000004</v>
      </c>
      <c r="M12" s="288">
        <f>3457970.185/1000</f>
        <v>3457.9701850000001</v>
      </c>
      <c r="N12" s="286">
        <f>2913812.9125/1000</f>
        <v>2913.8129125</v>
      </c>
      <c r="O12" s="287">
        <f>5297161.34/1000</f>
        <v>5297.1613399999997</v>
      </c>
      <c r="P12" s="288">
        <f>4284927.505/1000</f>
        <v>4284.9275049999997</v>
      </c>
      <c r="Q12" s="289">
        <f>2866432.4925/1000</f>
        <v>2866.4324925000001</v>
      </c>
      <c r="R12" s="286">
        <f>2281298.075/1000</f>
        <v>2281.2980750000002</v>
      </c>
      <c r="S12" s="279"/>
      <c r="T12" s="338" t="s">
        <v>353</v>
      </c>
      <c r="U12" s="338"/>
      <c r="V12" s="338"/>
      <c r="W12" s="338"/>
      <c r="X12" s="280"/>
      <c r="Y12" s="281"/>
    </row>
    <row r="13" spans="1:27" ht="24.95" customHeight="1">
      <c r="A13" s="370" t="s">
        <v>341</v>
      </c>
      <c r="B13" s="370"/>
      <c r="C13" s="370"/>
      <c r="D13" s="370"/>
      <c r="E13" s="370"/>
      <c r="F13" s="346"/>
      <c r="G13" s="285">
        <f>20522206.37/1000</f>
        <v>20522.20637</v>
      </c>
      <c r="H13" s="289">
        <f>17170444.5075/1000</f>
        <v>17170.4445075</v>
      </c>
      <c r="I13" s="287">
        <f>2760331.7025/1000</f>
        <v>2760.3317025000001</v>
      </c>
      <c r="J13" s="288">
        <f>2461119.12/1000</f>
        <v>2461.1191200000003</v>
      </c>
      <c r="K13" s="289">
        <f>6253034.2525/1000</f>
        <v>6253.0342525000005</v>
      </c>
      <c r="L13" s="286">
        <f>5333163.0625/1000</f>
        <v>5333.1630624999998</v>
      </c>
      <c r="M13" s="288">
        <f>3426149.3175/1000</f>
        <v>3426.1493175000001</v>
      </c>
      <c r="N13" s="286">
        <f>2884778.005/1000</f>
        <v>2884.7780049999997</v>
      </c>
      <c r="O13" s="287">
        <f>5253694.1725/1000</f>
        <v>5253.6941725000006</v>
      </c>
      <c r="P13" s="288">
        <f>4242816.7125/1000</f>
        <v>4242.8167125</v>
      </c>
      <c r="Q13" s="289">
        <f>2828996.92/1000</f>
        <v>2828.99692</v>
      </c>
      <c r="R13" s="286">
        <f>2248567.6/1000</f>
        <v>2248.5676000000003</v>
      </c>
      <c r="S13" s="279"/>
      <c r="T13" s="338" t="s">
        <v>351</v>
      </c>
      <c r="U13" s="338"/>
      <c r="V13" s="338"/>
      <c r="W13" s="338"/>
      <c r="X13" s="280"/>
      <c r="Y13" s="281"/>
    </row>
    <row r="14" spans="1:27" ht="24.95" customHeight="1">
      <c r="A14" s="345" t="s">
        <v>342</v>
      </c>
      <c r="B14" s="345"/>
      <c r="C14" s="345"/>
      <c r="D14" s="345"/>
      <c r="E14" s="345"/>
      <c r="F14" s="346"/>
      <c r="G14" s="285">
        <f>208804.465/1000</f>
        <v>208.80446499999999</v>
      </c>
      <c r="H14" s="289">
        <f>168661.1425/1000</f>
        <v>168.66114249999998</v>
      </c>
      <c r="I14" s="287">
        <f>30086.0675/1000</f>
        <v>30.086067500000002</v>
      </c>
      <c r="J14" s="288">
        <f>16670.835/1000</f>
        <v>16.670835</v>
      </c>
      <c r="K14" s="289">
        <f>65994.79/1000</f>
        <v>65.994789999999995</v>
      </c>
      <c r="L14" s="286">
        <f>48114.1375/1000</f>
        <v>48.114137499999998</v>
      </c>
      <c r="M14" s="288">
        <f>31820.8675/1000</f>
        <v>31.820867499999999</v>
      </c>
      <c r="N14" s="286">
        <f>29034.9075/1000</f>
        <v>29.034907500000003</v>
      </c>
      <c r="O14" s="287">
        <f>43467.1675/1000</f>
        <v>43.467167500000002</v>
      </c>
      <c r="P14" s="288">
        <f>42110.7925/1000</f>
        <v>42.110792500000002</v>
      </c>
      <c r="Q14" s="289">
        <f>37435.5725/1000</f>
        <v>37.435572499999999</v>
      </c>
      <c r="R14" s="286">
        <f>32730.4675/1000</f>
        <v>32.730467499999996</v>
      </c>
      <c r="S14" s="279"/>
      <c r="T14" s="282" t="s">
        <v>352</v>
      </c>
      <c r="U14" s="282"/>
      <c r="V14" s="282"/>
      <c r="W14" s="282"/>
      <c r="X14" s="280"/>
      <c r="Y14" s="281"/>
    </row>
    <row r="15" spans="1:27" ht="24.95" customHeight="1">
      <c r="A15" s="345" t="s">
        <v>340</v>
      </c>
      <c r="B15" s="345"/>
      <c r="C15" s="345"/>
      <c r="D15" s="345"/>
      <c r="E15" s="345"/>
      <c r="F15" s="346"/>
      <c r="G15" s="285">
        <f>118068.6675/1000</f>
        <v>118.06866749999999</v>
      </c>
      <c r="H15" s="289">
        <f>78405.4825/1000</f>
        <v>78.405482500000005</v>
      </c>
      <c r="I15" s="287">
        <f>5422.3975/1000</f>
        <v>5.4223974999999998</v>
      </c>
      <c r="J15" s="288">
        <f>2545.0625/1000</f>
        <v>2.5450624999999998</v>
      </c>
      <c r="K15" s="289">
        <f>26355.2675/1000</f>
        <v>26.3552675</v>
      </c>
      <c r="L15" s="286">
        <f>13747.2625/1000</f>
        <v>13.747262500000001</v>
      </c>
      <c r="M15" s="288">
        <f>21227.5625/1000</f>
        <v>21.227562500000001</v>
      </c>
      <c r="N15" s="286">
        <f>13524.98/1000</f>
        <v>13.524979999999999</v>
      </c>
      <c r="O15" s="287">
        <f>62534.335/1000</f>
        <v>62.534334999999999</v>
      </c>
      <c r="P15" s="288">
        <f>46994.465/1000</f>
        <v>46.994464999999998</v>
      </c>
      <c r="Q15" s="289">
        <f>2529.1075/1000</f>
        <v>2.5291075000000003</v>
      </c>
      <c r="R15" s="286">
        <f>1593.7075/1000</f>
        <v>1.5937075000000001</v>
      </c>
      <c r="S15" s="279"/>
      <c r="T15" s="338" t="s">
        <v>354</v>
      </c>
      <c r="U15" s="338"/>
      <c r="V15" s="338"/>
      <c r="W15" s="338"/>
      <c r="X15" s="338"/>
      <c r="Y15" s="338"/>
    </row>
    <row r="16" spans="1:27" ht="9.75" customHeight="1">
      <c r="A16" s="345"/>
      <c r="B16" s="345"/>
      <c r="C16" s="345"/>
      <c r="D16" s="345"/>
      <c r="E16" s="345"/>
      <c r="F16" s="346"/>
      <c r="G16" s="283"/>
      <c r="H16" s="289"/>
      <c r="I16" s="290"/>
      <c r="J16" s="291"/>
      <c r="K16" s="292"/>
      <c r="L16" s="140"/>
      <c r="M16" s="291"/>
      <c r="N16" s="140"/>
      <c r="O16" s="290"/>
      <c r="P16" s="291"/>
      <c r="Q16" s="292"/>
      <c r="R16" s="140"/>
      <c r="S16" s="279"/>
      <c r="T16" s="336"/>
      <c r="U16" s="336"/>
      <c r="V16" s="336"/>
      <c r="W16" s="336"/>
      <c r="X16" s="135"/>
    </row>
    <row r="17" spans="1:28" ht="24.95" customHeight="1">
      <c r="A17" s="366" t="s">
        <v>337</v>
      </c>
      <c r="B17" s="366"/>
      <c r="C17" s="366"/>
      <c r="D17" s="366"/>
      <c r="E17" s="366"/>
      <c r="F17" s="367"/>
      <c r="G17" s="283">
        <f>6024326/1000</f>
        <v>6024.326</v>
      </c>
      <c r="H17" s="293">
        <f>11319223.88/1000</f>
        <v>11319.223880000001</v>
      </c>
      <c r="I17" s="294">
        <f>822510.3275/1000</f>
        <v>822.51032750000002</v>
      </c>
      <c r="J17" s="295">
        <f>1431346.7275/1000</f>
        <v>1431.3467275</v>
      </c>
      <c r="K17" s="293">
        <f>1628040.4425/1000</f>
        <v>1628.0404424999999</v>
      </c>
      <c r="L17" s="296">
        <f>3055912.285/1000</f>
        <v>3055.9122850000003</v>
      </c>
      <c r="M17" s="295">
        <f>1096548.005/1000</f>
        <v>1096.5480049999999</v>
      </c>
      <c r="N17" s="296">
        <f>1984669.3625/1000</f>
        <v>1984.6693625</v>
      </c>
      <c r="O17" s="294">
        <f>1805321.3225/1000</f>
        <v>1805.3213225</v>
      </c>
      <c r="P17" s="295">
        <f>3408139.035/1000</f>
        <v>3408.1390350000001</v>
      </c>
      <c r="Q17" s="293">
        <f>671905.9/1000</f>
        <v>671.90589999999997</v>
      </c>
      <c r="R17" s="296">
        <f>1439156.4675/1000</f>
        <v>1439.1564675</v>
      </c>
      <c r="S17" s="279"/>
      <c r="T17" s="337" t="s">
        <v>347</v>
      </c>
      <c r="U17" s="337"/>
      <c r="V17" s="337"/>
      <c r="W17" s="337"/>
      <c r="X17" s="135"/>
    </row>
    <row r="18" spans="1:28" ht="24.95" customHeight="1">
      <c r="A18" s="345" t="s">
        <v>343</v>
      </c>
      <c r="B18" s="345"/>
      <c r="C18" s="345"/>
      <c r="D18" s="345"/>
      <c r="E18" s="345"/>
      <c r="F18" s="346"/>
      <c r="G18" s="285">
        <f>235425.275/1000</f>
        <v>235.425275</v>
      </c>
      <c r="H18" s="289">
        <f>4964706.0875/1000</f>
        <v>4964.7060875000006</v>
      </c>
      <c r="I18" s="287">
        <f>31548.3075/1000</f>
        <v>31.5483075</v>
      </c>
      <c r="J18" s="288">
        <f>640370.55/1000</f>
        <v>640.37055000000009</v>
      </c>
      <c r="K18" s="289">
        <f>95810.51/1000</f>
        <v>95.810509999999994</v>
      </c>
      <c r="L18" s="286">
        <f>1419656.7825/1000</f>
        <v>1419.6567825</v>
      </c>
      <c r="M18" s="288">
        <f>47365.0325/1000</f>
        <v>47.365032499999998</v>
      </c>
      <c r="N18" s="286">
        <f>823282.17/1000</f>
        <v>823.28217000000006</v>
      </c>
      <c r="O18" s="287">
        <f>40442.855/1000</f>
        <v>40.442855000000002</v>
      </c>
      <c r="P18" s="288">
        <f>1360648.58/1000</f>
        <v>1360.64858</v>
      </c>
      <c r="Q18" s="289">
        <f>20258.5725/1000</f>
        <v>20.2585725</v>
      </c>
      <c r="R18" s="286">
        <f>720748.0075/1000</f>
        <v>720.74800749999997</v>
      </c>
      <c r="S18" s="279"/>
      <c r="T18" s="338" t="s">
        <v>346</v>
      </c>
      <c r="U18" s="338"/>
      <c r="V18" s="338"/>
      <c r="W18" s="338"/>
      <c r="X18" s="135"/>
      <c r="AB18" s="281"/>
    </row>
    <row r="19" spans="1:28" ht="24.95" customHeight="1">
      <c r="A19" s="345" t="s">
        <v>344</v>
      </c>
      <c r="B19" s="345"/>
      <c r="C19" s="345"/>
      <c r="D19" s="345"/>
      <c r="E19" s="345"/>
      <c r="F19" s="346"/>
      <c r="G19" s="285">
        <f>2048583.165/1000</f>
        <v>2048.583165</v>
      </c>
      <c r="H19" s="289">
        <f>2279524.485/1000</f>
        <v>2279.5244849999999</v>
      </c>
      <c r="I19" s="287">
        <f>281496.5075/1000</f>
        <v>281.49650750000001</v>
      </c>
      <c r="J19" s="288">
        <f>301184.8825/1000</f>
        <v>301.18488250000001</v>
      </c>
      <c r="K19" s="289">
        <f>523061.5775/1000</f>
        <v>523.0615775</v>
      </c>
      <c r="L19" s="286">
        <f>573638.54/1000</f>
        <v>573.63854000000003</v>
      </c>
      <c r="M19" s="288">
        <f>364282.3975/1000</f>
        <v>364.2823975</v>
      </c>
      <c r="N19" s="286">
        <f>388079.4175/1000</f>
        <v>388.07941749999998</v>
      </c>
      <c r="O19" s="287">
        <f>638188.08/1000</f>
        <v>638.18808000000001</v>
      </c>
      <c r="P19" s="288">
        <f>716347.2125/1000</f>
        <v>716.34721250000007</v>
      </c>
      <c r="Q19" s="289">
        <f>241554.6/1000</f>
        <v>241.55459999999999</v>
      </c>
      <c r="R19" s="286">
        <f>300274.44/1000</f>
        <v>300.27444000000003</v>
      </c>
      <c r="S19" s="279"/>
      <c r="T19" s="338" t="s">
        <v>348</v>
      </c>
      <c r="U19" s="338"/>
      <c r="V19" s="338"/>
      <c r="W19" s="338"/>
      <c r="X19" s="135"/>
    </row>
    <row r="20" spans="1:28" s="133" customFormat="1" ht="24.95" customHeight="1">
      <c r="A20" s="345" t="s">
        <v>345</v>
      </c>
      <c r="B20" s="345"/>
      <c r="C20" s="345"/>
      <c r="D20" s="345"/>
      <c r="E20" s="345"/>
      <c r="F20" s="346"/>
      <c r="G20" s="285">
        <f>3740317.56/1000</f>
        <v>3740.31756</v>
      </c>
      <c r="H20" s="289">
        <f>4074993.3/1000</f>
        <v>4074.9932999999996</v>
      </c>
      <c r="I20" s="287">
        <f>509465.52/1000</f>
        <v>509.46552000000003</v>
      </c>
      <c r="J20" s="288">
        <f>489791.2925/1000</f>
        <v>489.7912925</v>
      </c>
      <c r="K20" s="293">
        <f>1009168.355/1000</f>
        <v>1009.168355</v>
      </c>
      <c r="L20" s="296">
        <f>1062616.9625/1000</f>
        <v>1062.6169625</v>
      </c>
      <c r="M20" s="288">
        <f>684900.575/1000</f>
        <v>684.900575</v>
      </c>
      <c r="N20" s="286">
        <f>773307.78/1000</f>
        <v>773.30777999999998</v>
      </c>
      <c r="O20" s="287">
        <f>1126690.3875/1000</f>
        <v>1126.6903875</v>
      </c>
      <c r="P20" s="288">
        <f>1331143.2475/1000</f>
        <v>1331.1432475000001</v>
      </c>
      <c r="Q20" s="289">
        <f>410092.7275/1000</f>
        <v>410.09272749999997</v>
      </c>
      <c r="R20" s="286">
        <f>418134.02/1000</f>
        <v>418.13402000000002</v>
      </c>
      <c r="S20" s="277"/>
      <c r="T20" s="338" t="s">
        <v>349</v>
      </c>
      <c r="U20" s="338"/>
      <c r="V20" s="338"/>
      <c r="W20" s="338"/>
      <c r="X20" s="278"/>
    </row>
    <row r="21" spans="1:28" s="140" customFormat="1" ht="3" customHeight="1">
      <c r="A21" s="145"/>
      <c r="B21" s="145"/>
      <c r="C21" s="145"/>
      <c r="D21" s="145"/>
      <c r="E21" s="145"/>
      <c r="F21" s="145"/>
      <c r="G21" s="146"/>
      <c r="H21" s="147"/>
      <c r="I21" s="146"/>
      <c r="J21" s="147"/>
      <c r="K21" s="146"/>
      <c r="L21" s="145"/>
      <c r="M21" s="148"/>
      <c r="N21" s="146"/>
      <c r="O21" s="146"/>
      <c r="P21" s="147"/>
      <c r="Q21" s="146"/>
      <c r="R21" s="145"/>
      <c r="S21" s="149"/>
      <c r="T21" s="134"/>
      <c r="U21" s="134"/>
      <c r="V21" s="134"/>
      <c r="W21" s="134"/>
      <c r="X21" s="135"/>
    </row>
    <row r="22" spans="1:28" s="140" customFormat="1" ht="3" customHeight="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5"/>
      <c r="T22" s="135"/>
      <c r="U22" s="135"/>
      <c r="V22" s="135"/>
      <c r="W22" s="135"/>
      <c r="X22" s="298"/>
    </row>
    <row r="23" spans="1:28" s="140" customFormat="1" ht="15.75">
      <c r="A23" s="150" t="s">
        <v>194</v>
      </c>
      <c r="B23" s="150"/>
      <c r="C23" s="150"/>
      <c r="D23" s="150"/>
      <c r="E23" s="150" t="s">
        <v>67</v>
      </c>
      <c r="N23" s="150" t="s">
        <v>190</v>
      </c>
      <c r="O23" s="150" t="s">
        <v>134</v>
      </c>
      <c r="X23" s="139"/>
    </row>
    <row r="24" spans="1:28" s="150" customFormat="1" ht="15.75">
      <c r="D24" s="151" t="s">
        <v>62</v>
      </c>
      <c r="E24" s="150" t="s">
        <v>245</v>
      </c>
      <c r="N24" s="150" t="s">
        <v>191</v>
      </c>
      <c r="O24" s="150" t="s">
        <v>246</v>
      </c>
    </row>
    <row r="25" spans="1:28" s="150" customFormat="1" ht="19.5" customHeight="1">
      <c r="D25" s="151"/>
      <c r="E25" s="150" t="s">
        <v>68</v>
      </c>
    </row>
    <row r="26" spans="1:28" s="150" customFormat="1" ht="17.25" customHeight="1"/>
    <row r="27" spans="1:28" s="150" customFormat="1" ht="15.75" customHeight="1"/>
    <row r="28" spans="1:28" s="150" customFormat="1" ht="17.25" customHeight="1"/>
    <row r="29" spans="1:28" s="150" customFormat="1" ht="15.75" customHeight="1"/>
    <row r="31" spans="1:28">
      <c r="B31" s="136">
        <v>1000</v>
      </c>
      <c r="G31" s="136">
        <v>1000</v>
      </c>
    </row>
  </sheetData>
  <mergeCells count="39">
    <mergeCell ref="A16:F16"/>
    <mergeCell ref="A17:F17"/>
    <mergeCell ref="A18:F18"/>
    <mergeCell ref="A19:F19"/>
    <mergeCell ref="A9:F9"/>
    <mergeCell ref="A11:F11"/>
    <mergeCell ref="A12:F12"/>
    <mergeCell ref="A13:F13"/>
    <mergeCell ref="A14:F14"/>
    <mergeCell ref="A20:F20"/>
    <mergeCell ref="S3:W3"/>
    <mergeCell ref="K5:L5"/>
    <mergeCell ref="K6:L6"/>
    <mergeCell ref="Q5:R5"/>
    <mergeCell ref="Q6:R6"/>
    <mergeCell ref="O4:P4"/>
    <mergeCell ref="S4:W8"/>
    <mergeCell ref="O6:P6"/>
    <mergeCell ref="A10:F10"/>
    <mergeCell ref="A4:F8"/>
    <mergeCell ref="G5:H5"/>
    <mergeCell ref="G6:H6"/>
    <mergeCell ref="I5:J5"/>
    <mergeCell ref="I6:J6"/>
    <mergeCell ref="A15:F15"/>
    <mergeCell ref="T11:W11"/>
    <mergeCell ref="T12:W12"/>
    <mergeCell ref="T13:W13"/>
    <mergeCell ref="T15:Y15"/>
    <mergeCell ref="M5:N5"/>
    <mergeCell ref="M6:N6"/>
    <mergeCell ref="O5:P5"/>
    <mergeCell ref="S9:W9"/>
    <mergeCell ref="T10:W10"/>
    <mergeCell ref="T16:W16"/>
    <mergeCell ref="T17:W17"/>
    <mergeCell ref="T18:W18"/>
    <mergeCell ref="T19:W19"/>
    <mergeCell ref="T20:W20"/>
  </mergeCells>
  <phoneticPr fontId="3" type="noConversion"/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Y34"/>
  <sheetViews>
    <sheetView showGridLines="0" workbookViewId="0">
      <selection activeCell="K26" sqref="K26"/>
    </sheetView>
  </sheetViews>
  <sheetFormatPr defaultColWidth="9.140625" defaultRowHeight="18.75"/>
  <cols>
    <col min="1" max="1" width="1.7109375" style="6" customWidth="1"/>
    <col min="2" max="2" width="5.5703125" style="6" customWidth="1"/>
    <col min="3" max="3" width="4.85546875" style="6" customWidth="1"/>
    <col min="4" max="4" width="5.140625" style="6" customWidth="1"/>
    <col min="5" max="5" width="9.85546875" style="6" customWidth="1"/>
    <col min="6" max="6" width="1.42578125" style="6" customWidth="1"/>
    <col min="7" max="7" width="9.85546875" style="6" customWidth="1"/>
    <col min="8" max="8" width="1.42578125" style="6" customWidth="1"/>
    <col min="9" max="9" width="9.85546875" style="6" customWidth="1"/>
    <col min="10" max="10" width="1.42578125" style="6" customWidth="1"/>
    <col min="11" max="11" width="9.85546875" style="6" customWidth="1"/>
    <col min="12" max="12" width="1.42578125" style="6" customWidth="1"/>
    <col min="13" max="13" width="9.85546875" style="6" customWidth="1"/>
    <col min="14" max="14" width="1.42578125" style="6" customWidth="1"/>
    <col min="15" max="15" width="9.85546875" style="6" customWidth="1"/>
    <col min="16" max="16" width="1.42578125" style="6" customWidth="1"/>
    <col min="17" max="17" width="9.85546875" style="6" customWidth="1"/>
    <col min="18" max="18" width="1.42578125" style="6" customWidth="1"/>
    <col min="19" max="19" width="9.85546875" style="6" customWidth="1"/>
    <col min="20" max="20" width="1.42578125" style="6" customWidth="1"/>
    <col min="21" max="21" width="9.85546875" style="6" customWidth="1"/>
    <col min="22" max="22" width="1.42578125" style="6" customWidth="1"/>
    <col min="23" max="23" width="2.7109375" style="6" customWidth="1"/>
    <col min="24" max="24" width="17.85546875" style="6" customWidth="1"/>
    <col min="25" max="25" width="2.28515625" style="6" customWidth="1"/>
    <col min="26" max="26" width="4.140625" style="6" customWidth="1"/>
    <col min="27" max="16384" width="9.140625" style="6"/>
  </cols>
  <sheetData>
    <row r="1" spans="1:25" s="1" customFormat="1">
      <c r="B1" s="1" t="s">
        <v>187</v>
      </c>
      <c r="C1" s="2">
        <v>2.2000000000000002</v>
      </c>
      <c r="D1" s="1" t="s">
        <v>247</v>
      </c>
    </row>
    <row r="2" spans="1:25" s="3" customFormat="1">
      <c r="B2" s="1" t="s">
        <v>186</v>
      </c>
      <c r="C2" s="2">
        <v>2.2000000000000002</v>
      </c>
      <c r="D2" s="1" t="s">
        <v>248</v>
      </c>
      <c r="E2" s="1"/>
      <c r="F2" s="1"/>
      <c r="X2" s="85"/>
    </row>
    <row r="3" spans="1:25" s="3" customFormat="1" ht="7.5" customHeight="1">
      <c r="C3" s="2"/>
      <c r="X3" s="85"/>
    </row>
    <row r="4" spans="1:25" s="3" customFormat="1" ht="15.75" customHeight="1">
      <c r="C4" s="2"/>
      <c r="X4" s="86" t="s">
        <v>141</v>
      </c>
      <c r="Y4" s="87"/>
    </row>
    <row r="5" spans="1:25" s="5" customFormat="1" ht="20.25" customHeight="1">
      <c r="A5" s="378" t="s">
        <v>79</v>
      </c>
      <c r="B5" s="378"/>
      <c r="C5" s="378"/>
      <c r="D5" s="379"/>
      <c r="E5" s="385" t="s">
        <v>136</v>
      </c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7"/>
      <c r="W5" s="395" t="s">
        <v>80</v>
      </c>
      <c r="X5" s="396"/>
    </row>
    <row r="6" spans="1:25" s="8" customFormat="1" ht="18.75" customHeight="1">
      <c r="A6" s="401"/>
      <c r="B6" s="401"/>
      <c r="C6" s="401"/>
      <c r="D6" s="402"/>
      <c r="E6" s="375" t="s">
        <v>8</v>
      </c>
      <c r="F6" s="388"/>
      <c r="G6" s="388"/>
      <c r="H6" s="388"/>
      <c r="I6" s="388"/>
      <c r="J6" s="388"/>
      <c r="K6" s="388"/>
      <c r="L6" s="388"/>
      <c r="M6" s="388"/>
      <c r="N6" s="376"/>
      <c r="O6" s="380" t="s">
        <v>103</v>
      </c>
      <c r="P6" s="381"/>
      <c r="Q6" s="381"/>
      <c r="R6" s="381"/>
      <c r="S6" s="381"/>
      <c r="T6" s="381"/>
      <c r="U6" s="381"/>
      <c r="V6" s="382"/>
      <c r="W6" s="397"/>
      <c r="X6" s="398"/>
      <c r="Y6" s="7"/>
    </row>
    <row r="7" spans="1:25" s="8" customFormat="1" ht="16.5" customHeight="1">
      <c r="A7" s="401"/>
      <c r="B7" s="401"/>
      <c r="C7" s="401"/>
      <c r="D7" s="402"/>
      <c r="E7" s="371" t="s">
        <v>65</v>
      </c>
      <c r="F7" s="405"/>
      <c r="G7" s="405"/>
      <c r="H7" s="405"/>
      <c r="I7" s="405"/>
      <c r="J7" s="405"/>
      <c r="K7" s="405"/>
      <c r="L7" s="405"/>
      <c r="M7" s="405"/>
      <c r="N7" s="372"/>
      <c r="O7" s="375" t="s">
        <v>104</v>
      </c>
      <c r="P7" s="388"/>
      <c r="Q7" s="388"/>
      <c r="R7" s="388"/>
      <c r="S7" s="388"/>
      <c r="T7" s="388"/>
      <c r="U7" s="388"/>
      <c r="V7" s="376"/>
      <c r="W7" s="397"/>
      <c r="X7" s="398"/>
      <c r="Y7" s="7"/>
    </row>
    <row r="8" spans="1:25" s="8" customFormat="1" ht="17.25" customHeight="1">
      <c r="A8" s="401"/>
      <c r="B8" s="401"/>
      <c r="C8" s="401"/>
      <c r="D8" s="402"/>
      <c r="E8" s="395"/>
      <c r="F8" s="406"/>
      <c r="G8" s="377" t="s">
        <v>105</v>
      </c>
      <c r="H8" s="378"/>
      <c r="I8" s="378"/>
      <c r="J8" s="378"/>
      <c r="K8" s="378"/>
      <c r="L8" s="379"/>
      <c r="M8" s="373" t="s">
        <v>106</v>
      </c>
      <c r="N8" s="374"/>
      <c r="O8" s="373"/>
      <c r="P8" s="374"/>
      <c r="Q8" s="373"/>
      <c r="R8" s="374"/>
      <c r="S8" s="373"/>
      <c r="T8" s="374"/>
      <c r="U8" s="373"/>
      <c r="V8" s="374"/>
      <c r="W8" s="397"/>
      <c r="X8" s="398"/>
      <c r="Y8" s="7"/>
    </row>
    <row r="9" spans="1:25" s="8" customFormat="1" ht="18.75" customHeight="1">
      <c r="A9" s="401"/>
      <c r="B9" s="401"/>
      <c r="C9" s="401"/>
      <c r="D9" s="402"/>
      <c r="E9" s="375"/>
      <c r="F9" s="376"/>
      <c r="G9" s="380" t="s">
        <v>234</v>
      </c>
      <c r="H9" s="381"/>
      <c r="I9" s="381"/>
      <c r="J9" s="381"/>
      <c r="K9" s="381"/>
      <c r="L9" s="382"/>
      <c r="M9" s="380" t="s">
        <v>107</v>
      </c>
      <c r="N9" s="382"/>
      <c r="O9" s="375"/>
      <c r="P9" s="376"/>
      <c r="Q9" s="380" t="s">
        <v>108</v>
      </c>
      <c r="R9" s="382"/>
      <c r="S9" s="380"/>
      <c r="T9" s="382"/>
      <c r="U9" s="380"/>
      <c r="V9" s="382"/>
      <c r="W9" s="397"/>
      <c r="X9" s="398"/>
      <c r="Y9" s="7"/>
    </row>
    <row r="10" spans="1:25" s="8" customFormat="1" ht="16.5" customHeight="1">
      <c r="A10" s="401"/>
      <c r="B10" s="401"/>
      <c r="C10" s="401"/>
      <c r="D10" s="402"/>
      <c r="E10" s="375" t="s">
        <v>1</v>
      </c>
      <c r="F10" s="376"/>
      <c r="G10" s="389" t="s">
        <v>1</v>
      </c>
      <c r="H10" s="390"/>
      <c r="I10" s="373" t="s">
        <v>111</v>
      </c>
      <c r="J10" s="374"/>
      <c r="K10" s="373" t="s">
        <v>112</v>
      </c>
      <c r="L10" s="374"/>
      <c r="M10" s="380" t="s">
        <v>113</v>
      </c>
      <c r="N10" s="382"/>
      <c r="O10" s="375" t="s">
        <v>1</v>
      </c>
      <c r="P10" s="376"/>
      <c r="Q10" s="380" t="s">
        <v>114</v>
      </c>
      <c r="R10" s="382"/>
      <c r="S10" s="380" t="s">
        <v>109</v>
      </c>
      <c r="T10" s="382"/>
      <c r="U10" s="380" t="s">
        <v>110</v>
      </c>
      <c r="V10" s="382"/>
      <c r="W10" s="397"/>
      <c r="X10" s="398"/>
      <c r="Y10" s="7"/>
    </row>
    <row r="11" spans="1:25" s="8" customFormat="1" ht="16.5" customHeight="1">
      <c r="A11" s="403"/>
      <c r="B11" s="403"/>
      <c r="C11" s="403"/>
      <c r="D11" s="404"/>
      <c r="E11" s="383" t="s">
        <v>4</v>
      </c>
      <c r="F11" s="384"/>
      <c r="G11" s="371" t="s">
        <v>4</v>
      </c>
      <c r="H11" s="372"/>
      <c r="I11" s="371" t="s">
        <v>116</v>
      </c>
      <c r="J11" s="372"/>
      <c r="K11" s="371" t="s">
        <v>117</v>
      </c>
      <c r="L11" s="372"/>
      <c r="M11" s="371" t="s">
        <v>235</v>
      </c>
      <c r="N11" s="372"/>
      <c r="O11" s="383" t="s">
        <v>4</v>
      </c>
      <c r="P11" s="384"/>
      <c r="Q11" s="371" t="s">
        <v>118</v>
      </c>
      <c r="R11" s="372"/>
      <c r="S11" s="383" t="s">
        <v>115</v>
      </c>
      <c r="T11" s="384"/>
      <c r="U11" s="383" t="s">
        <v>47</v>
      </c>
      <c r="V11" s="384"/>
      <c r="W11" s="399"/>
      <c r="X11" s="400"/>
      <c r="Y11" s="7"/>
    </row>
    <row r="12" spans="1:25" s="7" customFormat="1" ht="5.25" customHeight="1">
      <c r="A12" s="67"/>
      <c r="B12" s="67"/>
      <c r="C12" s="67"/>
      <c r="D12" s="67"/>
      <c r="E12" s="61"/>
      <c r="F12" s="155"/>
      <c r="G12" s="72"/>
      <c r="H12" s="124"/>
      <c r="I12" s="72"/>
      <c r="J12" s="123"/>
      <c r="K12" s="122"/>
      <c r="L12" s="18"/>
      <c r="M12" s="125"/>
      <c r="N12" s="124"/>
      <c r="O12" s="122"/>
      <c r="P12" s="126"/>
      <c r="Q12" s="122"/>
      <c r="R12" s="126"/>
      <c r="S12" s="122"/>
      <c r="T12" s="18"/>
      <c r="U12" s="122"/>
      <c r="V12" s="18"/>
      <c r="W12" s="89"/>
      <c r="X12" s="56"/>
    </row>
    <row r="13" spans="1:25" s="9" customFormat="1" ht="16.5" customHeight="1">
      <c r="A13" s="393">
        <v>2557</v>
      </c>
      <c r="B13" s="394"/>
      <c r="C13" s="394"/>
      <c r="D13" s="394"/>
      <c r="E13" s="162"/>
      <c r="F13" s="163"/>
      <c r="G13" s="164"/>
      <c r="H13" s="163"/>
      <c r="I13" s="164"/>
      <c r="J13" s="162"/>
      <c r="K13" s="164"/>
      <c r="L13" s="162"/>
      <c r="M13" s="164"/>
      <c r="N13" s="163"/>
      <c r="O13" s="164"/>
      <c r="P13" s="163"/>
      <c r="Q13" s="164"/>
      <c r="R13" s="163"/>
      <c r="S13" s="164"/>
      <c r="T13" s="162"/>
      <c r="U13" s="164"/>
      <c r="V13" s="162"/>
      <c r="W13" s="391" t="s">
        <v>189</v>
      </c>
      <c r="X13" s="392"/>
      <c r="Y13" s="8"/>
    </row>
    <row r="14" spans="1:25" s="9" customFormat="1" ht="17.25" customHeight="1">
      <c r="A14" s="393" t="s">
        <v>81</v>
      </c>
      <c r="B14" s="394"/>
      <c r="C14" s="394"/>
      <c r="D14" s="394"/>
      <c r="E14" s="154">
        <v>308507.8</v>
      </c>
      <c r="F14" s="152"/>
      <c r="G14" s="154">
        <v>296421.93</v>
      </c>
      <c r="H14" s="152"/>
      <c r="I14" s="154">
        <v>294210.93</v>
      </c>
      <c r="J14" s="156"/>
      <c r="K14" s="119">
        <v>2211</v>
      </c>
      <c r="L14" s="158"/>
      <c r="M14" s="118">
        <v>12085.87</v>
      </c>
      <c r="N14" s="153"/>
      <c r="O14" s="119">
        <v>130856.19</v>
      </c>
      <c r="P14" s="158"/>
      <c r="Q14" s="119">
        <v>26019.32</v>
      </c>
      <c r="R14" s="158"/>
      <c r="S14" s="119">
        <v>36951.519999999997</v>
      </c>
      <c r="T14" s="158"/>
      <c r="U14" s="119">
        <v>67885.36</v>
      </c>
      <c r="V14" s="158"/>
      <c r="W14" s="165"/>
      <c r="X14" s="56" t="s">
        <v>82</v>
      </c>
      <c r="Y14" s="8"/>
    </row>
    <row r="15" spans="1:25" s="9" customFormat="1" ht="17.25" customHeight="1">
      <c r="A15" s="393" t="s">
        <v>86</v>
      </c>
      <c r="B15" s="394"/>
      <c r="C15" s="394"/>
      <c r="D15" s="394"/>
      <c r="E15" s="118">
        <v>321483</v>
      </c>
      <c r="F15" s="153"/>
      <c r="G15" s="118">
        <v>316978</v>
      </c>
      <c r="H15" s="153"/>
      <c r="I15" s="118">
        <v>314320</v>
      </c>
      <c r="J15" s="157"/>
      <c r="K15" s="119">
        <v>2657</v>
      </c>
      <c r="L15" s="158"/>
      <c r="M15" s="118">
        <v>4505</v>
      </c>
      <c r="N15" s="153"/>
      <c r="O15" s="119">
        <v>118192</v>
      </c>
      <c r="P15" s="158"/>
      <c r="Q15" s="119">
        <v>23340</v>
      </c>
      <c r="R15" s="158"/>
      <c r="S15" s="119">
        <v>31181</v>
      </c>
      <c r="T15" s="158"/>
      <c r="U15" s="119">
        <v>63671</v>
      </c>
      <c r="V15" s="158"/>
      <c r="W15" s="165"/>
      <c r="X15" s="56" t="s">
        <v>83</v>
      </c>
      <c r="Y15" s="7"/>
    </row>
    <row r="16" spans="1:25" s="8" customFormat="1" ht="17.25" customHeight="1">
      <c r="A16" s="393" t="s">
        <v>87</v>
      </c>
      <c r="B16" s="394"/>
      <c r="C16" s="394"/>
      <c r="D16" s="394"/>
      <c r="E16" s="154">
        <v>327602</v>
      </c>
      <c r="F16" s="152"/>
      <c r="G16" s="154">
        <v>327602</v>
      </c>
      <c r="H16" s="152"/>
      <c r="I16" s="154">
        <v>323927</v>
      </c>
      <c r="J16" s="156"/>
      <c r="K16" s="119">
        <v>3674</v>
      </c>
      <c r="L16" s="158"/>
      <c r="M16" s="118" t="s">
        <v>297</v>
      </c>
      <c r="N16" s="153"/>
      <c r="O16" s="119">
        <v>112283</v>
      </c>
      <c r="P16" s="158"/>
      <c r="Q16" s="119">
        <v>13390</v>
      </c>
      <c r="R16" s="158"/>
      <c r="S16" s="119">
        <v>34929</v>
      </c>
      <c r="T16" s="158"/>
      <c r="U16" s="119">
        <v>63963</v>
      </c>
      <c r="V16" s="158"/>
      <c r="W16" s="165"/>
      <c r="X16" s="56" t="s">
        <v>84</v>
      </c>
      <c r="Y16" s="7"/>
    </row>
    <row r="17" spans="1:25" s="8" customFormat="1" ht="17.25" customHeight="1">
      <c r="A17" s="393" t="s">
        <v>88</v>
      </c>
      <c r="B17" s="394"/>
      <c r="C17" s="394"/>
      <c r="D17" s="394"/>
      <c r="E17" s="154">
        <v>309013</v>
      </c>
      <c r="F17" s="152"/>
      <c r="G17" s="154">
        <v>307294</v>
      </c>
      <c r="H17" s="152"/>
      <c r="I17" s="154">
        <v>304246</v>
      </c>
      <c r="J17" s="156"/>
      <c r="K17" s="119">
        <v>3048</v>
      </c>
      <c r="L17" s="158"/>
      <c r="M17" s="118">
        <v>1719</v>
      </c>
      <c r="N17" s="153"/>
      <c r="O17" s="119">
        <v>131113</v>
      </c>
      <c r="P17" s="158"/>
      <c r="Q17" s="119">
        <v>21359</v>
      </c>
      <c r="R17" s="158"/>
      <c r="S17" s="119">
        <v>31098</v>
      </c>
      <c r="T17" s="158"/>
      <c r="U17" s="119">
        <v>78657</v>
      </c>
      <c r="V17" s="158"/>
      <c r="W17" s="165"/>
      <c r="X17" s="56" t="s">
        <v>85</v>
      </c>
      <c r="Y17" s="7"/>
    </row>
    <row r="18" spans="1:25" s="8" customFormat="1" ht="6" customHeight="1">
      <c r="A18" s="388"/>
      <c r="B18" s="388"/>
      <c r="C18" s="388"/>
      <c r="D18" s="376"/>
      <c r="E18" s="166"/>
      <c r="F18" s="167"/>
      <c r="G18" s="168"/>
      <c r="H18" s="169"/>
      <c r="I18" s="168"/>
      <c r="J18" s="54"/>
      <c r="K18" s="170"/>
      <c r="L18" s="171"/>
      <c r="M18" s="168"/>
      <c r="N18" s="169"/>
      <c r="O18" s="170"/>
      <c r="P18" s="171"/>
      <c r="Q18" s="170"/>
      <c r="R18" s="171"/>
      <c r="S18" s="170"/>
      <c r="T18" s="171"/>
      <c r="U18" s="170"/>
      <c r="V18" s="172"/>
      <c r="W18" s="165"/>
      <c r="X18" s="56"/>
      <c r="Y18" s="7"/>
    </row>
    <row r="19" spans="1:25" s="8" customFormat="1" ht="16.5" customHeight="1">
      <c r="A19" s="393">
        <v>2558</v>
      </c>
      <c r="B19" s="394"/>
      <c r="C19" s="394"/>
      <c r="D19" s="394"/>
      <c r="E19" s="166"/>
      <c r="F19" s="167"/>
      <c r="G19" s="168"/>
      <c r="H19" s="169"/>
      <c r="I19" s="168"/>
      <c r="J19" s="54"/>
      <c r="K19" s="170"/>
      <c r="L19" s="171"/>
      <c r="M19" s="168"/>
      <c r="N19" s="169"/>
      <c r="O19" s="170"/>
      <c r="P19" s="171"/>
      <c r="Q19" s="170"/>
      <c r="R19" s="171"/>
      <c r="S19" s="170"/>
      <c r="T19" s="171"/>
      <c r="U19" s="170"/>
      <c r="V19" s="172"/>
      <c r="W19" s="391" t="s">
        <v>195</v>
      </c>
      <c r="X19" s="392"/>
      <c r="Y19" s="7"/>
    </row>
    <row r="20" spans="1:25" s="8" customFormat="1" ht="17.25" customHeight="1">
      <c r="A20" s="393" t="s">
        <v>89</v>
      </c>
      <c r="B20" s="394"/>
      <c r="C20" s="394"/>
      <c r="D20" s="394"/>
      <c r="E20" s="114">
        <v>440274</v>
      </c>
      <c r="F20" s="173"/>
      <c r="G20" s="114">
        <v>303069.33</v>
      </c>
      <c r="H20" s="173"/>
      <c r="I20" s="114">
        <v>292304.39</v>
      </c>
      <c r="J20" s="174"/>
      <c r="K20" s="114">
        <v>2954.69</v>
      </c>
      <c r="L20" s="174"/>
      <c r="M20" s="114">
        <v>7810.25</v>
      </c>
      <c r="N20" s="173"/>
      <c r="O20" s="170">
        <v>137204.67000000001</v>
      </c>
      <c r="P20" s="171"/>
      <c r="Q20" s="170">
        <v>19241.16</v>
      </c>
      <c r="R20" s="171"/>
      <c r="S20" s="170">
        <v>36779.57</v>
      </c>
      <c r="T20" s="171"/>
      <c r="U20" s="170">
        <v>81183.94</v>
      </c>
      <c r="V20" s="171"/>
      <c r="W20" s="165"/>
      <c r="X20" s="56" t="s">
        <v>82</v>
      </c>
      <c r="Y20" s="7"/>
    </row>
    <row r="21" spans="1:25" s="8" customFormat="1" ht="17.25" customHeight="1">
      <c r="A21" s="393" t="s">
        <v>86</v>
      </c>
      <c r="B21" s="394"/>
      <c r="C21" s="394"/>
      <c r="D21" s="394"/>
      <c r="E21" s="170">
        <v>440550</v>
      </c>
      <c r="F21" s="175"/>
      <c r="G21" s="170">
        <v>313818.18</v>
      </c>
      <c r="H21" s="175"/>
      <c r="I21" s="170">
        <v>293526.33</v>
      </c>
      <c r="J21" s="171"/>
      <c r="K21" s="170">
        <v>2783.3</v>
      </c>
      <c r="L21" s="171"/>
      <c r="M21" s="170">
        <v>17508.55</v>
      </c>
      <c r="N21" s="175"/>
      <c r="O21" s="170">
        <v>126731.82</v>
      </c>
      <c r="P21" s="171"/>
      <c r="Q21" s="170">
        <v>17612.39</v>
      </c>
      <c r="R21" s="171"/>
      <c r="S21" s="170">
        <v>30886.61</v>
      </c>
      <c r="T21" s="171"/>
      <c r="U21" s="170">
        <v>78232.820000000007</v>
      </c>
      <c r="V21" s="171"/>
      <c r="W21" s="165"/>
      <c r="X21" s="56" t="s">
        <v>83</v>
      </c>
      <c r="Y21" s="7"/>
    </row>
    <row r="22" spans="1:25" s="8" customFormat="1" ht="17.25" customHeight="1">
      <c r="A22" s="56" t="s">
        <v>87</v>
      </c>
      <c r="B22" s="56"/>
      <c r="C22" s="56"/>
      <c r="D22" s="176"/>
      <c r="E22" s="170">
        <v>440746</v>
      </c>
      <c r="F22" s="175"/>
      <c r="G22" s="170">
        <v>312178.93</v>
      </c>
      <c r="H22" s="175"/>
      <c r="I22" s="170">
        <v>307595.21000000002</v>
      </c>
      <c r="J22" s="171"/>
      <c r="K22" s="170">
        <v>1850.56</v>
      </c>
      <c r="L22" s="171"/>
      <c r="M22" s="170">
        <v>2733.16</v>
      </c>
      <c r="N22" s="175"/>
      <c r="O22" s="170">
        <v>128567.07</v>
      </c>
      <c r="P22" s="171"/>
      <c r="Q22" s="170">
        <v>16519.400000000001</v>
      </c>
      <c r="R22" s="171"/>
      <c r="S22" s="170">
        <v>38707.699999999997</v>
      </c>
      <c r="T22" s="171"/>
      <c r="U22" s="170">
        <v>73339.97</v>
      </c>
      <c r="V22" s="171"/>
      <c r="W22" s="165"/>
      <c r="X22" s="56" t="s">
        <v>84</v>
      </c>
      <c r="Y22" s="7"/>
    </row>
    <row r="23" spans="1:25" s="8" customFormat="1" ht="17.25" customHeight="1">
      <c r="A23" s="56" t="s">
        <v>88</v>
      </c>
      <c r="B23" s="56"/>
      <c r="C23" s="56"/>
      <c r="D23" s="176"/>
      <c r="E23" s="170">
        <v>440822</v>
      </c>
      <c r="F23" s="175"/>
      <c r="G23" s="170">
        <v>302627.18</v>
      </c>
      <c r="H23" s="175"/>
      <c r="I23" s="170">
        <v>301007.17</v>
      </c>
      <c r="J23" s="171"/>
      <c r="K23" s="170">
        <v>1152.8699999999999</v>
      </c>
      <c r="L23" s="171"/>
      <c r="M23" s="170">
        <v>467.13</v>
      </c>
      <c r="N23" s="175"/>
      <c r="O23" s="170">
        <v>138194.82999999999</v>
      </c>
      <c r="P23" s="171"/>
      <c r="Q23" s="170">
        <v>19873.740000000002</v>
      </c>
      <c r="R23" s="171"/>
      <c r="S23" s="170">
        <v>30191.24</v>
      </c>
      <c r="T23" s="171"/>
      <c r="U23" s="170">
        <v>88129.85</v>
      </c>
      <c r="V23" s="171"/>
      <c r="W23" s="165"/>
      <c r="X23" s="56" t="s">
        <v>85</v>
      </c>
      <c r="Y23" s="7"/>
    </row>
    <row r="24" spans="1:25" s="8" customFormat="1" ht="6" customHeight="1">
      <c r="A24" s="177"/>
      <c r="B24" s="177"/>
      <c r="C24" s="18"/>
      <c r="D24" s="178"/>
      <c r="E24" s="168"/>
      <c r="F24" s="169"/>
      <c r="G24" s="168"/>
      <c r="H24" s="169"/>
      <c r="I24" s="168"/>
      <c r="J24" s="54"/>
      <c r="K24" s="170"/>
      <c r="L24" s="171"/>
      <c r="M24" s="168"/>
      <c r="N24" s="169"/>
      <c r="O24" s="170"/>
      <c r="P24" s="171"/>
      <c r="Q24" s="170"/>
      <c r="R24" s="171"/>
      <c r="S24" s="170"/>
      <c r="T24" s="171"/>
      <c r="U24" s="170"/>
      <c r="V24" s="179"/>
      <c r="W24" s="165"/>
      <c r="X24" s="56"/>
      <c r="Y24" s="7"/>
    </row>
    <row r="25" spans="1:25" s="8" customFormat="1" ht="16.5" customHeight="1">
      <c r="A25" s="393">
        <v>2559</v>
      </c>
      <c r="B25" s="394"/>
      <c r="C25" s="394"/>
      <c r="D25" s="394"/>
      <c r="E25" s="168"/>
      <c r="F25" s="169"/>
      <c r="G25" s="168"/>
      <c r="H25" s="169"/>
      <c r="I25" s="168"/>
      <c r="J25" s="54"/>
      <c r="K25" s="168"/>
      <c r="L25" s="169"/>
      <c r="M25" s="168"/>
      <c r="N25" s="169"/>
      <c r="O25" s="168"/>
      <c r="P25" s="169"/>
      <c r="Q25" s="168"/>
      <c r="R25" s="169"/>
      <c r="S25" s="168"/>
      <c r="T25" s="169"/>
      <c r="U25" s="168"/>
      <c r="V25" s="77"/>
      <c r="W25" s="391" t="s">
        <v>236</v>
      </c>
      <c r="X25" s="392"/>
      <c r="Y25" s="7"/>
    </row>
    <row r="26" spans="1:25" s="9" customFormat="1" ht="17.25" customHeight="1">
      <c r="A26" s="393" t="s">
        <v>89</v>
      </c>
      <c r="B26" s="394"/>
      <c r="C26" s="394"/>
      <c r="D26" s="394"/>
      <c r="E26" s="170">
        <v>440938</v>
      </c>
      <c r="F26" s="175"/>
      <c r="G26" s="170">
        <v>298407.71000000002</v>
      </c>
      <c r="H26" s="175"/>
      <c r="I26" s="170">
        <v>284684.05</v>
      </c>
      <c r="J26" s="171"/>
      <c r="K26" s="170">
        <v>5312.92</v>
      </c>
      <c r="L26" s="175"/>
      <c r="M26" s="170">
        <v>8410.74</v>
      </c>
      <c r="N26" s="175"/>
      <c r="O26" s="170">
        <v>142530.29</v>
      </c>
      <c r="P26" s="175"/>
      <c r="Q26" s="170">
        <v>18383.43</v>
      </c>
      <c r="R26" s="175"/>
      <c r="S26" s="170">
        <v>40461.550000000003</v>
      </c>
      <c r="T26" s="175"/>
      <c r="U26" s="170">
        <v>83685.31</v>
      </c>
      <c r="V26" s="171"/>
      <c r="W26" s="165"/>
      <c r="X26" s="56" t="s">
        <v>82</v>
      </c>
      <c r="Y26" s="8"/>
    </row>
    <row r="27" spans="1:25" s="9" customFormat="1" ht="17.25" customHeight="1">
      <c r="A27" s="393" t="s">
        <v>86</v>
      </c>
      <c r="B27" s="394"/>
      <c r="C27" s="394"/>
      <c r="D27" s="394"/>
      <c r="E27" s="170">
        <v>441034</v>
      </c>
      <c r="F27" s="175"/>
      <c r="G27" s="170">
        <v>304072.34999999998</v>
      </c>
      <c r="H27" s="175"/>
      <c r="I27" s="170">
        <v>290138.49</v>
      </c>
      <c r="J27" s="171"/>
      <c r="K27" s="170">
        <v>5875.03</v>
      </c>
      <c r="L27" s="175"/>
      <c r="M27" s="170">
        <v>8058.83</v>
      </c>
      <c r="N27" s="175"/>
      <c r="O27" s="170">
        <v>136961.65</v>
      </c>
      <c r="P27" s="175"/>
      <c r="Q27" s="170">
        <v>23125.360000000001</v>
      </c>
      <c r="R27" s="175"/>
      <c r="S27" s="170">
        <v>33128.379999999997</v>
      </c>
      <c r="T27" s="175"/>
      <c r="U27" s="170">
        <v>80707.91</v>
      </c>
      <c r="V27" s="180"/>
      <c r="W27" s="165"/>
      <c r="X27" s="56" t="s">
        <v>83</v>
      </c>
      <c r="Y27" s="8"/>
    </row>
    <row r="28" spans="1:25" s="9" customFormat="1" ht="17.25" customHeight="1">
      <c r="A28" s="56" t="s">
        <v>87</v>
      </c>
      <c r="B28" s="56"/>
      <c r="C28" s="56"/>
      <c r="D28" s="176"/>
      <c r="E28" s="170">
        <v>441205</v>
      </c>
      <c r="F28" s="175"/>
      <c r="G28" s="170">
        <v>312794.84999999998</v>
      </c>
      <c r="H28" s="175"/>
      <c r="I28" s="170">
        <v>305490.55</v>
      </c>
      <c r="J28" s="171"/>
      <c r="K28" s="170">
        <v>6187.32</v>
      </c>
      <c r="L28" s="175"/>
      <c r="M28" s="170">
        <v>1116.98</v>
      </c>
      <c r="N28" s="175"/>
      <c r="O28" s="170">
        <v>128410.16</v>
      </c>
      <c r="P28" s="175"/>
      <c r="Q28" s="170">
        <v>19002.259999999998</v>
      </c>
      <c r="R28" s="175"/>
      <c r="S28" s="170">
        <v>36270.14</v>
      </c>
      <c r="T28" s="175"/>
      <c r="U28" s="170">
        <v>73137.759999999995</v>
      </c>
      <c r="V28" s="180"/>
      <c r="W28" s="165"/>
      <c r="X28" s="56" t="s">
        <v>84</v>
      </c>
      <c r="Y28" s="8"/>
    </row>
    <row r="29" spans="1:25" s="8" customFormat="1" ht="17.25" customHeight="1">
      <c r="A29" s="56" t="s">
        <v>88</v>
      </c>
      <c r="B29" s="56"/>
      <c r="C29" s="56"/>
      <c r="D29" s="176"/>
      <c r="E29" s="170">
        <v>441261</v>
      </c>
      <c r="F29" s="175"/>
      <c r="G29" s="170">
        <v>298414.69</v>
      </c>
      <c r="H29" s="175"/>
      <c r="I29" s="170">
        <v>293020.52</v>
      </c>
      <c r="J29" s="171"/>
      <c r="K29" s="170">
        <v>5110.45</v>
      </c>
      <c r="L29" s="175"/>
      <c r="M29" s="170">
        <v>283.72000000000003</v>
      </c>
      <c r="N29" s="175"/>
      <c r="O29" s="170">
        <v>142846.31</v>
      </c>
      <c r="P29" s="175"/>
      <c r="Q29" s="170">
        <v>19591.810000000001</v>
      </c>
      <c r="R29" s="175"/>
      <c r="S29" s="170">
        <v>33610.44</v>
      </c>
      <c r="T29" s="175"/>
      <c r="U29" s="170">
        <v>89644.06</v>
      </c>
      <c r="V29" s="172"/>
      <c r="W29" s="165"/>
      <c r="X29" s="56" t="s">
        <v>85</v>
      </c>
      <c r="Y29" s="7"/>
    </row>
    <row r="30" spans="1:25" s="9" customFormat="1" ht="16.5" customHeight="1">
      <c r="A30" s="392">
        <v>2560</v>
      </c>
      <c r="B30" s="392"/>
      <c r="C30" s="392"/>
      <c r="D30" s="393"/>
      <c r="E30" s="168"/>
      <c r="F30" s="169"/>
      <c r="G30" s="168"/>
      <c r="H30" s="169"/>
      <c r="I30" s="168"/>
      <c r="J30" s="54"/>
      <c r="K30" s="168"/>
      <c r="L30" s="169"/>
      <c r="M30" s="168"/>
      <c r="N30" s="169"/>
      <c r="O30" s="168"/>
      <c r="P30" s="169"/>
      <c r="Q30" s="168"/>
      <c r="R30" s="169"/>
      <c r="S30" s="168"/>
      <c r="T30" s="169"/>
      <c r="U30" s="168"/>
      <c r="V30" s="181"/>
      <c r="W30" s="391" t="s">
        <v>238</v>
      </c>
      <c r="X30" s="392"/>
      <c r="Y30" s="8"/>
    </row>
    <row r="31" spans="1:25" s="8" customFormat="1" ht="17.25" customHeight="1">
      <c r="A31" s="160" t="s">
        <v>89</v>
      </c>
      <c r="B31" s="160"/>
      <c r="C31" s="160"/>
      <c r="D31" s="161"/>
      <c r="E31" s="182">
        <v>441402</v>
      </c>
      <c r="F31" s="183"/>
      <c r="G31" s="182">
        <v>297491.53000000003</v>
      </c>
      <c r="H31" s="183"/>
      <c r="I31" s="182">
        <v>282757.52</v>
      </c>
      <c r="J31" s="184"/>
      <c r="K31" s="182">
        <v>8017.64</v>
      </c>
      <c r="L31" s="183"/>
      <c r="M31" s="182">
        <v>6716.37</v>
      </c>
      <c r="N31" s="183"/>
      <c r="O31" s="182">
        <v>143910.46</v>
      </c>
      <c r="P31" s="183"/>
      <c r="Q31" s="182">
        <v>20886.7</v>
      </c>
      <c r="R31" s="183"/>
      <c r="S31" s="182">
        <v>39427.56</v>
      </c>
      <c r="T31" s="183"/>
      <c r="U31" s="182">
        <v>83596.2</v>
      </c>
      <c r="V31" s="185"/>
      <c r="W31" s="159"/>
      <c r="X31" s="160" t="s">
        <v>82</v>
      </c>
      <c r="Y31" s="7"/>
    </row>
    <row r="32" spans="1:25" s="10" customFormat="1" ht="18.75" customHeight="1">
      <c r="B32" s="55" t="s">
        <v>323</v>
      </c>
      <c r="G32" s="88"/>
      <c r="H32" s="121"/>
      <c r="O32" s="55"/>
      <c r="P32" s="55"/>
    </row>
    <row r="33" spans="2:12" s="10" customFormat="1" ht="17.25" customHeight="1">
      <c r="B33" s="55" t="s">
        <v>249</v>
      </c>
      <c r="D33" s="55"/>
      <c r="G33" s="55"/>
      <c r="H33" s="55"/>
      <c r="I33" s="55"/>
      <c r="J33" s="55"/>
      <c r="K33" s="55"/>
      <c r="L33" s="55"/>
    </row>
    <row r="34" spans="2:12" s="10" customFormat="1" ht="17.25" customHeight="1">
      <c r="C34" s="76"/>
      <c r="D34" s="76"/>
      <c r="G34" s="76"/>
      <c r="H34" s="76"/>
      <c r="I34" s="76"/>
      <c r="J34" s="76"/>
      <c r="K34" s="55"/>
      <c r="L34" s="55"/>
    </row>
  </sheetData>
  <mergeCells count="54">
    <mergeCell ref="A14:D14"/>
    <mergeCell ref="W13:X13"/>
    <mergeCell ref="W5:X11"/>
    <mergeCell ref="A5:D11"/>
    <mergeCell ref="E10:F10"/>
    <mergeCell ref="E11:F11"/>
    <mergeCell ref="K11:L11"/>
    <mergeCell ref="A13:D13"/>
    <mergeCell ref="O10:P10"/>
    <mergeCell ref="O11:P11"/>
    <mergeCell ref="E6:N6"/>
    <mergeCell ref="E7:N7"/>
    <mergeCell ref="M8:N8"/>
    <mergeCell ref="M9:N9"/>
    <mergeCell ref="M10:N10"/>
    <mergeCell ref="E8:F8"/>
    <mergeCell ref="W30:X30"/>
    <mergeCell ref="W19:X19"/>
    <mergeCell ref="A15:D15"/>
    <mergeCell ref="W25:X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  <mergeCell ref="A17:D17"/>
    <mergeCell ref="U11:V11"/>
    <mergeCell ref="E5:V5"/>
    <mergeCell ref="O6:V6"/>
    <mergeCell ref="O7:V7"/>
    <mergeCell ref="U8:V9"/>
    <mergeCell ref="U10:V10"/>
    <mergeCell ref="Q8:R8"/>
    <mergeCell ref="Q9:R9"/>
    <mergeCell ref="Q10:R10"/>
    <mergeCell ref="Q11:R11"/>
    <mergeCell ref="S8:T9"/>
    <mergeCell ref="S10:T10"/>
    <mergeCell ref="S11:T11"/>
    <mergeCell ref="E9:F9"/>
    <mergeCell ref="G10:H10"/>
    <mergeCell ref="G11:H11"/>
    <mergeCell ref="M11:N11"/>
    <mergeCell ref="O8:P8"/>
    <mergeCell ref="O9:P9"/>
    <mergeCell ref="G8:L8"/>
    <mergeCell ref="G9:L9"/>
    <mergeCell ref="K10:L10"/>
    <mergeCell ref="I10:J10"/>
    <mergeCell ref="I11:J11"/>
  </mergeCells>
  <phoneticPr fontId="3" type="noConversion"/>
  <pageMargins left="0.74803149606299213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AN27"/>
  <sheetViews>
    <sheetView showGridLines="0" topLeftCell="A16" workbookViewId="0">
      <selection activeCell="AT17" sqref="AT17"/>
    </sheetView>
  </sheetViews>
  <sheetFormatPr defaultColWidth="9.140625" defaultRowHeight="18.75"/>
  <cols>
    <col min="1" max="1" width="1.140625" style="188" customWidth="1"/>
    <col min="2" max="2" width="2.42578125" style="188" customWidth="1"/>
    <col min="3" max="3" width="3.42578125" style="188" customWidth="1"/>
    <col min="4" max="4" width="4.28515625" style="188" customWidth="1"/>
    <col min="5" max="5" width="19.42578125" style="188" customWidth="1"/>
    <col min="6" max="6" width="5.5703125" style="188" bestFit="1" customWidth="1"/>
    <col min="7" max="7" width="0.28515625" style="188" customWidth="1"/>
    <col min="8" max="8" width="5.5703125" style="188" bestFit="1" customWidth="1"/>
    <col min="9" max="9" width="0.28515625" style="188" customWidth="1"/>
    <col min="10" max="10" width="5.85546875" style="188" bestFit="1" customWidth="1"/>
    <col min="11" max="11" width="0.28515625" style="188" customWidth="1"/>
    <col min="12" max="12" width="5.5703125" style="188" bestFit="1" customWidth="1"/>
    <col min="13" max="13" width="0.28515625" style="188" customWidth="1"/>
    <col min="14" max="14" width="5.5703125" style="188" bestFit="1" customWidth="1"/>
    <col min="15" max="15" width="0.28515625" style="188" customWidth="1"/>
    <col min="16" max="16" width="5.85546875" style="188" bestFit="1" customWidth="1"/>
    <col min="17" max="17" width="0.28515625" style="188" customWidth="1"/>
    <col min="18" max="18" width="5.5703125" style="188" bestFit="1" customWidth="1"/>
    <col min="19" max="19" width="0.28515625" style="188" customWidth="1"/>
    <col min="20" max="20" width="5.5703125" style="188" bestFit="1" customWidth="1"/>
    <col min="21" max="21" width="0.28515625" style="188" customWidth="1"/>
    <col min="22" max="22" width="5.85546875" style="188" bestFit="1" customWidth="1"/>
    <col min="23" max="23" width="0.28515625" style="188" customWidth="1"/>
    <col min="24" max="24" width="5.5703125" style="188" customWidth="1"/>
    <col min="25" max="25" width="0.28515625" style="188" customWidth="1"/>
    <col min="26" max="26" width="5.5703125" style="188" bestFit="1" customWidth="1"/>
    <col min="27" max="27" width="0.28515625" style="188" customWidth="1"/>
    <col min="28" max="28" width="5.85546875" style="188" bestFit="1" customWidth="1"/>
    <col min="29" max="29" width="0.28515625" style="188" customWidth="1"/>
    <col min="30" max="30" width="5.5703125" style="188" bestFit="1" customWidth="1"/>
    <col min="31" max="31" width="0.28515625" style="188" customWidth="1"/>
    <col min="32" max="32" width="5.5703125" style="188" bestFit="1" customWidth="1"/>
    <col min="33" max="33" width="0.28515625" style="188" customWidth="1"/>
    <col min="34" max="34" width="5.85546875" style="188" bestFit="1" customWidth="1"/>
    <col min="35" max="35" width="0.28515625" style="188" customWidth="1"/>
    <col min="36" max="36" width="0.7109375" style="188" customWidth="1"/>
    <col min="37" max="37" width="27.42578125" style="188" customWidth="1"/>
    <col min="38" max="38" width="2.5703125" style="188" hidden="1" customWidth="1"/>
    <col min="39" max="39" width="3.7109375" style="188" hidden="1" customWidth="1"/>
    <col min="40" max="40" width="6.140625" style="188" hidden="1" customWidth="1"/>
    <col min="41" max="41" width="2.28515625" style="188" customWidth="1"/>
    <col min="42" max="42" width="4.140625" style="188" customWidth="1"/>
    <col min="43" max="16384" width="9.140625" style="188"/>
  </cols>
  <sheetData>
    <row r="1" spans="1:40" s="70" customFormat="1">
      <c r="B1" s="70" t="s">
        <v>0</v>
      </c>
      <c r="D1" s="71">
        <v>2.2999999999999998</v>
      </c>
      <c r="E1" s="70" t="s">
        <v>250</v>
      </c>
    </row>
    <row r="2" spans="1:40" s="186" customFormat="1">
      <c r="B2" s="70" t="s">
        <v>186</v>
      </c>
      <c r="C2" s="70"/>
      <c r="D2" s="71">
        <v>2.2999999999999998</v>
      </c>
      <c r="E2" s="70" t="s">
        <v>251</v>
      </c>
    </row>
    <row r="3" spans="1:40" ht="15.6" customHeight="1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K3" s="13" t="s">
        <v>141</v>
      </c>
    </row>
    <row r="4" spans="1:40" ht="21.75" customHeight="1">
      <c r="A4" s="413" t="s">
        <v>14</v>
      </c>
      <c r="B4" s="413"/>
      <c r="C4" s="413"/>
      <c r="D4" s="413"/>
      <c r="E4" s="423"/>
      <c r="F4" s="417" t="s">
        <v>237</v>
      </c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9"/>
      <c r="AD4" s="417" t="s">
        <v>239</v>
      </c>
      <c r="AE4" s="418"/>
      <c r="AF4" s="418"/>
      <c r="AG4" s="418"/>
      <c r="AH4" s="418"/>
      <c r="AI4" s="419"/>
      <c r="AJ4" s="412" t="s">
        <v>13</v>
      </c>
      <c r="AK4" s="413"/>
    </row>
    <row r="5" spans="1:40" s="76" customFormat="1" ht="15.75" customHeight="1">
      <c r="A5" s="414"/>
      <c r="B5" s="414"/>
      <c r="C5" s="414"/>
      <c r="D5" s="414"/>
      <c r="E5" s="376"/>
      <c r="F5" s="409" t="s">
        <v>75</v>
      </c>
      <c r="G5" s="420"/>
      <c r="H5" s="420"/>
      <c r="I5" s="420"/>
      <c r="J5" s="420"/>
      <c r="K5" s="410"/>
      <c r="L5" s="409" t="s">
        <v>76</v>
      </c>
      <c r="M5" s="420"/>
      <c r="N5" s="420"/>
      <c r="O5" s="420"/>
      <c r="P5" s="420"/>
      <c r="Q5" s="410"/>
      <c r="R5" s="409" t="s">
        <v>77</v>
      </c>
      <c r="S5" s="420"/>
      <c r="T5" s="420"/>
      <c r="U5" s="420"/>
      <c r="V5" s="420"/>
      <c r="W5" s="410"/>
      <c r="X5" s="409" t="s">
        <v>74</v>
      </c>
      <c r="Y5" s="420"/>
      <c r="Z5" s="420"/>
      <c r="AA5" s="420"/>
      <c r="AB5" s="420"/>
      <c r="AC5" s="410"/>
      <c r="AD5" s="409" t="s">
        <v>75</v>
      </c>
      <c r="AE5" s="420"/>
      <c r="AF5" s="420"/>
      <c r="AG5" s="420"/>
      <c r="AH5" s="420"/>
      <c r="AI5" s="410"/>
      <c r="AJ5" s="375"/>
      <c r="AK5" s="414"/>
      <c r="AL5" s="189"/>
      <c r="AM5" s="189"/>
      <c r="AN5" s="189"/>
    </row>
    <row r="6" spans="1:40" s="76" customFormat="1" ht="18" customHeight="1">
      <c r="A6" s="414"/>
      <c r="B6" s="414"/>
      <c r="C6" s="414"/>
      <c r="D6" s="414"/>
      <c r="E6" s="376"/>
      <c r="F6" s="407" t="s">
        <v>70</v>
      </c>
      <c r="G6" s="421"/>
      <c r="H6" s="421"/>
      <c r="I6" s="421"/>
      <c r="J6" s="421"/>
      <c r="K6" s="408"/>
      <c r="L6" s="407" t="s">
        <v>71</v>
      </c>
      <c r="M6" s="421"/>
      <c r="N6" s="421"/>
      <c r="O6" s="421"/>
      <c r="P6" s="421"/>
      <c r="Q6" s="408"/>
      <c r="R6" s="407" t="s">
        <v>72</v>
      </c>
      <c r="S6" s="421"/>
      <c r="T6" s="421"/>
      <c r="U6" s="421"/>
      <c r="V6" s="421"/>
      <c r="W6" s="408"/>
      <c r="X6" s="407" t="s">
        <v>73</v>
      </c>
      <c r="Y6" s="421"/>
      <c r="Z6" s="421"/>
      <c r="AA6" s="421"/>
      <c r="AB6" s="421"/>
      <c r="AC6" s="408"/>
      <c r="AD6" s="407" t="s">
        <v>70</v>
      </c>
      <c r="AE6" s="421"/>
      <c r="AF6" s="421"/>
      <c r="AG6" s="421"/>
      <c r="AH6" s="421"/>
      <c r="AI6" s="408"/>
      <c r="AJ6" s="375"/>
      <c r="AK6" s="414"/>
      <c r="AL6" s="127"/>
      <c r="AM6" s="127"/>
      <c r="AN6" s="127"/>
    </row>
    <row r="7" spans="1:40" s="76" customFormat="1" ht="18.75" customHeight="1">
      <c r="A7" s="414"/>
      <c r="B7" s="414"/>
      <c r="C7" s="414"/>
      <c r="D7" s="414"/>
      <c r="E7" s="376"/>
      <c r="F7" s="409" t="s">
        <v>1</v>
      </c>
      <c r="G7" s="410"/>
      <c r="H7" s="409" t="s">
        <v>2</v>
      </c>
      <c r="I7" s="410"/>
      <c r="J7" s="409" t="s">
        <v>3</v>
      </c>
      <c r="K7" s="410"/>
      <c r="L7" s="409" t="s">
        <v>1</v>
      </c>
      <c r="M7" s="410"/>
      <c r="N7" s="409" t="s">
        <v>2</v>
      </c>
      <c r="O7" s="410"/>
      <c r="P7" s="409" t="s">
        <v>3</v>
      </c>
      <c r="Q7" s="410"/>
      <c r="R7" s="409" t="s">
        <v>1</v>
      </c>
      <c r="S7" s="410"/>
      <c r="T7" s="409" t="s">
        <v>2</v>
      </c>
      <c r="U7" s="410"/>
      <c r="V7" s="409" t="s">
        <v>3</v>
      </c>
      <c r="W7" s="410"/>
      <c r="X7" s="409" t="s">
        <v>1</v>
      </c>
      <c r="Y7" s="410"/>
      <c r="Z7" s="409" t="s">
        <v>2</v>
      </c>
      <c r="AA7" s="410"/>
      <c r="AB7" s="409" t="s">
        <v>3</v>
      </c>
      <c r="AC7" s="410"/>
      <c r="AD7" s="415" t="s">
        <v>1</v>
      </c>
      <c r="AE7" s="416"/>
      <c r="AF7" s="415" t="s">
        <v>2</v>
      </c>
      <c r="AG7" s="416"/>
      <c r="AH7" s="409" t="s">
        <v>3</v>
      </c>
      <c r="AI7" s="410"/>
      <c r="AJ7" s="375"/>
      <c r="AK7" s="414"/>
      <c r="AL7" s="127"/>
      <c r="AM7" s="127"/>
      <c r="AN7" s="127"/>
    </row>
    <row r="8" spans="1:40" s="76" customFormat="1" ht="18.75" customHeight="1">
      <c r="A8" s="405"/>
      <c r="B8" s="405"/>
      <c r="C8" s="405"/>
      <c r="D8" s="405"/>
      <c r="E8" s="372"/>
      <c r="F8" s="407" t="s">
        <v>4</v>
      </c>
      <c r="G8" s="408"/>
      <c r="H8" s="407" t="s">
        <v>5</v>
      </c>
      <c r="I8" s="408"/>
      <c r="J8" s="407" t="s">
        <v>6</v>
      </c>
      <c r="K8" s="408"/>
      <c r="L8" s="407" t="s">
        <v>4</v>
      </c>
      <c r="M8" s="408"/>
      <c r="N8" s="407" t="s">
        <v>5</v>
      </c>
      <c r="O8" s="408"/>
      <c r="P8" s="407" t="s">
        <v>6</v>
      </c>
      <c r="Q8" s="408"/>
      <c r="R8" s="407" t="s">
        <v>4</v>
      </c>
      <c r="S8" s="408"/>
      <c r="T8" s="407" t="s">
        <v>5</v>
      </c>
      <c r="U8" s="408"/>
      <c r="V8" s="407" t="s">
        <v>6</v>
      </c>
      <c r="W8" s="408"/>
      <c r="X8" s="407" t="s">
        <v>4</v>
      </c>
      <c r="Y8" s="408"/>
      <c r="Z8" s="407" t="s">
        <v>5</v>
      </c>
      <c r="AA8" s="408"/>
      <c r="AB8" s="407" t="s">
        <v>6</v>
      </c>
      <c r="AC8" s="408"/>
      <c r="AD8" s="407" t="s">
        <v>4</v>
      </c>
      <c r="AE8" s="408"/>
      <c r="AF8" s="407" t="s">
        <v>5</v>
      </c>
      <c r="AG8" s="408"/>
      <c r="AH8" s="407" t="s">
        <v>6</v>
      </c>
      <c r="AI8" s="408"/>
      <c r="AJ8" s="371"/>
      <c r="AK8" s="405"/>
      <c r="AL8" s="160"/>
      <c r="AM8" s="160"/>
      <c r="AN8" s="160"/>
    </row>
    <row r="9" spans="1:40" s="191" customFormat="1" ht="25.5" customHeight="1">
      <c r="A9" s="422" t="s">
        <v>102</v>
      </c>
      <c r="B9" s="422"/>
      <c r="C9" s="422"/>
      <c r="D9" s="422"/>
      <c r="E9" s="422"/>
      <c r="F9" s="200">
        <v>284684.05</v>
      </c>
      <c r="G9" s="197"/>
      <c r="H9" s="200">
        <v>155378.1</v>
      </c>
      <c r="I9" s="197"/>
      <c r="J9" s="200">
        <v>129305.95</v>
      </c>
      <c r="K9" s="197"/>
      <c r="L9" s="200">
        <v>290138.49</v>
      </c>
      <c r="M9" s="197"/>
      <c r="N9" s="200">
        <v>158081.01999999999</v>
      </c>
      <c r="O9" s="197"/>
      <c r="P9" s="200">
        <v>132057.47</v>
      </c>
      <c r="Q9" s="197"/>
      <c r="R9" s="200">
        <v>305490.55</v>
      </c>
      <c r="S9" s="197"/>
      <c r="T9" s="200">
        <v>163896.25</v>
      </c>
      <c r="U9" s="197"/>
      <c r="V9" s="200">
        <v>141594.29</v>
      </c>
      <c r="W9" s="197"/>
      <c r="X9" s="200">
        <v>293020.52</v>
      </c>
      <c r="Y9" s="197"/>
      <c r="Z9" s="200">
        <v>156836.5</v>
      </c>
      <c r="AA9" s="197"/>
      <c r="AB9" s="200">
        <v>136184.01999999999</v>
      </c>
      <c r="AC9" s="197"/>
      <c r="AD9" s="200">
        <v>282757.52</v>
      </c>
      <c r="AE9" s="197"/>
      <c r="AF9" s="200">
        <v>150953.79</v>
      </c>
      <c r="AG9" s="197"/>
      <c r="AH9" s="200">
        <v>131803.73000000001</v>
      </c>
      <c r="AI9" s="197"/>
      <c r="AJ9" s="411" t="s">
        <v>4</v>
      </c>
      <c r="AK9" s="411"/>
      <c r="AL9" s="187"/>
      <c r="AM9" s="187"/>
      <c r="AN9" s="188"/>
    </row>
    <row r="10" spans="1:40" s="55" customFormat="1" ht="21.75" customHeight="1">
      <c r="A10" s="98" t="s">
        <v>205</v>
      </c>
      <c r="B10" s="98"/>
      <c r="C10" s="98"/>
      <c r="D10" s="98"/>
      <c r="E10" s="98"/>
      <c r="F10" s="201">
        <v>8228.33</v>
      </c>
      <c r="G10" s="198"/>
      <c r="H10" s="201">
        <v>7160.48</v>
      </c>
      <c r="I10" s="198"/>
      <c r="J10" s="201">
        <v>1067.8499999999999</v>
      </c>
      <c r="K10" s="198"/>
      <c r="L10" s="201">
        <v>7964.29</v>
      </c>
      <c r="M10" s="198"/>
      <c r="N10" s="201">
        <v>6147.98</v>
      </c>
      <c r="O10" s="198"/>
      <c r="P10" s="201">
        <v>1816.31</v>
      </c>
      <c r="Q10" s="198"/>
      <c r="R10" s="201">
        <v>9771</v>
      </c>
      <c r="S10" s="198"/>
      <c r="T10" s="201">
        <v>7500.04</v>
      </c>
      <c r="U10" s="198"/>
      <c r="V10" s="201">
        <v>2270.9699999999998</v>
      </c>
      <c r="W10" s="198"/>
      <c r="X10" s="201">
        <v>7872.14</v>
      </c>
      <c r="Y10" s="198"/>
      <c r="Z10" s="201">
        <v>6080.87</v>
      </c>
      <c r="AA10" s="198"/>
      <c r="AB10" s="201">
        <v>1791.28</v>
      </c>
      <c r="AC10" s="198"/>
      <c r="AD10" s="201">
        <v>8084.46</v>
      </c>
      <c r="AE10" s="198"/>
      <c r="AF10" s="201">
        <v>6828.72</v>
      </c>
      <c r="AG10" s="198"/>
      <c r="AH10" s="201">
        <v>1255.74</v>
      </c>
      <c r="AI10" s="198"/>
      <c r="AJ10" s="98"/>
      <c r="AK10" s="98" t="s">
        <v>213</v>
      </c>
    </row>
    <row r="11" spans="1:40" s="55" customFormat="1" ht="21.75" customHeight="1">
      <c r="A11" s="98"/>
      <c r="B11" s="98"/>
      <c r="C11" s="98"/>
      <c r="D11" s="98"/>
      <c r="E11" s="98"/>
      <c r="F11" s="202"/>
      <c r="G11" s="199"/>
      <c r="H11" s="204"/>
      <c r="I11" s="203"/>
      <c r="J11" s="204"/>
      <c r="K11" s="203"/>
      <c r="L11" s="206"/>
      <c r="M11" s="205"/>
      <c r="N11" s="206"/>
      <c r="O11" s="205"/>
      <c r="P11" s="206"/>
      <c r="Q11" s="205"/>
      <c r="R11" s="206"/>
      <c r="S11" s="205"/>
      <c r="T11" s="206"/>
      <c r="U11" s="205"/>
      <c r="V11" s="206"/>
      <c r="W11" s="205"/>
      <c r="X11" s="206"/>
      <c r="Y11" s="205"/>
      <c r="Z11" s="206"/>
      <c r="AA11" s="205"/>
      <c r="AB11" s="206"/>
      <c r="AC11" s="205"/>
      <c r="AD11" s="206"/>
      <c r="AE11" s="205"/>
      <c r="AF11" s="206"/>
      <c r="AG11" s="205"/>
      <c r="AH11" s="206"/>
      <c r="AI11" s="205"/>
      <c r="AJ11" s="98"/>
      <c r="AK11" s="98" t="s">
        <v>214</v>
      </c>
    </row>
    <row r="12" spans="1:40" s="55" customFormat="1" ht="21.75" customHeight="1">
      <c r="A12" s="98" t="s">
        <v>9</v>
      </c>
      <c r="B12" s="98"/>
      <c r="C12" s="98"/>
      <c r="D12" s="98"/>
      <c r="E12" s="98"/>
      <c r="F12" s="201">
        <v>12498.29</v>
      </c>
      <c r="G12" s="198"/>
      <c r="H12" s="201">
        <v>2968.98</v>
      </c>
      <c r="I12" s="198"/>
      <c r="J12" s="201">
        <v>9529.2999999999993</v>
      </c>
      <c r="K12" s="198"/>
      <c r="L12" s="201">
        <v>11938.4</v>
      </c>
      <c r="M12" s="198"/>
      <c r="N12" s="201">
        <v>2025.56</v>
      </c>
      <c r="O12" s="198"/>
      <c r="P12" s="201">
        <v>9912.84</v>
      </c>
      <c r="Q12" s="198"/>
      <c r="R12" s="201">
        <v>13917.76</v>
      </c>
      <c r="S12" s="198"/>
      <c r="T12" s="201">
        <v>4449.6400000000003</v>
      </c>
      <c r="U12" s="198"/>
      <c r="V12" s="201">
        <v>9468.1200000000008</v>
      </c>
      <c r="W12" s="198"/>
      <c r="X12" s="201">
        <v>9929.1299999999992</v>
      </c>
      <c r="Y12" s="198"/>
      <c r="Z12" s="201">
        <v>2470.66</v>
      </c>
      <c r="AA12" s="198"/>
      <c r="AB12" s="201">
        <v>7458.47</v>
      </c>
      <c r="AC12" s="198"/>
      <c r="AD12" s="201">
        <v>10669.13</v>
      </c>
      <c r="AE12" s="198"/>
      <c r="AF12" s="201">
        <v>3462.34</v>
      </c>
      <c r="AG12" s="198"/>
      <c r="AH12" s="201">
        <v>7206.79</v>
      </c>
      <c r="AI12" s="198"/>
      <c r="AJ12" s="98"/>
      <c r="AK12" s="98" t="s">
        <v>201</v>
      </c>
    </row>
    <row r="13" spans="1:40" s="55" customFormat="1" ht="21.75" customHeight="1">
      <c r="A13" s="98" t="s">
        <v>206</v>
      </c>
      <c r="B13" s="98"/>
      <c r="C13" s="98"/>
      <c r="D13" s="98"/>
      <c r="E13" s="98"/>
      <c r="F13" s="202"/>
      <c r="G13" s="199"/>
      <c r="H13" s="204"/>
      <c r="I13" s="203"/>
      <c r="J13" s="204"/>
      <c r="K13" s="203"/>
      <c r="L13" s="206"/>
      <c r="M13" s="205"/>
      <c r="N13" s="206"/>
      <c r="O13" s="205"/>
      <c r="P13" s="206"/>
      <c r="Q13" s="205"/>
      <c r="R13" s="206"/>
      <c r="S13" s="205"/>
      <c r="T13" s="206"/>
      <c r="U13" s="205"/>
      <c r="V13" s="206"/>
      <c r="W13" s="205"/>
      <c r="X13" s="206"/>
      <c r="Y13" s="205"/>
      <c r="Z13" s="206"/>
      <c r="AA13" s="205"/>
      <c r="AB13" s="206"/>
      <c r="AC13" s="205"/>
      <c r="AD13" s="206"/>
      <c r="AE13" s="205"/>
      <c r="AF13" s="206"/>
      <c r="AG13" s="205"/>
      <c r="AH13" s="206"/>
      <c r="AI13" s="205"/>
      <c r="AJ13" s="98"/>
      <c r="AK13" s="98" t="s">
        <v>215</v>
      </c>
    </row>
    <row r="14" spans="1:40" s="55" customFormat="1" ht="21.75" customHeight="1">
      <c r="A14" s="98"/>
      <c r="B14" s="98" t="s">
        <v>207</v>
      </c>
      <c r="C14" s="98"/>
      <c r="D14" s="98"/>
      <c r="E14" s="98"/>
      <c r="F14" s="201">
        <v>4046.73</v>
      </c>
      <c r="G14" s="198"/>
      <c r="H14" s="201">
        <v>2679.99</v>
      </c>
      <c r="I14" s="198"/>
      <c r="J14" s="201">
        <v>1366.74</v>
      </c>
      <c r="K14" s="198"/>
      <c r="L14" s="201">
        <v>4099.3</v>
      </c>
      <c r="M14" s="198"/>
      <c r="N14" s="201">
        <v>1705.3</v>
      </c>
      <c r="O14" s="198"/>
      <c r="P14" s="201">
        <v>2394</v>
      </c>
      <c r="Q14" s="198"/>
      <c r="R14" s="201">
        <v>3531.03</v>
      </c>
      <c r="S14" s="198"/>
      <c r="T14" s="201">
        <v>1548.91</v>
      </c>
      <c r="U14" s="198"/>
      <c r="V14" s="201">
        <v>1982.11</v>
      </c>
      <c r="W14" s="198"/>
      <c r="X14" s="201">
        <v>4747.67</v>
      </c>
      <c r="Y14" s="198"/>
      <c r="Z14" s="201">
        <v>3056.91</v>
      </c>
      <c r="AA14" s="198"/>
      <c r="AB14" s="201">
        <v>1690.76</v>
      </c>
      <c r="AC14" s="198"/>
      <c r="AD14" s="201">
        <v>4332.99</v>
      </c>
      <c r="AE14" s="198"/>
      <c r="AF14" s="201">
        <v>2020.74</v>
      </c>
      <c r="AG14" s="198"/>
      <c r="AH14" s="201">
        <v>2312.25</v>
      </c>
      <c r="AI14" s="198"/>
      <c r="AJ14" s="98"/>
      <c r="AK14" s="98" t="s">
        <v>216</v>
      </c>
    </row>
    <row r="15" spans="1:40" s="55" customFormat="1" ht="21.75" customHeight="1">
      <c r="A15" s="98" t="s">
        <v>10</v>
      </c>
      <c r="B15" s="98"/>
      <c r="C15" s="98"/>
      <c r="D15" s="98"/>
      <c r="E15" s="98"/>
      <c r="F15" s="201">
        <v>7134.53</v>
      </c>
      <c r="G15" s="198"/>
      <c r="H15" s="201">
        <v>1513.15</v>
      </c>
      <c r="I15" s="198"/>
      <c r="J15" s="201">
        <v>5621.38</v>
      </c>
      <c r="K15" s="198"/>
      <c r="L15" s="201">
        <v>4736.24</v>
      </c>
      <c r="M15" s="198"/>
      <c r="N15" s="201">
        <v>1063.77</v>
      </c>
      <c r="O15" s="198"/>
      <c r="P15" s="201">
        <v>3672.47</v>
      </c>
      <c r="Q15" s="198"/>
      <c r="R15" s="201">
        <v>3072.23</v>
      </c>
      <c r="S15" s="198"/>
      <c r="T15" s="201">
        <v>478.37</v>
      </c>
      <c r="U15" s="198"/>
      <c r="V15" s="201">
        <v>2593.85</v>
      </c>
      <c r="W15" s="198"/>
      <c r="X15" s="201">
        <v>4046.41</v>
      </c>
      <c r="Y15" s="198"/>
      <c r="Z15" s="201">
        <v>650.57000000000005</v>
      </c>
      <c r="AA15" s="198"/>
      <c r="AB15" s="201">
        <v>3395.84</v>
      </c>
      <c r="AC15" s="198"/>
      <c r="AD15" s="201">
        <v>4482.0200000000004</v>
      </c>
      <c r="AE15" s="198"/>
      <c r="AF15" s="201">
        <v>2124.79</v>
      </c>
      <c r="AG15" s="198"/>
      <c r="AH15" s="201">
        <v>2357.23</v>
      </c>
      <c r="AI15" s="198"/>
      <c r="AJ15" s="98"/>
      <c r="AK15" s="98" t="s">
        <v>202</v>
      </c>
    </row>
    <row r="16" spans="1:40" s="55" customFormat="1" ht="21.75" customHeight="1">
      <c r="A16" s="98" t="s">
        <v>208</v>
      </c>
      <c r="B16" s="98"/>
      <c r="C16" s="98"/>
      <c r="D16" s="98"/>
      <c r="E16" s="98"/>
      <c r="F16" s="201">
        <v>36716.449999999997</v>
      </c>
      <c r="G16" s="198"/>
      <c r="H16" s="201">
        <v>15189.6</v>
      </c>
      <c r="I16" s="198"/>
      <c r="J16" s="201">
        <v>21526.85</v>
      </c>
      <c r="K16" s="198"/>
      <c r="L16" s="201">
        <v>35712.019999999997</v>
      </c>
      <c r="M16" s="198"/>
      <c r="N16" s="201">
        <v>13436.84</v>
      </c>
      <c r="O16" s="198"/>
      <c r="P16" s="201">
        <v>22275.19</v>
      </c>
      <c r="Q16" s="198"/>
      <c r="R16" s="201">
        <v>41758.120000000003</v>
      </c>
      <c r="S16" s="198"/>
      <c r="T16" s="201">
        <v>13791.57</v>
      </c>
      <c r="U16" s="198"/>
      <c r="V16" s="201">
        <v>27966.55</v>
      </c>
      <c r="W16" s="198"/>
      <c r="X16" s="201">
        <v>42958.57</v>
      </c>
      <c r="Y16" s="198"/>
      <c r="Z16" s="201">
        <v>15703.33</v>
      </c>
      <c r="AA16" s="198"/>
      <c r="AB16" s="201">
        <v>27255.23</v>
      </c>
      <c r="AC16" s="198"/>
      <c r="AD16" s="201">
        <v>37096.06</v>
      </c>
      <c r="AE16" s="198"/>
      <c r="AF16" s="201">
        <v>15110.89</v>
      </c>
      <c r="AG16" s="198"/>
      <c r="AH16" s="201">
        <v>21985.18</v>
      </c>
      <c r="AI16" s="198"/>
      <c r="AJ16" s="98"/>
      <c r="AK16" s="98" t="s">
        <v>240</v>
      </c>
    </row>
    <row r="17" spans="1:40" s="55" customFormat="1" ht="21.75" customHeight="1">
      <c r="A17" s="98" t="s">
        <v>209</v>
      </c>
      <c r="B17" s="98"/>
      <c r="C17" s="98"/>
      <c r="D17" s="98"/>
      <c r="E17" s="98"/>
      <c r="F17" s="201">
        <v>134368.32000000001</v>
      </c>
      <c r="G17" s="198"/>
      <c r="H17" s="201">
        <v>75181.45</v>
      </c>
      <c r="I17" s="198"/>
      <c r="J17" s="201">
        <v>59186.87</v>
      </c>
      <c r="K17" s="198"/>
      <c r="L17" s="201">
        <v>165855.69</v>
      </c>
      <c r="M17" s="198"/>
      <c r="N17" s="201">
        <v>91834.27</v>
      </c>
      <c r="O17" s="198"/>
      <c r="P17" s="201">
        <v>74021.42</v>
      </c>
      <c r="Q17" s="198"/>
      <c r="R17" s="201">
        <v>181579.66</v>
      </c>
      <c r="S17" s="198"/>
      <c r="T17" s="201">
        <v>101111.46</v>
      </c>
      <c r="U17" s="198"/>
      <c r="V17" s="201">
        <v>80468.2</v>
      </c>
      <c r="W17" s="198"/>
      <c r="X17" s="201">
        <v>174564.92</v>
      </c>
      <c r="Y17" s="198"/>
      <c r="Z17" s="201">
        <v>98847.54</v>
      </c>
      <c r="AA17" s="198"/>
      <c r="AB17" s="201">
        <v>75717.38</v>
      </c>
      <c r="AC17" s="198"/>
      <c r="AD17" s="201">
        <v>144590.91</v>
      </c>
      <c r="AE17" s="198"/>
      <c r="AF17" s="201">
        <v>75942.039999999994</v>
      </c>
      <c r="AG17" s="198"/>
      <c r="AH17" s="201">
        <v>68648.87</v>
      </c>
      <c r="AI17" s="198"/>
      <c r="AJ17" s="98"/>
      <c r="AK17" s="98" t="s">
        <v>217</v>
      </c>
    </row>
    <row r="18" spans="1:40" s="55" customFormat="1" ht="21.75" customHeight="1">
      <c r="A18" s="98"/>
      <c r="B18" s="98"/>
      <c r="C18" s="98"/>
      <c r="D18" s="98"/>
      <c r="E18" s="98"/>
      <c r="F18" s="202"/>
      <c r="G18" s="199"/>
      <c r="H18" s="204"/>
      <c r="I18" s="203"/>
      <c r="J18" s="204"/>
      <c r="K18" s="203"/>
      <c r="L18" s="206"/>
      <c r="M18" s="205"/>
      <c r="N18" s="206"/>
      <c r="O18" s="205"/>
      <c r="P18" s="206"/>
      <c r="Q18" s="205"/>
      <c r="R18" s="206"/>
      <c r="S18" s="205"/>
      <c r="T18" s="206"/>
      <c r="U18" s="205"/>
      <c r="V18" s="206"/>
      <c r="W18" s="205"/>
      <c r="X18" s="206"/>
      <c r="Y18" s="205"/>
      <c r="Z18" s="206"/>
      <c r="AA18" s="205"/>
      <c r="AB18" s="206"/>
      <c r="AC18" s="205"/>
      <c r="AD18" s="206"/>
      <c r="AE18" s="205"/>
      <c r="AF18" s="206"/>
      <c r="AG18" s="205"/>
      <c r="AH18" s="206"/>
      <c r="AI18" s="205"/>
      <c r="AJ18" s="98"/>
      <c r="AK18" s="98" t="s">
        <v>218</v>
      </c>
    </row>
    <row r="19" spans="1:40" s="55" customFormat="1" ht="21.75" customHeight="1">
      <c r="A19" s="98" t="s">
        <v>210</v>
      </c>
      <c r="B19" s="98"/>
      <c r="C19" s="98"/>
      <c r="D19" s="98"/>
      <c r="E19" s="98"/>
      <c r="F19" s="201">
        <v>38368.6</v>
      </c>
      <c r="G19" s="198"/>
      <c r="H19" s="201">
        <v>21392.86</v>
      </c>
      <c r="I19" s="198"/>
      <c r="J19" s="201">
        <v>16975.740000000002</v>
      </c>
      <c r="K19" s="198"/>
      <c r="L19" s="201">
        <v>25701.71</v>
      </c>
      <c r="M19" s="198"/>
      <c r="N19" s="201">
        <v>17258.62</v>
      </c>
      <c r="O19" s="198"/>
      <c r="P19" s="201">
        <v>8443.09</v>
      </c>
      <c r="Q19" s="198"/>
      <c r="R19" s="201">
        <v>26920.91</v>
      </c>
      <c r="S19" s="198"/>
      <c r="T19" s="201">
        <v>15824.82</v>
      </c>
      <c r="U19" s="198"/>
      <c r="V19" s="201">
        <v>11096.09</v>
      </c>
      <c r="W19" s="198"/>
      <c r="X19" s="201">
        <v>28238.86</v>
      </c>
      <c r="Y19" s="198"/>
      <c r="Z19" s="201">
        <v>17128.39</v>
      </c>
      <c r="AA19" s="198"/>
      <c r="AB19" s="201">
        <v>11110.47</v>
      </c>
      <c r="AC19" s="198"/>
      <c r="AD19" s="201">
        <v>39281.72</v>
      </c>
      <c r="AE19" s="198"/>
      <c r="AF19" s="201">
        <v>20380.29</v>
      </c>
      <c r="AG19" s="198"/>
      <c r="AH19" s="201">
        <v>18901.43</v>
      </c>
      <c r="AI19" s="198"/>
      <c r="AJ19" s="98"/>
      <c r="AK19" s="98" t="s">
        <v>219</v>
      </c>
    </row>
    <row r="20" spans="1:40" s="55" customFormat="1" ht="21.75" customHeight="1">
      <c r="A20" s="98" t="s">
        <v>211</v>
      </c>
      <c r="B20" s="98"/>
      <c r="C20" s="98"/>
      <c r="D20" s="98"/>
      <c r="E20" s="98"/>
      <c r="F20" s="202"/>
      <c r="G20" s="199"/>
      <c r="H20" s="204"/>
      <c r="I20" s="203"/>
      <c r="J20" s="204"/>
      <c r="K20" s="203"/>
      <c r="L20" s="206"/>
      <c r="M20" s="205"/>
      <c r="N20" s="206"/>
      <c r="O20" s="205"/>
      <c r="P20" s="206"/>
      <c r="Q20" s="205"/>
      <c r="R20" s="206"/>
      <c r="S20" s="205"/>
      <c r="T20" s="206"/>
      <c r="U20" s="205"/>
      <c r="V20" s="206"/>
      <c r="W20" s="205"/>
      <c r="X20" s="206"/>
      <c r="Y20" s="205"/>
      <c r="Z20" s="206"/>
      <c r="AA20" s="205"/>
      <c r="AB20" s="206"/>
      <c r="AC20" s="205"/>
      <c r="AD20" s="206"/>
      <c r="AE20" s="205"/>
      <c r="AF20" s="206"/>
      <c r="AG20" s="205"/>
      <c r="AH20" s="206"/>
      <c r="AI20" s="205"/>
      <c r="AJ20" s="98"/>
      <c r="AK20" s="98" t="s">
        <v>220</v>
      </c>
    </row>
    <row r="21" spans="1:40" s="55" customFormat="1" ht="21.75" customHeight="1">
      <c r="A21" s="98"/>
      <c r="B21" s="98" t="s">
        <v>11</v>
      </c>
      <c r="C21" s="98"/>
      <c r="D21" s="98"/>
      <c r="E21" s="98"/>
      <c r="F21" s="201">
        <v>10239.51</v>
      </c>
      <c r="G21" s="198"/>
      <c r="H21" s="201">
        <v>8717.43</v>
      </c>
      <c r="I21" s="198"/>
      <c r="J21" s="201">
        <v>1522.08</v>
      </c>
      <c r="K21" s="198"/>
      <c r="L21" s="201">
        <v>8805.26</v>
      </c>
      <c r="M21" s="198"/>
      <c r="N21" s="201">
        <v>8205.75</v>
      </c>
      <c r="O21" s="198"/>
      <c r="P21" s="201">
        <v>599.51</v>
      </c>
      <c r="Q21" s="198"/>
      <c r="R21" s="201">
        <v>9416.39</v>
      </c>
      <c r="S21" s="198"/>
      <c r="T21" s="201">
        <v>8370.57</v>
      </c>
      <c r="U21" s="198"/>
      <c r="V21" s="201">
        <v>1045.82</v>
      </c>
      <c r="W21" s="198"/>
      <c r="X21" s="201">
        <v>8040.58</v>
      </c>
      <c r="Y21" s="198"/>
      <c r="Z21" s="201">
        <v>5670.18</v>
      </c>
      <c r="AA21" s="198"/>
      <c r="AB21" s="201">
        <v>2370.4</v>
      </c>
      <c r="AC21" s="198"/>
      <c r="AD21" s="201">
        <v>11256.28</v>
      </c>
      <c r="AE21" s="198"/>
      <c r="AF21" s="201">
        <v>10379.42</v>
      </c>
      <c r="AG21" s="198"/>
      <c r="AH21" s="201">
        <v>876.86</v>
      </c>
      <c r="AI21" s="198"/>
      <c r="AJ21" s="98"/>
      <c r="AK21" s="98" t="s">
        <v>221</v>
      </c>
    </row>
    <row r="22" spans="1:40" s="55" customFormat="1" ht="21.75" customHeight="1">
      <c r="A22" s="98" t="s">
        <v>212</v>
      </c>
      <c r="B22" s="98"/>
      <c r="C22" s="98"/>
      <c r="D22" s="98"/>
      <c r="E22" s="98"/>
      <c r="F22" s="201">
        <v>33083.29</v>
      </c>
      <c r="G22" s="198"/>
      <c r="H22" s="201">
        <v>20574.16</v>
      </c>
      <c r="I22" s="198"/>
      <c r="J22" s="201">
        <v>12509.13</v>
      </c>
      <c r="K22" s="198"/>
      <c r="L22" s="201">
        <v>25325.57</v>
      </c>
      <c r="M22" s="198"/>
      <c r="N22" s="201">
        <v>16402.93</v>
      </c>
      <c r="O22" s="198"/>
      <c r="P22" s="201">
        <v>8922.64</v>
      </c>
      <c r="Q22" s="198"/>
      <c r="R22" s="201">
        <v>15523.45</v>
      </c>
      <c r="S22" s="198"/>
      <c r="T22" s="201">
        <v>10820.87</v>
      </c>
      <c r="U22" s="198"/>
      <c r="V22" s="201">
        <v>4702.58</v>
      </c>
      <c r="W22" s="198"/>
      <c r="X22" s="201">
        <v>12622.23</v>
      </c>
      <c r="Y22" s="198"/>
      <c r="Z22" s="201">
        <v>7228.05</v>
      </c>
      <c r="AA22" s="198"/>
      <c r="AB22" s="201">
        <v>5394.18</v>
      </c>
      <c r="AC22" s="198"/>
      <c r="AD22" s="201">
        <v>22963.95</v>
      </c>
      <c r="AE22" s="198"/>
      <c r="AF22" s="201">
        <v>14704.56</v>
      </c>
      <c r="AG22" s="198"/>
      <c r="AH22" s="201">
        <v>8259.3799999999992</v>
      </c>
      <c r="AI22" s="198"/>
      <c r="AJ22" s="98"/>
      <c r="AK22" s="98" t="s">
        <v>222</v>
      </c>
    </row>
    <row r="23" spans="1:40" s="55" customFormat="1" ht="21.75" customHeight="1">
      <c r="A23" s="98" t="s">
        <v>12</v>
      </c>
      <c r="B23" s="98"/>
      <c r="C23" s="98"/>
      <c r="D23" s="98"/>
      <c r="E23" s="98"/>
      <c r="F23" s="202" t="s">
        <v>297</v>
      </c>
      <c r="G23" s="199"/>
      <c r="H23" s="204" t="s">
        <v>297</v>
      </c>
      <c r="I23" s="203"/>
      <c r="J23" s="204" t="s">
        <v>297</v>
      </c>
      <c r="K23" s="203"/>
      <c r="L23" s="201" t="s">
        <v>297</v>
      </c>
      <c r="M23" s="198"/>
      <c r="N23" s="201" t="s">
        <v>297</v>
      </c>
      <c r="O23" s="198"/>
      <c r="P23" s="201" t="s">
        <v>297</v>
      </c>
      <c r="Q23" s="198"/>
      <c r="R23" s="208" t="s">
        <v>297</v>
      </c>
      <c r="S23" s="207"/>
      <c r="T23" s="201" t="s">
        <v>297</v>
      </c>
      <c r="U23" s="198"/>
      <c r="V23" s="201" t="s">
        <v>297</v>
      </c>
      <c r="W23" s="198"/>
      <c r="X23" s="208" t="s">
        <v>297</v>
      </c>
      <c r="Y23" s="207"/>
      <c r="Z23" s="201" t="s">
        <v>297</v>
      </c>
      <c r="AA23" s="198"/>
      <c r="AB23" s="201" t="s">
        <v>297</v>
      </c>
      <c r="AC23" s="198"/>
      <c r="AD23" s="201" t="s">
        <v>297</v>
      </c>
      <c r="AE23" s="198"/>
      <c r="AF23" s="201" t="s">
        <v>297</v>
      </c>
      <c r="AG23" s="198"/>
      <c r="AH23" s="201" t="s">
        <v>297</v>
      </c>
      <c r="AI23" s="198"/>
      <c r="AJ23" s="98"/>
      <c r="AK23" s="98" t="s">
        <v>223</v>
      </c>
    </row>
    <row r="24" spans="1:40" s="76" customFormat="1" ht="3" customHeight="1">
      <c r="A24" s="192"/>
      <c r="B24" s="192"/>
      <c r="C24" s="192"/>
      <c r="D24" s="192"/>
      <c r="E24" s="192"/>
      <c r="F24" s="193"/>
      <c r="G24" s="192"/>
      <c r="H24" s="193"/>
      <c r="I24" s="194"/>
      <c r="J24" s="193"/>
      <c r="K24" s="194"/>
      <c r="L24" s="193"/>
      <c r="M24" s="194"/>
      <c r="N24" s="193"/>
      <c r="O24" s="192"/>
      <c r="P24" s="192"/>
      <c r="Q24" s="192"/>
      <c r="R24" s="193"/>
      <c r="S24" s="192"/>
      <c r="T24" s="193"/>
      <c r="U24" s="192"/>
      <c r="V24" s="193"/>
      <c r="W24" s="192"/>
      <c r="X24" s="193"/>
      <c r="Y24" s="194"/>
      <c r="Z24" s="193"/>
      <c r="AA24" s="194"/>
      <c r="AB24" s="193"/>
      <c r="AC24" s="194"/>
      <c r="AD24" s="193"/>
      <c r="AE24" s="194"/>
      <c r="AF24" s="193"/>
      <c r="AG24" s="194"/>
      <c r="AH24" s="192"/>
      <c r="AI24" s="194"/>
      <c r="AJ24" s="192"/>
      <c r="AK24" s="192"/>
      <c r="AL24" s="77"/>
      <c r="AM24" s="77"/>
      <c r="AN24" s="77"/>
    </row>
    <row r="25" spans="1:40" s="76" customFormat="1" ht="3" customHeight="1">
      <c r="AL25" s="77"/>
      <c r="AM25" s="77"/>
      <c r="AN25" s="77"/>
    </row>
    <row r="26" spans="1:40" s="55" customFormat="1" ht="15.75">
      <c r="C26" s="195" t="s">
        <v>62</v>
      </c>
      <c r="D26" s="196" t="s">
        <v>252</v>
      </c>
    </row>
    <row r="27" spans="1:40" s="55" customFormat="1" ht="15.75">
      <c r="C27" s="195" t="s">
        <v>63</v>
      </c>
      <c r="D27" s="196" t="s">
        <v>253</v>
      </c>
    </row>
  </sheetData>
  <mergeCells count="46">
    <mergeCell ref="V7:W7"/>
    <mergeCell ref="N8:O8"/>
    <mergeCell ref="L5:Q5"/>
    <mergeCell ref="F4:AC4"/>
    <mergeCell ref="X5:AC5"/>
    <mergeCell ref="X6:AC6"/>
    <mergeCell ref="AB7:AC7"/>
    <mergeCell ref="AB8:AC8"/>
    <mergeCell ref="R5:W5"/>
    <mergeCell ref="R6:W6"/>
    <mergeCell ref="X7:Y7"/>
    <mergeCell ref="X8:Y8"/>
    <mergeCell ref="Z7:AA7"/>
    <mergeCell ref="Z8:AA8"/>
    <mergeCell ref="R7:S7"/>
    <mergeCell ref="J7:K7"/>
    <mergeCell ref="J8:K8"/>
    <mergeCell ref="F5:K5"/>
    <mergeCell ref="F6:K6"/>
    <mergeCell ref="L7:M7"/>
    <mergeCell ref="L8:M8"/>
    <mergeCell ref="L6:Q6"/>
    <mergeCell ref="P7:Q7"/>
    <mergeCell ref="P8:Q8"/>
    <mergeCell ref="A9:E9"/>
    <mergeCell ref="A4:E8"/>
    <mergeCell ref="F7:G7"/>
    <mergeCell ref="F8:G8"/>
    <mergeCell ref="H7:I7"/>
    <mergeCell ref="H8:I8"/>
    <mergeCell ref="V8:W8"/>
    <mergeCell ref="N7:O7"/>
    <mergeCell ref="AJ9:AK9"/>
    <mergeCell ref="AJ4:AK8"/>
    <mergeCell ref="AF7:AG7"/>
    <mergeCell ref="AF8:AG8"/>
    <mergeCell ref="AD4:AI4"/>
    <mergeCell ref="AD5:AI5"/>
    <mergeCell ref="AD6:AI6"/>
    <mergeCell ref="AH7:AI7"/>
    <mergeCell ref="AH8:AI8"/>
    <mergeCell ref="AD7:AE7"/>
    <mergeCell ref="AD8:AE8"/>
    <mergeCell ref="R8:S8"/>
    <mergeCell ref="T7:U7"/>
    <mergeCell ref="T8:U8"/>
  </mergeCells>
  <phoneticPr fontId="3" type="noConversion"/>
  <pageMargins left="0.39370078740157483" right="0.11811023622047245" top="0.98425196850393704" bottom="0.19685039370078741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Z52"/>
  <sheetViews>
    <sheetView showGridLines="0" topLeftCell="B1" workbookViewId="0">
      <selection activeCell="AD9" sqref="AD9"/>
    </sheetView>
  </sheetViews>
  <sheetFormatPr defaultColWidth="9.140625" defaultRowHeight="18.75"/>
  <cols>
    <col min="1" max="1" width="1.42578125" style="6" hidden="1" customWidth="1"/>
    <col min="2" max="2" width="1.28515625" style="6" customWidth="1"/>
    <col min="3" max="3" width="5.7109375" style="6" customWidth="1"/>
    <col min="4" max="4" width="4.42578125" style="6" customWidth="1"/>
    <col min="5" max="5" width="19.42578125" style="6" customWidth="1"/>
    <col min="6" max="6" width="5.85546875" style="6" bestFit="1" customWidth="1"/>
    <col min="7" max="7" width="5.7109375" style="6" bestFit="1" customWidth="1"/>
    <col min="8" max="8" width="6" style="6" bestFit="1" customWidth="1"/>
    <col min="9" max="9" width="5.7109375" style="6" bestFit="1" customWidth="1"/>
    <col min="10" max="10" width="5.85546875" style="6" bestFit="1" customWidth="1"/>
    <col min="11" max="11" width="6" style="6" bestFit="1" customWidth="1"/>
    <col min="12" max="12" width="5.5703125" style="6" bestFit="1" customWidth="1"/>
    <col min="13" max="13" width="5.7109375" style="6" bestFit="1" customWidth="1"/>
    <col min="14" max="14" width="6" style="6" bestFit="1" customWidth="1"/>
    <col min="15" max="15" width="5.5703125" style="6" bestFit="1" customWidth="1"/>
    <col min="16" max="16" width="5.7109375" style="6" bestFit="1" customWidth="1"/>
    <col min="17" max="17" width="6" style="6" bestFit="1" customWidth="1"/>
    <col min="18" max="18" width="5.85546875" style="6" bestFit="1" customWidth="1"/>
    <col min="19" max="19" width="5.5703125" style="6" bestFit="1" customWidth="1"/>
    <col min="20" max="20" width="6" style="6" bestFit="1" customWidth="1"/>
    <col min="21" max="22" width="0.7109375" style="6" customWidth="1"/>
    <col min="23" max="23" width="9.140625" style="6"/>
    <col min="24" max="24" width="22.7109375" style="6" customWidth="1"/>
    <col min="25" max="25" width="2" style="5" customWidth="1"/>
    <col min="26" max="26" width="1.85546875" style="5" customWidth="1"/>
    <col min="27" max="27" width="4.140625" style="6" customWidth="1"/>
    <col min="28" max="16384" width="9.140625" style="6"/>
  </cols>
  <sheetData>
    <row r="1" spans="1:26" s="1" customFormat="1" ht="20.25" customHeight="1">
      <c r="C1" s="70" t="s">
        <v>0</v>
      </c>
      <c r="D1" s="71">
        <v>2.4</v>
      </c>
      <c r="E1" s="70" t="s">
        <v>254</v>
      </c>
      <c r="Y1" s="40"/>
      <c r="Z1" s="40"/>
    </row>
    <row r="2" spans="1:26" s="3" customFormat="1" ht="16.5" customHeight="1">
      <c r="C2" s="1" t="s">
        <v>186</v>
      </c>
      <c r="D2" s="2">
        <v>2.4</v>
      </c>
      <c r="E2" s="1" t="s">
        <v>255</v>
      </c>
      <c r="Y2" s="41"/>
      <c r="Z2" s="41"/>
    </row>
    <row r="3" spans="1:26" s="188" customFormat="1" ht="14.25" customHeight="1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X3" s="101" t="s">
        <v>142</v>
      </c>
      <c r="Y3" s="219"/>
      <c r="Z3" s="187"/>
    </row>
    <row r="4" spans="1:26" ht="15.75" customHeight="1">
      <c r="A4" s="66"/>
      <c r="B4" s="428" t="s">
        <v>15</v>
      </c>
      <c r="C4" s="428"/>
      <c r="D4" s="428"/>
      <c r="E4" s="429"/>
      <c r="F4" s="432" t="s">
        <v>237</v>
      </c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4"/>
      <c r="R4" s="432" t="s">
        <v>239</v>
      </c>
      <c r="S4" s="433"/>
      <c r="T4" s="434"/>
      <c r="U4" s="102"/>
      <c r="V4" s="428" t="s">
        <v>16</v>
      </c>
      <c r="W4" s="428"/>
      <c r="X4" s="428"/>
      <c r="Y4" s="66"/>
    </row>
    <row r="5" spans="1:26" s="10" customFormat="1" ht="15" customHeight="1">
      <c r="A5" s="44"/>
      <c r="B5" s="430"/>
      <c r="C5" s="430"/>
      <c r="D5" s="430"/>
      <c r="E5" s="431"/>
      <c r="F5" s="427" t="s">
        <v>75</v>
      </c>
      <c r="G5" s="428"/>
      <c r="H5" s="429"/>
      <c r="I5" s="427" t="s">
        <v>76</v>
      </c>
      <c r="J5" s="428"/>
      <c r="K5" s="429"/>
      <c r="L5" s="427" t="s">
        <v>77</v>
      </c>
      <c r="M5" s="428"/>
      <c r="N5" s="429"/>
      <c r="O5" s="427" t="s">
        <v>74</v>
      </c>
      <c r="P5" s="428"/>
      <c r="Q5" s="429"/>
      <c r="R5" s="427" t="s">
        <v>75</v>
      </c>
      <c r="S5" s="428"/>
      <c r="T5" s="429"/>
      <c r="U5" s="103"/>
      <c r="V5" s="430"/>
      <c r="W5" s="430"/>
      <c r="X5" s="430"/>
      <c r="Y5" s="44"/>
      <c r="Z5" s="44"/>
    </row>
    <row r="6" spans="1:26" s="10" customFormat="1" ht="12.75" customHeight="1">
      <c r="A6" s="44"/>
      <c r="B6" s="430"/>
      <c r="C6" s="430"/>
      <c r="D6" s="430"/>
      <c r="E6" s="431"/>
      <c r="F6" s="424" t="s">
        <v>70</v>
      </c>
      <c r="G6" s="425"/>
      <c r="H6" s="426"/>
      <c r="I6" s="424" t="s">
        <v>71</v>
      </c>
      <c r="J6" s="425"/>
      <c r="K6" s="426"/>
      <c r="L6" s="424" t="s">
        <v>72</v>
      </c>
      <c r="M6" s="425"/>
      <c r="N6" s="426"/>
      <c r="O6" s="424" t="s">
        <v>73</v>
      </c>
      <c r="P6" s="425"/>
      <c r="Q6" s="426"/>
      <c r="R6" s="424" t="s">
        <v>70</v>
      </c>
      <c r="S6" s="425"/>
      <c r="T6" s="426"/>
      <c r="U6" s="103"/>
      <c r="V6" s="430"/>
      <c r="W6" s="430"/>
      <c r="X6" s="430"/>
      <c r="Y6" s="44"/>
      <c r="Z6" s="44"/>
    </row>
    <row r="7" spans="1:26" s="10" customFormat="1" ht="13.5" customHeight="1">
      <c r="A7" s="44"/>
      <c r="B7" s="430"/>
      <c r="C7" s="430"/>
      <c r="D7" s="430"/>
      <c r="E7" s="431"/>
      <c r="F7" s="104" t="s">
        <v>1</v>
      </c>
      <c r="G7" s="105" t="s">
        <v>2</v>
      </c>
      <c r="H7" s="106" t="s">
        <v>3</v>
      </c>
      <c r="I7" s="107" t="s">
        <v>1</v>
      </c>
      <c r="J7" s="105" t="s">
        <v>2</v>
      </c>
      <c r="K7" s="107" t="s">
        <v>3</v>
      </c>
      <c r="L7" s="104" t="s">
        <v>1</v>
      </c>
      <c r="M7" s="105" t="s">
        <v>2</v>
      </c>
      <c r="N7" s="106" t="s">
        <v>3</v>
      </c>
      <c r="O7" s="104" t="s">
        <v>1</v>
      </c>
      <c r="P7" s="105" t="s">
        <v>2</v>
      </c>
      <c r="Q7" s="106" t="s">
        <v>3</v>
      </c>
      <c r="R7" s="104" t="s">
        <v>1</v>
      </c>
      <c r="S7" s="105" t="s">
        <v>2</v>
      </c>
      <c r="T7" s="106" t="s">
        <v>3</v>
      </c>
      <c r="U7" s="104"/>
      <c r="V7" s="430"/>
      <c r="W7" s="430"/>
      <c r="X7" s="430"/>
      <c r="Y7" s="44"/>
      <c r="Z7" s="44"/>
    </row>
    <row r="8" spans="1:26" s="10" customFormat="1" ht="13.5" customHeight="1">
      <c r="A8" s="52"/>
      <c r="B8" s="425"/>
      <c r="C8" s="425"/>
      <c r="D8" s="425"/>
      <c r="E8" s="426"/>
      <c r="F8" s="73" t="s">
        <v>4</v>
      </c>
      <c r="G8" s="108" t="s">
        <v>5</v>
      </c>
      <c r="H8" s="109" t="s">
        <v>6</v>
      </c>
      <c r="I8" s="110" t="s">
        <v>4</v>
      </c>
      <c r="J8" s="108" t="s">
        <v>5</v>
      </c>
      <c r="K8" s="110" t="s">
        <v>6</v>
      </c>
      <c r="L8" s="73" t="s">
        <v>4</v>
      </c>
      <c r="M8" s="108" t="s">
        <v>5</v>
      </c>
      <c r="N8" s="109" t="s">
        <v>6</v>
      </c>
      <c r="O8" s="73" t="s">
        <v>4</v>
      </c>
      <c r="P8" s="108" t="s">
        <v>5</v>
      </c>
      <c r="Q8" s="109" t="s">
        <v>6</v>
      </c>
      <c r="R8" s="73" t="s">
        <v>4</v>
      </c>
      <c r="S8" s="108" t="s">
        <v>5</v>
      </c>
      <c r="T8" s="109" t="s">
        <v>6</v>
      </c>
      <c r="U8" s="73"/>
      <c r="V8" s="425"/>
      <c r="W8" s="425"/>
      <c r="X8" s="425"/>
      <c r="Y8" s="52"/>
      <c r="Z8" s="44"/>
    </row>
    <row r="9" spans="1:26" s="74" customFormat="1" ht="16.5" customHeight="1">
      <c r="B9" s="422" t="s">
        <v>102</v>
      </c>
      <c r="C9" s="422"/>
      <c r="D9" s="422"/>
      <c r="E9" s="422"/>
      <c r="F9" s="220">
        <v>284684.05</v>
      </c>
      <c r="G9" s="220">
        <v>155378.1</v>
      </c>
      <c r="H9" s="220">
        <v>129305.95</v>
      </c>
      <c r="I9" s="220">
        <v>290138.49</v>
      </c>
      <c r="J9" s="220">
        <v>158081.01999999999</v>
      </c>
      <c r="K9" s="220">
        <v>132057.47</v>
      </c>
      <c r="L9" s="220">
        <v>305490.55</v>
      </c>
      <c r="M9" s="220">
        <v>163896.25</v>
      </c>
      <c r="N9" s="220">
        <v>141594.29</v>
      </c>
      <c r="O9" s="220">
        <v>293020.52</v>
      </c>
      <c r="P9" s="220">
        <v>156836.5</v>
      </c>
      <c r="Q9" s="220">
        <v>136184.01999999999</v>
      </c>
      <c r="R9" s="220">
        <v>282757.52</v>
      </c>
      <c r="S9" s="220">
        <v>150953.79</v>
      </c>
      <c r="T9" s="220">
        <v>131803.73000000001</v>
      </c>
      <c r="U9" s="75"/>
      <c r="V9" s="422" t="s">
        <v>4</v>
      </c>
      <c r="W9" s="422"/>
      <c r="X9" s="422"/>
      <c r="Y9" s="75"/>
      <c r="Z9" s="75"/>
    </row>
    <row r="10" spans="1:26" s="74" customFormat="1" ht="12.75" customHeight="1">
      <c r="A10" s="96" t="s">
        <v>162</v>
      </c>
      <c r="B10" s="96"/>
      <c r="C10" s="96" t="s">
        <v>162</v>
      </c>
      <c r="D10" s="96"/>
      <c r="E10" s="100"/>
      <c r="F10" s="120"/>
      <c r="G10" s="120"/>
      <c r="H10" s="120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W10" s="97" t="s">
        <v>163</v>
      </c>
      <c r="X10" s="190"/>
      <c r="Y10" s="75"/>
      <c r="Z10" s="75"/>
    </row>
    <row r="11" spans="1:26" s="76" customFormat="1" ht="12.75" customHeight="1">
      <c r="A11" s="98"/>
      <c r="B11" s="98" t="s">
        <v>160</v>
      </c>
      <c r="C11" s="98"/>
      <c r="D11" s="98"/>
      <c r="E11" s="98"/>
      <c r="F11" s="120">
        <v>142515.31</v>
      </c>
      <c r="G11" s="120">
        <v>77172.13</v>
      </c>
      <c r="H11" s="120">
        <v>65343.18</v>
      </c>
      <c r="I11" s="120">
        <v>168725.45</v>
      </c>
      <c r="J11" s="120">
        <v>93865.65</v>
      </c>
      <c r="K11" s="120">
        <v>74859.8</v>
      </c>
      <c r="L11" s="120">
        <v>185813.09</v>
      </c>
      <c r="M11" s="120">
        <v>105344.88</v>
      </c>
      <c r="N11" s="120">
        <v>80468.2</v>
      </c>
      <c r="O11" s="120">
        <v>176640.25</v>
      </c>
      <c r="P11" s="120">
        <v>100885.75999999999</v>
      </c>
      <c r="Q11" s="120">
        <v>75754.5</v>
      </c>
      <c r="R11" s="120">
        <v>151102.51</v>
      </c>
      <c r="S11" s="120">
        <v>80029.279999999999</v>
      </c>
      <c r="T11" s="120">
        <v>71073.23</v>
      </c>
      <c r="U11" s="99"/>
      <c r="V11" s="98" t="s">
        <v>165</v>
      </c>
      <c r="W11" s="98"/>
      <c r="Y11" s="77"/>
      <c r="Z11" s="77"/>
    </row>
    <row r="12" spans="1:26" s="76" customFormat="1" ht="12.75" customHeight="1">
      <c r="A12" s="96" t="s">
        <v>161</v>
      </c>
      <c r="B12" s="96"/>
      <c r="C12" s="96" t="s">
        <v>321</v>
      </c>
      <c r="D12" s="100"/>
      <c r="E12" s="99"/>
      <c r="F12" s="120"/>
      <c r="G12" s="120"/>
      <c r="H12" s="120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V12" s="98"/>
      <c r="W12" s="97" t="s">
        <v>164</v>
      </c>
      <c r="Y12" s="77"/>
      <c r="Z12" s="77"/>
    </row>
    <row r="13" spans="1:26" s="76" customFormat="1" ht="12.75" customHeight="1">
      <c r="A13" s="98"/>
      <c r="B13" s="98" t="s">
        <v>17</v>
      </c>
      <c r="C13" s="98"/>
      <c r="D13" s="98"/>
      <c r="E13" s="98"/>
      <c r="F13" s="120">
        <v>360.06</v>
      </c>
      <c r="G13" s="120">
        <v>206.57</v>
      </c>
      <c r="H13" s="120">
        <v>153.5</v>
      </c>
      <c r="I13" s="120">
        <v>683.1</v>
      </c>
      <c r="J13" s="120">
        <v>462.34</v>
      </c>
      <c r="K13" s="120">
        <v>220.76</v>
      </c>
      <c r="L13" s="120" t="s">
        <v>297</v>
      </c>
      <c r="M13" s="120" t="s">
        <v>297</v>
      </c>
      <c r="N13" s="120" t="s">
        <v>297</v>
      </c>
      <c r="O13" s="120">
        <v>285.14</v>
      </c>
      <c r="P13" s="120">
        <v>285.14</v>
      </c>
      <c r="Q13" s="120" t="s">
        <v>297</v>
      </c>
      <c r="R13" s="120">
        <v>167.15</v>
      </c>
      <c r="S13" s="120">
        <v>80.459999999999994</v>
      </c>
      <c r="T13" s="120">
        <v>86.69</v>
      </c>
      <c r="U13" s="99"/>
      <c r="V13" s="98" t="s">
        <v>22</v>
      </c>
      <c r="W13" s="98"/>
      <c r="Y13" s="77"/>
      <c r="Z13" s="77"/>
    </row>
    <row r="14" spans="1:26" s="76" customFormat="1" ht="12.75" customHeight="1">
      <c r="A14" s="98"/>
      <c r="B14" s="98" t="s">
        <v>18</v>
      </c>
      <c r="C14" s="98"/>
      <c r="D14" s="98"/>
      <c r="E14" s="98"/>
      <c r="F14" s="120">
        <v>33065.89</v>
      </c>
      <c r="G14" s="120">
        <v>13854.81</v>
      </c>
      <c r="H14" s="120">
        <v>19211.080000000002</v>
      </c>
      <c r="I14" s="120">
        <v>21752.16</v>
      </c>
      <c r="J14" s="120">
        <v>11116.11</v>
      </c>
      <c r="K14" s="120">
        <v>10636.05</v>
      </c>
      <c r="L14" s="120">
        <v>24434.61</v>
      </c>
      <c r="M14" s="120">
        <v>10074.16</v>
      </c>
      <c r="N14" s="120">
        <v>14360.45</v>
      </c>
      <c r="O14" s="120">
        <v>29522.46</v>
      </c>
      <c r="P14" s="120">
        <v>14509.66</v>
      </c>
      <c r="Q14" s="120">
        <v>15012.8</v>
      </c>
      <c r="R14" s="120">
        <v>32260.01</v>
      </c>
      <c r="S14" s="120">
        <v>12551.21</v>
      </c>
      <c r="T14" s="120">
        <v>19708.8</v>
      </c>
      <c r="U14" s="99"/>
      <c r="V14" s="98" t="s">
        <v>23</v>
      </c>
      <c r="W14" s="98"/>
      <c r="Y14" s="77"/>
      <c r="Z14" s="77"/>
    </row>
    <row r="15" spans="1:26" s="76" customFormat="1" ht="12.75" customHeight="1">
      <c r="A15" s="98"/>
      <c r="B15" s="98" t="s">
        <v>146</v>
      </c>
      <c r="C15" s="98"/>
      <c r="D15" s="98"/>
      <c r="E15" s="98"/>
      <c r="F15" s="120">
        <v>835.63</v>
      </c>
      <c r="G15" s="120">
        <v>743.62</v>
      </c>
      <c r="H15" s="120">
        <v>92.02</v>
      </c>
      <c r="I15" s="120">
        <v>390.64</v>
      </c>
      <c r="J15" s="120">
        <v>326.58</v>
      </c>
      <c r="K15" s="120">
        <v>64.06</v>
      </c>
      <c r="L15" s="120">
        <v>253.13</v>
      </c>
      <c r="M15" s="120">
        <v>189.73</v>
      </c>
      <c r="N15" s="120">
        <v>63.4</v>
      </c>
      <c r="O15" s="120">
        <v>519.52</v>
      </c>
      <c r="P15" s="120">
        <v>432.55</v>
      </c>
      <c r="Q15" s="120">
        <v>86.97</v>
      </c>
      <c r="R15" s="120">
        <v>665.65</v>
      </c>
      <c r="S15" s="120">
        <v>574.9</v>
      </c>
      <c r="T15" s="120">
        <v>90.75</v>
      </c>
      <c r="U15" s="99"/>
      <c r="V15" s="98" t="s">
        <v>166</v>
      </c>
      <c r="W15" s="98"/>
      <c r="Y15" s="77"/>
      <c r="Z15" s="77"/>
    </row>
    <row r="16" spans="1:26" s="76" customFormat="1" ht="12.75" customHeight="1">
      <c r="A16" s="98"/>
      <c r="B16" s="98" t="s">
        <v>147</v>
      </c>
      <c r="C16" s="98"/>
      <c r="D16" s="98"/>
      <c r="E16" s="98"/>
      <c r="F16" s="120"/>
      <c r="G16" s="120"/>
      <c r="H16" s="120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99"/>
      <c r="V16" s="98" t="s">
        <v>227</v>
      </c>
      <c r="W16" s="98"/>
      <c r="Y16" s="77"/>
      <c r="Z16" s="77"/>
    </row>
    <row r="17" spans="1:26" s="76" customFormat="1" ht="12.75" customHeight="1">
      <c r="A17" s="98"/>
      <c r="B17" s="98"/>
      <c r="C17" s="98" t="s">
        <v>148</v>
      </c>
      <c r="D17" s="98"/>
      <c r="E17" s="98"/>
      <c r="F17" s="120">
        <v>105.86</v>
      </c>
      <c r="G17" s="120">
        <v>105.86</v>
      </c>
      <c r="H17" s="120" t="s">
        <v>297</v>
      </c>
      <c r="I17" s="120">
        <v>305.12</v>
      </c>
      <c r="J17" s="120">
        <v>143.86000000000001</v>
      </c>
      <c r="K17" s="120">
        <v>161.26</v>
      </c>
      <c r="L17" s="120">
        <v>1081.9100000000001</v>
      </c>
      <c r="M17" s="120">
        <v>356.47</v>
      </c>
      <c r="N17" s="120">
        <v>725.44</v>
      </c>
      <c r="O17" s="120">
        <v>919.07</v>
      </c>
      <c r="P17" s="120">
        <v>436.42</v>
      </c>
      <c r="Q17" s="120">
        <v>482.65</v>
      </c>
      <c r="R17" s="120">
        <v>317.95999999999998</v>
      </c>
      <c r="S17" s="120">
        <v>247.16</v>
      </c>
      <c r="T17" s="120">
        <v>70.8</v>
      </c>
      <c r="U17" s="99"/>
      <c r="V17" s="98"/>
      <c r="W17" s="98" t="s">
        <v>167</v>
      </c>
      <c r="Y17" s="77"/>
      <c r="Z17" s="77"/>
    </row>
    <row r="18" spans="1:26" s="76" customFormat="1" ht="12.75" customHeight="1">
      <c r="A18" s="98"/>
      <c r="B18" s="98" t="s">
        <v>19</v>
      </c>
      <c r="C18" s="98"/>
      <c r="D18" s="98"/>
      <c r="E18" s="98"/>
      <c r="F18" s="120">
        <v>29004.47</v>
      </c>
      <c r="G18" s="120">
        <v>25629.74</v>
      </c>
      <c r="H18" s="120">
        <v>3374.73</v>
      </c>
      <c r="I18" s="120">
        <v>20072.060000000001</v>
      </c>
      <c r="J18" s="120">
        <v>16172.73</v>
      </c>
      <c r="K18" s="120">
        <v>3899.33</v>
      </c>
      <c r="L18" s="120">
        <v>10950.57</v>
      </c>
      <c r="M18" s="120">
        <v>10297.89</v>
      </c>
      <c r="N18" s="120">
        <v>652.67999999999995</v>
      </c>
      <c r="O18" s="120">
        <v>5701.79</v>
      </c>
      <c r="P18" s="120">
        <v>5407.43</v>
      </c>
      <c r="Q18" s="120">
        <v>294.36</v>
      </c>
      <c r="R18" s="120">
        <v>21578.62</v>
      </c>
      <c r="S18" s="120">
        <v>17960.560000000001</v>
      </c>
      <c r="T18" s="120">
        <v>3618.07</v>
      </c>
      <c r="U18" s="99"/>
      <c r="V18" s="98" t="s">
        <v>48</v>
      </c>
      <c r="W18" s="98"/>
      <c r="Y18" s="77"/>
      <c r="Z18" s="77"/>
    </row>
    <row r="19" spans="1:26" s="76" customFormat="1" ht="12.75" customHeight="1">
      <c r="A19" s="98"/>
      <c r="B19" s="98" t="s">
        <v>149</v>
      </c>
      <c r="F19" s="120">
        <v>26960.880000000001</v>
      </c>
      <c r="G19" s="120">
        <v>13235.93</v>
      </c>
      <c r="H19" s="120">
        <v>13724.95</v>
      </c>
      <c r="I19" s="120">
        <v>29926.68</v>
      </c>
      <c r="J19" s="120">
        <v>15280.62</v>
      </c>
      <c r="K19" s="120">
        <v>14646.06</v>
      </c>
      <c r="L19" s="120">
        <v>32241.03</v>
      </c>
      <c r="M19" s="120">
        <v>13829.37</v>
      </c>
      <c r="N19" s="120">
        <v>18411.66</v>
      </c>
      <c r="O19" s="120">
        <v>29304.94</v>
      </c>
      <c r="P19" s="120">
        <v>11326.58</v>
      </c>
      <c r="Q19" s="120">
        <v>17978.36</v>
      </c>
      <c r="R19" s="120">
        <v>27628.32</v>
      </c>
      <c r="S19" s="120">
        <v>14677.21</v>
      </c>
      <c r="T19" s="120">
        <v>12951.11</v>
      </c>
      <c r="U19" s="99"/>
      <c r="V19" s="98" t="s">
        <v>64</v>
      </c>
      <c r="W19" s="98"/>
      <c r="Y19" s="77"/>
      <c r="Z19" s="77"/>
    </row>
    <row r="20" spans="1:26" s="76" customFormat="1" ht="12.75" customHeight="1">
      <c r="F20" s="120"/>
      <c r="G20" s="120"/>
      <c r="H20" s="120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99"/>
      <c r="V20" s="98"/>
      <c r="W20" s="98" t="s">
        <v>168</v>
      </c>
      <c r="Y20" s="77"/>
      <c r="Z20" s="77"/>
    </row>
    <row r="21" spans="1:26" s="76" customFormat="1" ht="12.75" customHeight="1">
      <c r="A21" s="98"/>
      <c r="B21" s="98" t="s">
        <v>224</v>
      </c>
      <c r="C21" s="98"/>
      <c r="D21" s="98"/>
      <c r="E21" s="98"/>
      <c r="F21" s="120">
        <v>1459.18</v>
      </c>
      <c r="G21" s="120">
        <v>1459.18</v>
      </c>
      <c r="H21" s="120" t="s">
        <v>297</v>
      </c>
      <c r="I21" s="120">
        <v>2645.52</v>
      </c>
      <c r="J21" s="120">
        <v>2565.5100000000002</v>
      </c>
      <c r="K21" s="120">
        <v>80.010000000000005</v>
      </c>
      <c r="L21" s="120">
        <v>2565.34</v>
      </c>
      <c r="M21" s="120">
        <v>2425.2399999999998</v>
      </c>
      <c r="N21" s="120">
        <v>140.1</v>
      </c>
      <c r="O21" s="120">
        <v>1740.33</v>
      </c>
      <c r="P21" s="120">
        <v>1671.03</v>
      </c>
      <c r="Q21" s="120">
        <v>69.3</v>
      </c>
      <c r="R21" s="120">
        <v>2024.18</v>
      </c>
      <c r="S21" s="120">
        <v>1943.28</v>
      </c>
      <c r="T21" s="120">
        <v>80.900000000000006</v>
      </c>
      <c r="U21" s="99"/>
      <c r="V21" s="98" t="s">
        <v>169</v>
      </c>
      <c r="W21" s="98"/>
      <c r="Y21" s="77"/>
      <c r="Z21" s="77"/>
    </row>
    <row r="22" spans="1:26" s="76" customFormat="1" ht="12.75" customHeight="1">
      <c r="A22" s="98"/>
      <c r="B22" s="98" t="s">
        <v>225</v>
      </c>
      <c r="C22" s="98"/>
      <c r="D22" s="98"/>
      <c r="E22" s="98"/>
      <c r="F22" s="120">
        <v>11522.04</v>
      </c>
      <c r="G22" s="120">
        <v>3466.95</v>
      </c>
      <c r="H22" s="120">
        <v>8055.09</v>
      </c>
      <c r="I22" s="120">
        <v>11491.7</v>
      </c>
      <c r="J22" s="120">
        <v>2701.63</v>
      </c>
      <c r="K22" s="120">
        <v>8790.07</v>
      </c>
      <c r="L22" s="120">
        <v>11669.53</v>
      </c>
      <c r="M22" s="120">
        <v>3126.05</v>
      </c>
      <c r="N22" s="120">
        <v>8543.4699999999993</v>
      </c>
      <c r="O22" s="120">
        <v>13281.98</v>
      </c>
      <c r="P22" s="120">
        <v>3571.97</v>
      </c>
      <c r="Q22" s="120">
        <v>9710.01</v>
      </c>
      <c r="R22" s="120">
        <v>11218.85</v>
      </c>
      <c r="S22" s="120">
        <v>3143.52</v>
      </c>
      <c r="T22" s="120">
        <v>8075.33</v>
      </c>
      <c r="U22" s="99"/>
      <c r="V22" s="98" t="s">
        <v>170</v>
      </c>
      <c r="W22" s="98"/>
      <c r="Y22" s="77"/>
      <c r="Z22" s="77"/>
    </row>
    <row r="23" spans="1:26" s="76" customFormat="1" ht="12.75" customHeight="1">
      <c r="A23" s="98"/>
      <c r="B23" s="98" t="s">
        <v>150</v>
      </c>
      <c r="C23" s="99"/>
      <c r="D23" s="99"/>
      <c r="E23" s="99"/>
      <c r="F23" s="120" t="s">
        <v>297</v>
      </c>
      <c r="G23" s="120" t="s">
        <v>297</v>
      </c>
      <c r="H23" s="120" t="s">
        <v>297</v>
      </c>
      <c r="I23" s="120">
        <v>220.14</v>
      </c>
      <c r="J23" s="120">
        <v>220.14</v>
      </c>
      <c r="K23" s="120" t="s">
        <v>297</v>
      </c>
      <c r="L23" s="120">
        <v>228.31</v>
      </c>
      <c r="M23" s="120">
        <v>228.31</v>
      </c>
      <c r="N23" s="120" t="s">
        <v>297</v>
      </c>
      <c r="O23" s="120">
        <v>277.11</v>
      </c>
      <c r="P23" s="120">
        <v>126.2</v>
      </c>
      <c r="Q23" s="120">
        <v>150.91999999999999</v>
      </c>
      <c r="R23" s="120">
        <v>420.87</v>
      </c>
      <c r="S23" s="120">
        <v>420.87</v>
      </c>
      <c r="T23" s="120" t="s">
        <v>297</v>
      </c>
      <c r="U23" s="99"/>
      <c r="V23" s="99" t="s">
        <v>171</v>
      </c>
      <c r="W23" s="99"/>
      <c r="X23" s="77"/>
      <c r="Y23" s="77"/>
      <c r="Z23" s="77"/>
    </row>
    <row r="24" spans="1:26" s="76" customFormat="1" ht="12.75" customHeight="1">
      <c r="A24" s="98"/>
      <c r="B24" s="98" t="s">
        <v>151</v>
      </c>
      <c r="C24" s="99"/>
      <c r="D24" s="99"/>
      <c r="E24" s="99"/>
      <c r="F24" s="120">
        <v>1296.74</v>
      </c>
      <c r="G24" s="120">
        <v>808.39</v>
      </c>
      <c r="H24" s="120">
        <v>488.35</v>
      </c>
      <c r="I24" s="120">
        <v>658.17</v>
      </c>
      <c r="J24" s="120">
        <v>287.60000000000002</v>
      </c>
      <c r="K24" s="120">
        <v>370.57</v>
      </c>
      <c r="L24" s="120">
        <v>749.93</v>
      </c>
      <c r="M24" s="120">
        <v>453.01</v>
      </c>
      <c r="N24" s="120">
        <v>296.92</v>
      </c>
      <c r="O24" s="120">
        <v>1357.91</v>
      </c>
      <c r="P24" s="120">
        <v>929.78</v>
      </c>
      <c r="Q24" s="120">
        <v>428.12</v>
      </c>
      <c r="R24" s="120">
        <v>2244.36</v>
      </c>
      <c r="S24" s="120">
        <v>1001.57</v>
      </c>
      <c r="T24" s="120">
        <v>1242.78</v>
      </c>
      <c r="U24" s="99"/>
      <c r="V24" s="99" t="s">
        <v>172</v>
      </c>
      <c r="W24" s="99"/>
      <c r="X24" s="77"/>
      <c r="Y24" s="77"/>
      <c r="Z24" s="77"/>
    </row>
    <row r="25" spans="1:26" s="76" customFormat="1" ht="12.75" customHeight="1">
      <c r="A25" s="98"/>
      <c r="B25" s="99" t="s">
        <v>152</v>
      </c>
      <c r="C25" s="99"/>
      <c r="D25" s="99"/>
      <c r="E25" s="99"/>
      <c r="F25" s="120" t="s">
        <v>297</v>
      </c>
      <c r="G25" s="120" t="s">
        <v>297</v>
      </c>
      <c r="H25" s="120" t="s">
        <v>297</v>
      </c>
      <c r="I25" s="120">
        <v>147.18</v>
      </c>
      <c r="J25" s="120" t="s">
        <v>297</v>
      </c>
      <c r="K25" s="120">
        <v>147.18</v>
      </c>
      <c r="L25" s="120">
        <v>83.77</v>
      </c>
      <c r="M25" s="120" t="s">
        <v>297</v>
      </c>
      <c r="N25" s="120">
        <v>83.77</v>
      </c>
      <c r="O25" s="120" t="s">
        <v>297</v>
      </c>
      <c r="P25" s="120" t="s">
        <v>297</v>
      </c>
      <c r="Q25" s="120" t="s">
        <v>297</v>
      </c>
      <c r="R25" s="120">
        <v>190.86</v>
      </c>
      <c r="S25" s="120" t="s">
        <v>297</v>
      </c>
      <c r="T25" s="120">
        <v>190.86</v>
      </c>
      <c r="U25" s="99"/>
      <c r="V25" s="99" t="s">
        <v>173</v>
      </c>
      <c r="W25" s="99"/>
      <c r="X25" s="77"/>
      <c r="Y25" s="77"/>
      <c r="Z25" s="77"/>
    </row>
    <row r="26" spans="1:26" s="76" customFormat="1" ht="12.75" customHeight="1">
      <c r="A26" s="98"/>
      <c r="B26" s="98" t="s">
        <v>153</v>
      </c>
      <c r="C26" s="98"/>
      <c r="D26" s="99"/>
      <c r="E26" s="99"/>
      <c r="F26" s="120">
        <v>266.01</v>
      </c>
      <c r="G26" s="120">
        <v>219.3</v>
      </c>
      <c r="H26" s="120">
        <v>46.71</v>
      </c>
      <c r="I26" s="120">
        <v>336.15</v>
      </c>
      <c r="J26" s="120">
        <v>221.39</v>
      </c>
      <c r="K26" s="120">
        <v>114.76</v>
      </c>
      <c r="L26" s="120">
        <v>293.13</v>
      </c>
      <c r="M26" s="120">
        <v>238.97</v>
      </c>
      <c r="N26" s="120">
        <v>54.16</v>
      </c>
      <c r="O26" s="120">
        <v>154.4</v>
      </c>
      <c r="P26" s="120">
        <v>154.4</v>
      </c>
      <c r="Q26" s="120" t="s">
        <v>297</v>
      </c>
      <c r="R26" s="120">
        <v>84.08</v>
      </c>
      <c r="S26" s="120" t="s">
        <v>297</v>
      </c>
      <c r="T26" s="120">
        <v>84.08</v>
      </c>
      <c r="U26" s="99"/>
      <c r="V26" s="98" t="s">
        <v>174</v>
      </c>
      <c r="W26" s="99"/>
      <c r="X26" s="77"/>
      <c r="Y26" s="77"/>
      <c r="Z26" s="77"/>
    </row>
    <row r="27" spans="1:26" s="76" customFormat="1" ht="12.75" customHeight="1">
      <c r="A27" s="98"/>
      <c r="B27" s="98" t="s">
        <v>154</v>
      </c>
      <c r="C27" s="99"/>
      <c r="D27" s="99"/>
      <c r="E27" s="99"/>
      <c r="F27" s="120">
        <v>738.33</v>
      </c>
      <c r="G27" s="120">
        <v>537.23</v>
      </c>
      <c r="H27" s="120">
        <v>201.11</v>
      </c>
      <c r="I27" s="120">
        <v>1097.32</v>
      </c>
      <c r="J27" s="120">
        <v>975.96</v>
      </c>
      <c r="K27" s="120">
        <v>121.36</v>
      </c>
      <c r="L27" s="120">
        <v>1055.95</v>
      </c>
      <c r="M27" s="120">
        <v>946.65</v>
      </c>
      <c r="N27" s="120">
        <v>109.3</v>
      </c>
      <c r="O27" s="120">
        <v>1739.24</v>
      </c>
      <c r="P27" s="120">
        <v>1587.04</v>
      </c>
      <c r="Q27" s="120">
        <v>152.19999999999999</v>
      </c>
      <c r="R27" s="120">
        <v>55.48</v>
      </c>
      <c r="S27" s="120" t="s">
        <v>297</v>
      </c>
      <c r="T27" s="120">
        <v>55.48</v>
      </c>
      <c r="U27" s="99"/>
      <c r="V27" s="99" t="s">
        <v>175</v>
      </c>
      <c r="W27" s="99"/>
      <c r="X27" s="77"/>
      <c r="Y27" s="77"/>
      <c r="Z27" s="77"/>
    </row>
    <row r="28" spans="1:26" s="76" customFormat="1" ht="12.75" customHeight="1">
      <c r="A28" s="98"/>
      <c r="B28" s="99" t="s">
        <v>155</v>
      </c>
      <c r="C28" s="99"/>
      <c r="D28" s="99"/>
      <c r="E28" s="99"/>
      <c r="F28" s="120"/>
      <c r="G28" s="120"/>
      <c r="H28" s="120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99"/>
      <c r="V28" s="99" t="s">
        <v>176</v>
      </c>
      <c r="W28" s="99"/>
      <c r="X28" s="77"/>
      <c r="Y28" s="77"/>
      <c r="Z28" s="77"/>
    </row>
    <row r="29" spans="1:26" s="76" customFormat="1" ht="12.75" customHeight="1">
      <c r="A29" s="98"/>
      <c r="B29" s="98"/>
      <c r="C29" s="99" t="s">
        <v>226</v>
      </c>
      <c r="D29" s="99"/>
      <c r="E29" s="99"/>
      <c r="F29" s="120">
        <v>17134</v>
      </c>
      <c r="G29" s="120">
        <v>11754.08</v>
      </c>
      <c r="H29" s="120">
        <v>5379.92</v>
      </c>
      <c r="I29" s="120">
        <v>14945.85</v>
      </c>
      <c r="J29" s="120">
        <v>8616.84</v>
      </c>
      <c r="K29" s="120">
        <v>6329.01</v>
      </c>
      <c r="L29" s="120">
        <v>15580.49</v>
      </c>
      <c r="M29" s="120">
        <v>9561.77</v>
      </c>
      <c r="N29" s="120">
        <v>6018.72</v>
      </c>
      <c r="O29" s="120">
        <v>15247.91</v>
      </c>
      <c r="P29" s="120">
        <v>9984.94</v>
      </c>
      <c r="Q29" s="120">
        <v>5262.97</v>
      </c>
      <c r="R29" s="120">
        <v>15825.87</v>
      </c>
      <c r="S29" s="120">
        <v>12392.67</v>
      </c>
      <c r="T29" s="120">
        <v>3433.2</v>
      </c>
      <c r="U29" s="99"/>
      <c r="V29" s="99"/>
      <c r="W29" s="99" t="s">
        <v>78</v>
      </c>
      <c r="X29" s="77"/>
      <c r="Y29" s="77"/>
      <c r="Z29" s="77"/>
    </row>
    <row r="30" spans="1:26" s="76" customFormat="1" ht="12.75" customHeight="1">
      <c r="A30" s="98"/>
      <c r="B30" s="99" t="s">
        <v>20</v>
      </c>
      <c r="C30" s="99"/>
      <c r="D30" s="99"/>
      <c r="E30" s="99"/>
      <c r="F30" s="120">
        <v>10326.870000000001</v>
      </c>
      <c r="G30" s="120">
        <v>2640.76</v>
      </c>
      <c r="H30" s="120">
        <v>7686.11</v>
      </c>
      <c r="I30" s="120">
        <v>9105.42</v>
      </c>
      <c r="J30" s="120">
        <v>1446.67</v>
      </c>
      <c r="K30" s="120">
        <v>7658.75</v>
      </c>
      <c r="L30" s="120">
        <v>9725.84</v>
      </c>
      <c r="M30" s="120">
        <v>2891.85</v>
      </c>
      <c r="N30" s="120">
        <v>6834</v>
      </c>
      <c r="O30" s="120">
        <v>9144.68</v>
      </c>
      <c r="P30" s="120">
        <v>2868.68</v>
      </c>
      <c r="Q30" s="120">
        <v>6276</v>
      </c>
      <c r="R30" s="120">
        <v>9093.75</v>
      </c>
      <c r="S30" s="120">
        <v>4208.95</v>
      </c>
      <c r="T30" s="120">
        <v>4884.8</v>
      </c>
      <c r="U30" s="99"/>
      <c r="V30" s="99" t="s">
        <v>24</v>
      </c>
      <c r="W30" s="99"/>
      <c r="X30" s="77"/>
      <c r="Y30" s="77"/>
      <c r="Z30" s="77"/>
    </row>
    <row r="31" spans="1:26" s="76" customFormat="1" ht="12.75" customHeight="1">
      <c r="A31" s="98"/>
      <c r="B31" s="99" t="s">
        <v>156</v>
      </c>
      <c r="C31" s="99"/>
      <c r="D31" s="99"/>
      <c r="E31" s="99"/>
      <c r="F31" s="120">
        <v>3054.63</v>
      </c>
      <c r="G31" s="120">
        <v>839.24</v>
      </c>
      <c r="H31" s="120">
        <v>2215.39</v>
      </c>
      <c r="I31" s="120">
        <v>3148.03</v>
      </c>
      <c r="J31" s="120">
        <v>641.55999999999995</v>
      </c>
      <c r="K31" s="120">
        <v>2506.4699999999998</v>
      </c>
      <c r="L31" s="120">
        <v>3797.84</v>
      </c>
      <c r="M31" s="120">
        <v>261.83</v>
      </c>
      <c r="N31" s="120">
        <v>3536.01</v>
      </c>
      <c r="O31" s="120">
        <v>2890.26</v>
      </c>
      <c r="P31" s="120">
        <v>352.77</v>
      </c>
      <c r="Q31" s="120">
        <v>2537.4899999999998</v>
      </c>
      <c r="R31" s="120">
        <v>4092.75</v>
      </c>
      <c r="S31" s="120">
        <v>772.39</v>
      </c>
      <c r="T31" s="120">
        <v>3320.37</v>
      </c>
      <c r="U31" s="99"/>
      <c r="V31" s="99" t="s">
        <v>177</v>
      </c>
      <c r="W31" s="99"/>
      <c r="X31" s="77"/>
      <c r="Y31" s="77"/>
      <c r="Z31" s="77"/>
    </row>
    <row r="32" spans="1:26" s="76" customFormat="1" ht="12.75" customHeight="1">
      <c r="A32" s="98"/>
      <c r="B32" s="98" t="s">
        <v>157</v>
      </c>
      <c r="C32" s="99"/>
      <c r="D32" s="99"/>
      <c r="E32" s="99"/>
      <c r="F32" s="120">
        <v>2555.96</v>
      </c>
      <c r="G32" s="120">
        <v>659.74</v>
      </c>
      <c r="H32" s="120">
        <v>1896.22</v>
      </c>
      <c r="I32" s="120">
        <v>1932.49</v>
      </c>
      <c r="J32" s="120">
        <v>1210.78</v>
      </c>
      <c r="K32" s="120">
        <v>721.71</v>
      </c>
      <c r="L32" s="120">
        <v>1584.06</v>
      </c>
      <c r="M32" s="120">
        <v>1197.3800000000001</v>
      </c>
      <c r="N32" s="120">
        <v>386.68</v>
      </c>
      <c r="O32" s="120">
        <v>1637.29</v>
      </c>
      <c r="P32" s="120">
        <v>1108.51</v>
      </c>
      <c r="Q32" s="120">
        <v>528.77</v>
      </c>
      <c r="R32" s="120">
        <v>455.65</v>
      </c>
      <c r="S32" s="120" t="s">
        <v>297</v>
      </c>
      <c r="T32" s="120">
        <v>455.65</v>
      </c>
      <c r="U32" s="99"/>
      <c r="V32" s="99" t="s">
        <v>178</v>
      </c>
      <c r="W32" s="99"/>
      <c r="X32" s="77"/>
      <c r="Y32" s="77"/>
      <c r="Z32" s="77"/>
    </row>
    <row r="33" spans="1:26" s="76" customFormat="1" ht="12.75" customHeight="1">
      <c r="A33" s="98"/>
      <c r="B33" s="98" t="s">
        <v>158</v>
      </c>
      <c r="C33" s="99"/>
      <c r="D33" s="99"/>
      <c r="E33" s="99"/>
      <c r="F33" s="120">
        <v>1629.47</v>
      </c>
      <c r="G33" s="120">
        <v>400.49</v>
      </c>
      <c r="H33" s="120">
        <v>1228.98</v>
      </c>
      <c r="I33" s="120">
        <v>1750.43</v>
      </c>
      <c r="J33" s="120">
        <v>1271.28</v>
      </c>
      <c r="K33" s="120">
        <v>479.15</v>
      </c>
      <c r="L33" s="120">
        <v>2651.11</v>
      </c>
      <c r="M33" s="120">
        <v>2002.35</v>
      </c>
      <c r="N33" s="120">
        <v>648.76</v>
      </c>
      <c r="O33" s="120">
        <v>2118.16</v>
      </c>
      <c r="P33" s="120">
        <v>1035.92</v>
      </c>
      <c r="Q33" s="120">
        <v>1082.24</v>
      </c>
      <c r="R33" s="120">
        <v>2107.2800000000002</v>
      </c>
      <c r="S33" s="120">
        <v>481.82</v>
      </c>
      <c r="T33" s="120">
        <v>1625.45</v>
      </c>
      <c r="U33" s="99"/>
      <c r="V33" s="98" t="s">
        <v>179</v>
      </c>
      <c r="W33" s="98"/>
      <c r="X33" s="77"/>
      <c r="Y33" s="77"/>
      <c r="Z33" s="77"/>
    </row>
    <row r="34" spans="1:26" s="76" customFormat="1" ht="12.75" customHeight="1">
      <c r="A34" s="98"/>
      <c r="B34" s="98" t="s">
        <v>319</v>
      </c>
      <c r="C34" s="99"/>
      <c r="D34" s="99"/>
      <c r="E34" s="99"/>
      <c r="F34" s="120"/>
      <c r="G34" s="120"/>
      <c r="H34" s="120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99"/>
      <c r="V34" s="214" t="s">
        <v>228</v>
      </c>
      <c r="W34" s="214"/>
      <c r="X34" s="77"/>
      <c r="Y34" s="77"/>
      <c r="Z34" s="77"/>
    </row>
    <row r="35" spans="1:26" s="76" customFormat="1" ht="12.75" customHeight="1">
      <c r="A35" s="98"/>
      <c r="B35" s="98"/>
      <c r="C35" s="98" t="s">
        <v>320</v>
      </c>
      <c r="D35" s="99"/>
      <c r="E35" s="99"/>
      <c r="F35" s="120">
        <v>1852.71</v>
      </c>
      <c r="G35" s="120">
        <v>1644.09</v>
      </c>
      <c r="H35" s="120">
        <v>208.63</v>
      </c>
      <c r="I35" s="120">
        <v>804.87</v>
      </c>
      <c r="J35" s="120">
        <v>553.78</v>
      </c>
      <c r="K35" s="120">
        <v>251.09</v>
      </c>
      <c r="L35" s="120">
        <v>730.91</v>
      </c>
      <c r="M35" s="120">
        <v>470.35</v>
      </c>
      <c r="N35" s="120">
        <v>260.56</v>
      </c>
      <c r="O35" s="120">
        <v>538.1</v>
      </c>
      <c r="P35" s="120">
        <v>161.74</v>
      </c>
      <c r="Q35" s="120">
        <v>376.36</v>
      </c>
      <c r="R35" s="120">
        <v>1223.32</v>
      </c>
      <c r="S35" s="120">
        <v>467.95</v>
      </c>
      <c r="T35" s="120">
        <v>755.37</v>
      </c>
      <c r="U35" s="99"/>
      <c r="V35" s="99"/>
      <c r="W35" s="214" t="s">
        <v>180</v>
      </c>
      <c r="X35" s="77"/>
      <c r="Y35" s="77"/>
      <c r="Z35" s="77"/>
    </row>
    <row r="36" spans="1:26" s="76" customFormat="1" ht="12.75" customHeight="1">
      <c r="A36" s="98"/>
      <c r="B36" s="99" t="s">
        <v>159</v>
      </c>
      <c r="C36" s="99"/>
      <c r="D36" s="99"/>
      <c r="E36" s="99"/>
      <c r="F36" s="120" t="s">
        <v>297</v>
      </c>
      <c r="G36" s="120" t="s">
        <v>297</v>
      </c>
      <c r="H36" s="120" t="s">
        <v>297</v>
      </c>
      <c r="I36" s="120" t="s">
        <v>297</v>
      </c>
      <c r="J36" s="120" t="s">
        <v>297</v>
      </c>
      <c r="K36" s="120" t="s">
        <v>297</v>
      </c>
      <c r="L36" s="120" t="s">
        <v>297</v>
      </c>
      <c r="M36" s="120" t="s">
        <v>297</v>
      </c>
      <c r="N36" s="120" t="s">
        <v>297</v>
      </c>
      <c r="O36" s="120" t="s">
        <v>297</v>
      </c>
      <c r="P36" s="120" t="s">
        <v>297</v>
      </c>
      <c r="Q36" s="120" t="s">
        <v>297</v>
      </c>
      <c r="R36" s="120" t="s">
        <v>297</v>
      </c>
      <c r="S36" s="120" t="s">
        <v>297</v>
      </c>
      <c r="T36" s="120" t="s">
        <v>297</v>
      </c>
      <c r="U36" s="99"/>
      <c r="V36" s="99" t="s">
        <v>183</v>
      </c>
      <c r="W36" s="99"/>
      <c r="X36" s="77"/>
      <c r="Y36" s="77"/>
      <c r="Z36" s="77"/>
    </row>
    <row r="37" spans="1:26" s="76" customFormat="1" ht="12.75" customHeight="1">
      <c r="A37" s="99"/>
      <c r="B37" s="99" t="s">
        <v>21</v>
      </c>
      <c r="C37" s="99"/>
      <c r="D37" s="99"/>
      <c r="E37" s="99"/>
      <c r="F37" s="120" t="s">
        <v>297</v>
      </c>
      <c r="G37" s="120" t="s">
        <v>297</v>
      </c>
      <c r="H37" s="120" t="s">
        <v>297</v>
      </c>
      <c r="I37" s="120" t="s">
        <v>297</v>
      </c>
      <c r="J37" s="120" t="s">
        <v>297</v>
      </c>
      <c r="K37" s="120" t="s">
        <v>297</v>
      </c>
      <c r="L37" s="120" t="s">
        <v>297</v>
      </c>
      <c r="M37" s="120" t="s">
        <v>297</v>
      </c>
      <c r="N37" s="120" t="s">
        <v>297</v>
      </c>
      <c r="O37" s="120" t="s">
        <v>297</v>
      </c>
      <c r="P37" s="120" t="s">
        <v>297</v>
      </c>
      <c r="Q37" s="120" t="s">
        <v>297</v>
      </c>
      <c r="R37" s="120" t="s">
        <v>297</v>
      </c>
      <c r="S37" s="120" t="s">
        <v>297</v>
      </c>
      <c r="T37" s="120" t="s">
        <v>297</v>
      </c>
      <c r="U37" s="99"/>
      <c r="V37" s="99" t="s">
        <v>25</v>
      </c>
      <c r="W37" s="99"/>
      <c r="X37" s="77"/>
      <c r="Y37" s="77"/>
      <c r="Z37" s="77"/>
    </row>
    <row r="38" spans="1:26" s="82" customFormat="1" ht="3" customHeight="1">
      <c r="A38" s="78"/>
      <c r="B38" s="78"/>
      <c r="C38" s="78"/>
      <c r="D38" s="78"/>
      <c r="E38" s="79"/>
      <c r="F38" s="80"/>
      <c r="G38" s="81"/>
      <c r="H38" s="79"/>
      <c r="I38" s="217"/>
      <c r="J38" s="217"/>
      <c r="K38" s="217"/>
      <c r="L38" s="79"/>
      <c r="M38" s="79"/>
      <c r="N38" s="79"/>
      <c r="O38" s="79"/>
      <c r="P38" s="79"/>
      <c r="Q38" s="79"/>
      <c r="R38" s="79"/>
      <c r="S38" s="79"/>
      <c r="T38" s="79"/>
      <c r="U38" s="80"/>
      <c r="V38" s="78"/>
      <c r="W38" s="78"/>
      <c r="X38" s="78"/>
      <c r="Y38" s="78"/>
      <c r="Z38" s="83"/>
    </row>
    <row r="39" spans="1:26" s="82" customFormat="1" ht="3" customHeight="1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s="55" customFormat="1" ht="14.25" customHeight="1">
      <c r="C40" s="13" t="s">
        <v>62</v>
      </c>
      <c r="D40" s="101" t="s">
        <v>256</v>
      </c>
    </row>
    <row r="41" spans="1:26" s="55" customFormat="1" ht="15" customHeight="1">
      <c r="C41" s="13" t="s">
        <v>63</v>
      </c>
      <c r="D41" s="62" t="s">
        <v>257</v>
      </c>
    </row>
    <row r="43" spans="1:26">
      <c r="B43" s="77"/>
    </row>
    <row r="46" spans="1:26">
      <c r="B46" s="76"/>
    </row>
    <row r="49" spans="2:2">
      <c r="B49" s="77"/>
    </row>
    <row r="50" spans="2:2">
      <c r="B50" s="77"/>
    </row>
    <row r="52" spans="2:2">
      <c r="B52" s="76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3" type="noConversion"/>
  <pageMargins left="0.19" right="0.16" top="0.59055118110236227" bottom="0.39370078740157483" header="0.11811023622047245" footer="0.11811023622047245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tabColor rgb="FFFFFF00"/>
  </sheetPr>
  <dimension ref="A1:AK22"/>
  <sheetViews>
    <sheetView showGridLines="0" topLeftCell="A10" workbookViewId="0">
      <selection activeCell="AN7" sqref="AN7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42578125" style="6" customWidth="1"/>
    <col min="4" max="4" width="1.140625" style="6" customWidth="1"/>
    <col min="5" max="5" width="7" style="6" bestFit="1" customWidth="1"/>
    <col min="6" max="6" width="0.7109375" style="6" customWidth="1"/>
    <col min="7" max="7" width="6.85546875" style="6" bestFit="1" customWidth="1"/>
    <col min="8" max="8" width="0.7109375" style="6" customWidth="1"/>
    <col min="9" max="9" width="6.42578125" style="6" customWidth="1"/>
    <col min="10" max="10" width="0.7109375" style="6" customWidth="1"/>
    <col min="11" max="11" width="6.42578125" style="6" customWidth="1"/>
    <col min="12" max="12" width="0.7109375" style="6" customWidth="1"/>
    <col min="13" max="13" width="6.42578125" style="6" customWidth="1"/>
    <col min="14" max="14" width="0.7109375" style="6" customWidth="1"/>
    <col min="15" max="15" width="6.42578125" style="6" customWidth="1"/>
    <col min="16" max="16" width="0.7109375" style="6" customWidth="1"/>
    <col min="17" max="17" width="6.42578125" style="6" customWidth="1"/>
    <col min="18" max="18" width="0.7109375" style="6" customWidth="1"/>
    <col min="19" max="19" width="6.42578125" style="6" customWidth="1"/>
    <col min="20" max="20" width="0.7109375" style="6" customWidth="1"/>
    <col min="21" max="21" width="6.42578125" style="6" customWidth="1"/>
    <col min="22" max="22" width="0.7109375" style="6" customWidth="1"/>
    <col min="23" max="23" width="6.42578125" style="6" customWidth="1"/>
    <col min="24" max="24" width="0.7109375" style="6" customWidth="1"/>
    <col min="25" max="25" width="6.42578125" style="6" customWidth="1"/>
    <col min="26" max="26" width="0.7109375" style="6" customWidth="1"/>
    <col min="27" max="27" width="6.42578125" style="6" customWidth="1"/>
    <col min="28" max="28" width="0.7109375" style="6" customWidth="1"/>
    <col min="29" max="29" width="6.42578125" style="6" customWidth="1"/>
    <col min="30" max="30" width="0.7109375" style="6" customWidth="1"/>
    <col min="31" max="31" width="6.42578125" style="6" customWidth="1"/>
    <col min="32" max="32" width="0.7109375" style="6" customWidth="1"/>
    <col min="33" max="33" width="6.42578125" style="6" customWidth="1"/>
    <col min="34" max="34" width="0.7109375" style="6" customWidth="1"/>
    <col min="35" max="35" width="2" style="6" customWidth="1"/>
    <col min="36" max="36" width="23.28515625" style="6" customWidth="1"/>
    <col min="37" max="37" width="2.28515625" style="5" customWidth="1"/>
    <col min="38" max="38" width="4.140625" style="6" customWidth="1"/>
    <col min="39" max="16384" width="9.140625" style="6"/>
  </cols>
  <sheetData>
    <row r="1" spans="1:37" s="1" customFormat="1">
      <c r="B1" s="1" t="s">
        <v>0</v>
      </c>
      <c r="C1" s="2">
        <v>2.5</v>
      </c>
      <c r="D1" s="1" t="s">
        <v>258</v>
      </c>
      <c r="AK1" s="40"/>
    </row>
    <row r="2" spans="1:37" s="3" customFormat="1">
      <c r="B2" s="1" t="s">
        <v>186</v>
      </c>
      <c r="C2" s="2">
        <v>2.5</v>
      </c>
      <c r="D2" s="1" t="s">
        <v>259</v>
      </c>
      <c r="AK2" s="41"/>
    </row>
    <row r="3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I3" s="65" t="s">
        <v>322</v>
      </c>
      <c r="AJ3" s="223"/>
    </row>
    <row r="4" spans="1:37" ht="21.75" customHeight="1">
      <c r="A4" s="84"/>
      <c r="B4" s="84"/>
      <c r="C4" s="84"/>
      <c r="D4" s="84"/>
      <c r="E4" s="435" t="s">
        <v>237</v>
      </c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7"/>
      <c r="AC4" s="435" t="s">
        <v>239</v>
      </c>
      <c r="AD4" s="436"/>
      <c r="AE4" s="436"/>
      <c r="AF4" s="436"/>
      <c r="AG4" s="436"/>
      <c r="AH4" s="437"/>
      <c r="AI4" s="91"/>
      <c r="AJ4" s="84"/>
    </row>
    <row r="5" spans="1:37" s="10" customFormat="1" ht="22.5" customHeight="1">
      <c r="A5" s="401" t="s">
        <v>49</v>
      </c>
      <c r="B5" s="401"/>
      <c r="C5" s="401"/>
      <c r="D5" s="401"/>
      <c r="E5" s="412" t="s">
        <v>75</v>
      </c>
      <c r="F5" s="413"/>
      <c r="G5" s="413"/>
      <c r="H5" s="413"/>
      <c r="I5" s="413"/>
      <c r="J5" s="423"/>
      <c r="K5" s="412" t="s">
        <v>76</v>
      </c>
      <c r="L5" s="413"/>
      <c r="M5" s="413"/>
      <c r="N5" s="413"/>
      <c r="O5" s="413"/>
      <c r="P5" s="423"/>
      <c r="Q5" s="412" t="s">
        <v>77</v>
      </c>
      <c r="R5" s="413"/>
      <c r="S5" s="413"/>
      <c r="T5" s="413"/>
      <c r="U5" s="413"/>
      <c r="V5" s="423"/>
      <c r="W5" s="412" t="s">
        <v>74</v>
      </c>
      <c r="X5" s="413"/>
      <c r="Y5" s="413"/>
      <c r="Z5" s="413"/>
      <c r="AA5" s="413"/>
      <c r="AB5" s="423"/>
      <c r="AC5" s="375" t="s">
        <v>75</v>
      </c>
      <c r="AD5" s="388"/>
      <c r="AE5" s="388"/>
      <c r="AF5" s="388"/>
      <c r="AG5" s="388"/>
      <c r="AH5" s="376"/>
      <c r="AI5" s="440" t="s">
        <v>50</v>
      </c>
      <c r="AJ5" s="401"/>
      <c r="AK5" s="44"/>
    </row>
    <row r="6" spans="1:37" s="10" customFormat="1" ht="22.5" customHeight="1">
      <c r="A6" s="401"/>
      <c r="B6" s="401"/>
      <c r="C6" s="401"/>
      <c r="D6" s="401"/>
      <c r="E6" s="371" t="s">
        <v>70</v>
      </c>
      <c r="F6" s="405"/>
      <c r="G6" s="405"/>
      <c r="H6" s="405"/>
      <c r="I6" s="405"/>
      <c r="J6" s="372"/>
      <c r="K6" s="371" t="s">
        <v>71</v>
      </c>
      <c r="L6" s="405"/>
      <c r="M6" s="405"/>
      <c r="N6" s="405"/>
      <c r="O6" s="405"/>
      <c r="P6" s="372"/>
      <c r="Q6" s="371" t="s">
        <v>72</v>
      </c>
      <c r="R6" s="405"/>
      <c r="S6" s="405"/>
      <c r="T6" s="405"/>
      <c r="U6" s="405"/>
      <c r="V6" s="372"/>
      <c r="W6" s="371" t="s">
        <v>73</v>
      </c>
      <c r="X6" s="405"/>
      <c r="Y6" s="405"/>
      <c r="Z6" s="405"/>
      <c r="AA6" s="405"/>
      <c r="AB6" s="372"/>
      <c r="AC6" s="371" t="s">
        <v>70</v>
      </c>
      <c r="AD6" s="405"/>
      <c r="AE6" s="405"/>
      <c r="AF6" s="405"/>
      <c r="AG6" s="405"/>
      <c r="AH6" s="372"/>
      <c r="AI6" s="440"/>
      <c r="AJ6" s="401"/>
      <c r="AK6" s="44"/>
    </row>
    <row r="7" spans="1:37" s="10" customFormat="1" ht="22.5" customHeight="1">
      <c r="A7" s="401"/>
      <c r="B7" s="401"/>
      <c r="C7" s="401"/>
      <c r="D7" s="401"/>
      <c r="E7" s="373" t="s">
        <v>1</v>
      </c>
      <c r="F7" s="374"/>
      <c r="G7" s="373" t="s">
        <v>2</v>
      </c>
      <c r="H7" s="374"/>
      <c r="I7" s="373" t="s">
        <v>3</v>
      </c>
      <c r="J7" s="374"/>
      <c r="K7" s="373" t="s">
        <v>1</v>
      </c>
      <c r="L7" s="374"/>
      <c r="M7" s="373" t="s">
        <v>2</v>
      </c>
      <c r="N7" s="374"/>
      <c r="O7" s="373" t="s">
        <v>3</v>
      </c>
      <c r="P7" s="374"/>
      <c r="Q7" s="373" t="s">
        <v>1</v>
      </c>
      <c r="R7" s="374"/>
      <c r="S7" s="373" t="s">
        <v>2</v>
      </c>
      <c r="T7" s="374"/>
      <c r="U7" s="373" t="s">
        <v>3</v>
      </c>
      <c r="V7" s="374"/>
      <c r="W7" s="373" t="s">
        <v>1</v>
      </c>
      <c r="X7" s="374"/>
      <c r="Y7" s="373" t="s">
        <v>2</v>
      </c>
      <c r="Z7" s="374"/>
      <c r="AA7" s="373" t="s">
        <v>3</v>
      </c>
      <c r="AB7" s="374"/>
      <c r="AC7" s="380" t="s">
        <v>1</v>
      </c>
      <c r="AD7" s="382"/>
      <c r="AE7" s="380" t="s">
        <v>2</v>
      </c>
      <c r="AF7" s="382"/>
      <c r="AG7" s="380" t="s">
        <v>3</v>
      </c>
      <c r="AH7" s="382"/>
      <c r="AI7" s="440"/>
      <c r="AJ7" s="401"/>
      <c r="AK7" s="44"/>
    </row>
    <row r="8" spans="1:37" s="10" customFormat="1" ht="22.5" customHeight="1">
      <c r="A8" s="403"/>
      <c r="B8" s="403"/>
      <c r="C8" s="403"/>
      <c r="D8" s="403"/>
      <c r="E8" s="383" t="s">
        <v>4</v>
      </c>
      <c r="F8" s="384"/>
      <c r="G8" s="383" t="s">
        <v>5</v>
      </c>
      <c r="H8" s="384"/>
      <c r="I8" s="383" t="s">
        <v>6</v>
      </c>
      <c r="J8" s="384"/>
      <c r="K8" s="383" t="s">
        <v>4</v>
      </c>
      <c r="L8" s="384"/>
      <c r="M8" s="383" t="s">
        <v>5</v>
      </c>
      <c r="N8" s="384"/>
      <c r="O8" s="383" t="s">
        <v>6</v>
      </c>
      <c r="P8" s="384"/>
      <c r="Q8" s="383" t="s">
        <v>4</v>
      </c>
      <c r="R8" s="384"/>
      <c r="S8" s="383" t="s">
        <v>5</v>
      </c>
      <c r="T8" s="384"/>
      <c r="U8" s="383" t="s">
        <v>6</v>
      </c>
      <c r="V8" s="384"/>
      <c r="W8" s="383" t="s">
        <v>4</v>
      </c>
      <c r="X8" s="384"/>
      <c r="Y8" s="383" t="s">
        <v>5</v>
      </c>
      <c r="Z8" s="384"/>
      <c r="AA8" s="383" t="s">
        <v>6</v>
      </c>
      <c r="AB8" s="384"/>
      <c r="AC8" s="383" t="s">
        <v>4</v>
      </c>
      <c r="AD8" s="384"/>
      <c r="AE8" s="383" t="s">
        <v>5</v>
      </c>
      <c r="AF8" s="384"/>
      <c r="AG8" s="383" t="s">
        <v>6</v>
      </c>
      <c r="AH8" s="384"/>
      <c r="AI8" s="441"/>
      <c r="AJ8" s="403"/>
      <c r="AK8" s="44"/>
    </row>
    <row r="9" spans="1:37" s="186" customFormat="1" ht="42.75" customHeight="1">
      <c r="A9" s="438" t="s">
        <v>102</v>
      </c>
      <c r="B9" s="438"/>
      <c r="C9" s="438"/>
      <c r="D9" s="438"/>
      <c r="E9" s="226">
        <v>284684.05</v>
      </c>
      <c r="F9" s="228"/>
      <c r="G9" s="226">
        <v>155378.1</v>
      </c>
      <c r="H9" s="228"/>
      <c r="I9" s="226">
        <v>129305.95</v>
      </c>
      <c r="J9" s="228"/>
      <c r="K9" s="229">
        <v>290138.49</v>
      </c>
      <c r="L9" s="230"/>
      <c r="M9" s="229">
        <v>158081.01999999999</v>
      </c>
      <c r="N9" s="230"/>
      <c r="O9" s="231">
        <v>132057.47</v>
      </c>
      <c r="P9" s="230"/>
      <c r="Q9" s="232">
        <v>305490.55</v>
      </c>
      <c r="R9" s="232"/>
      <c r="S9" s="229">
        <v>163896.25</v>
      </c>
      <c r="T9" s="230"/>
      <c r="U9" s="229">
        <v>141594.29</v>
      </c>
      <c r="V9" s="230"/>
      <c r="W9" s="229">
        <v>293020.52</v>
      </c>
      <c r="X9" s="230"/>
      <c r="Y9" s="229">
        <v>156836.5</v>
      </c>
      <c r="Z9" s="230"/>
      <c r="AA9" s="229">
        <v>136184.01999999999</v>
      </c>
      <c r="AB9" s="230"/>
      <c r="AC9" s="231">
        <v>282757.52</v>
      </c>
      <c r="AD9" s="230"/>
      <c r="AE9" s="229">
        <v>150953.79</v>
      </c>
      <c r="AF9" s="230"/>
      <c r="AG9" s="229">
        <v>131803.73000000001</v>
      </c>
      <c r="AH9" s="230"/>
      <c r="AI9" s="439" t="s">
        <v>4</v>
      </c>
      <c r="AJ9" s="438"/>
      <c r="AK9" s="233"/>
    </row>
    <row r="10" spans="1:37" s="53" customFormat="1" ht="42" customHeight="1">
      <c r="A10" s="55" t="s">
        <v>26</v>
      </c>
      <c r="B10" s="55"/>
      <c r="C10" s="55"/>
      <c r="D10" s="55"/>
      <c r="E10" s="227">
        <v>3663.14</v>
      </c>
      <c r="F10" s="234"/>
      <c r="G10" s="227">
        <v>3619.43</v>
      </c>
      <c r="H10" s="234"/>
      <c r="I10" s="227">
        <v>43.71</v>
      </c>
      <c r="J10" s="234"/>
      <c r="K10" s="235">
        <v>2222.38</v>
      </c>
      <c r="L10" s="236"/>
      <c r="M10" s="235">
        <v>1968.94</v>
      </c>
      <c r="N10" s="236"/>
      <c r="O10" s="237">
        <v>253.44</v>
      </c>
      <c r="P10" s="236"/>
      <c r="Q10" s="232">
        <v>3796.96</v>
      </c>
      <c r="R10" s="232"/>
      <c r="S10" s="235">
        <v>2777.11</v>
      </c>
      <c r="T10" s="236"/>
      <c r="U10" s="235">
        <v>1019.85</v>
      </c>
      <c r="V10" s="236"/>
      <c r="W10" s="235">
        <v>4270.22</v>
      </c>
      <c r="X10" s="236"/>
      <c r="Y10" s="235">
        <v>3018.18</v>
      </c>
      <c r="Z10" s="236"/>
      <c r="AA10" s="235">
        <v>1252.04</v>
      </c>
      <c r="AB10" s="236"/>
      <c r="AC10" s="237">
        <v>3003.69</v>
      </c>
      <c r="AD10" s="236"/>
      <c r="AE10" s="235">
        <v>2338.16</v>
      </c>
      <c r="AF10" s="236"/>
      <c r="AG10" s="235">
        <v>665.53</v>
      </c>
      <c r="AH10" s="236"/>
      <c r="AI10" s="165" t="s">
        <v>51</v>
      </c>
      <c r="AJ10" s="55"/>
      <c r="AK10" s="54"/>
    </row>
    <row r="11" spans="1:37" s="53" customFormat="1" ht="42" customHeight="1">
      <c r="A11" s="55" t="s">
        <v>27</v>
      </c>
      <c r="B11" s="55"/>
      <c r="C11" s="55"/>
      <c r="D11" s="55"/>
      <c r="E11" s="227">
        <v>33800.550000000003</v>
      </c>
      <c r="F11" s="234"/>
      <c r="G11" s="227">
        <v>17728.02</v>
      </c>
      <c r="H11" s="234"/>
      <c r="I11" s="227">
        <v>16072.53</v>
      </c>
      <c r="J11" s="234"/>
      <c r="K11" s="235">
        <v>27486.82</v>
      </c>
      <c r="L11" s="236"/>
      <c r="M11" s="235">
        <v>11343.01</v>
      </c>
      <c r="N11" s="236"/>
      <c r="O11" s="237">
        <v>16143.81</v>
      </c>
      <c r="P11" s="236"/>
      <c r="Q11" s="232">
        <v>30763.42</v>
      </c>
      <c r="R11" s="232"/>
      <c r="S11" s="235">
        <v>14690.13</v>
      </c>
      <c r="T11" s="236"/>
      <c r="U11" s="235">
        <v>16073.3</v>
      </c>
      <c r="V11" s="236"/>
      <c r="W11" s="235">
        <v>30335.46</v>
      </c>
      <c r="X11" s="236"/>
      <c r="Y11" s="235">
        <v>15900.43</v>
      </c>
      <c r="Z11" s="236"/>
      <c r="AA11" s="235">
        <v>14435.03</v>
      </c>
      <c r="AB11" s="236"/>
      <c r="AC11" s="237">
        <v>29205.439999999999</v>
      </c>
      <c r="AD11" s="236"/>
      <c r="AE11" s="235">
        <v>18121.53</v>
      </c>
      <c r="AF11" s="236"/>
      <c r="AG11" s="235">
        <v>11083.9</v>
      </c>
      <c r="AH11" s="236"/>
      <c r="AI11" s="165" t="s">
        <v>52</v>
      </c>
      <c r="AJ11" s="55"/>
      <c r="AK11" s="54"/>
    </row>
    <row r="12" spans="1:37" s="53" customFormat="1" ht="42" customHeight="1">
      <c r="A12" s="55" t="s">
        <v>28</v>
      </c>
      <c r="B12" s="55"/>
      <c r="C12" s="55"/>
      <c r="D12" s="55"/>
      <c r="E12" s="227">
        <v>58061.03</v>
      </c>
      <c r="F12" s="234"/>
      <c r="G12" s="227">
        <v>36825.360000000001</v>
      </c>
      <c r="H12" s="234"/>
      <c r="I12" s="227">
        <v>21235.66</v>
      </c>
      <c r="J12" s="234"/>
      <c r="K12" s="235">
        <v>43487.02</v>
      </c>
      <c r="L12" s="236"/>
      <c r="M12" s="235">
        <v>29485.21</v>
      </c>
      <c r="N12" s="236"/>
      <c r="O12" s="237">
        <v>14001.81</v>
      </c>
      <c r="P12" s="236"/>
      <c r="Q12" s="232">
        <v>38733.24</v>
      </c>
      <c r="R12" s="232"/>
      <c r="S12" s="235">
        <v>26750.75</v>
      </c>
      <c r="T12" s="236"/>
      <c r="U12" s="235">
        <v>11982.48</v>
      </c>
      <c r="V12" s="236"/>
      <c r="W12" s="235">
        <v>33421.31</v>
      </c>
      <c r="X12" s="236"/>
      <c r="Y12" s="235">
        <v>18000.759999999998</v>
      </c>
      <c r="Z12" s="236"/>
      <c r="AA12" s="235">
        <v>15420.55</v>
      </c>
      <c r="AB12" s="236"/>
      <c r="AC12" s="237">
        <v>50515.91</v>
      </c>
      <c r="AD12" s="236"/>
      <c r="AE12" s="235">
        <v>31992</v>
      </c>
      <c r="AF12" s="236"/>
      <c r="AG12" s="235">
        <v>18523.900000000001</v>
      </c>
      <c r="AH12" s="236"/>
      <c r="AI12" s="165" t="s">
        <v>53</v>
      </c>
      <c r="AJ12" s="55"/>
      <c r="AK12" s="54"/>
    </row>
    <row r="13" spans="1:37" s="53" customFormat="1" ht="42" customHeight="1">
      <c r="A13" s="55" t="s">
        <v>29</v>
      </c>
      <c r="B13" s="55"/>
      <c r="C13" s="55"/>
      <c r="D13" s="55"/>
      <c r="E13" s="227">
        <v>125242.15</v>
      </c>
      <c r="F13" s="234"/>
      <c r="G13" s="227">
        <v>73893.31</v>
      </c>
      <c r="H13" s="234"/>
      <c r="I13" s="227">
        <v>51348.84</v>
      </c>
      <c r="J13" s="234"/>
      <c r="K13" s="235">
        <v>137274.54999999999</v>
      </c>
      <c r="L13" s="236"/>
      <c r="M13" s="235">
        <v>87646.8</v>
      </c>
      <c r="N13" s="236"/>
      <c r="O13" s="237">
        <v>49627.75</v>
      </c>
      <c r="P13" s="236"/>
      <c r="Q13" s="232">
        <v>146020.82999999999</v>
      </c>
      <c r="R13" s="232"/>
      <c r="S13" s="235">
        <v>90785.84</v>
      </c>
      <c r="T13" s="236"/>
      <c r="U13" s="235">
        <v>55234.99</v>
      </c>
      <c r="V13" s="236"/>
      <c r="W13" s="235">
        <v>134769.71</v>
      </c>
      <c r="X13" s="236"/>
      <c r="Y13" s="235">
        <v>86289.73</v>
      </c>
      <c r="Z13" s="236"/>
      <c r="AA13" s="235">
        <v>48479.98</v>
      </c>
      <c r="AB13" s="236"/>
      <c r="AC13" s="237">
        <v>132250.92000000001</v>
      </c>
      <c r="AD13" s="236"/>
      <c r="AE13" s="235">
        <v>70278.87</v>
      </c>
      <c r="AF13" s="236"/>
      <c r="AG13" s="235">
        <v>61972.05</v>
      </c>
      <c r="AH13" s="236"/>
      <c r="AI13" s="165" t="s">
        <v>54</v>
      </c>
      <c r="AJ13" s="55"/>
      <c r="AK13" s="54"/>
    </row>
    <row r="14" spans="1:37" s="53" customFormat="1" ht="42" customHeight="1">
      <c r="A14" s="55" t="s">
        <v>140</v>
      </c>
      <c r="B14" s="55"/>
      <c r="C14" s="55"/>
      <c r="D14" s="55"/>
      <c r="E14" s="227">
        <v>63114.52</v>
      </c>
      <c r="F14" s="234"/>
      <c r="G14" s="227">
        <v>23311.98</v>
      </c>
      <c r="H14" s="234"/>
      <c r="I14" s="227">
        <v>39802.54</v>
      </c>
      <c r="J14" s="234"/>
      <c r="K14" s="235">
        <v>78637.33</v>
      </c>
      <c r="L14" s="236"/>
      <c r="M14" s="235">
        <v>27033.89</v>
      </c>
      <c r="N14" s="236"/>
      <c r="O14" s="237">
        <v>51603.44</v>
      </c>
      <c r="P14" s="236"/>
      <c r="Q14" s="232">
        <v>86176.1</v>
      </c>
      <c r="R14" s="232"/>
      <c r="S14" s="235">
        <v>28892.42</v>
      </c>
      <c r="T14" s="236"/>
      <c r="U14" s="235">
        <v>57283.68</v>
      </c>
      <c r="V14" s="236"/>
      <c r="W14" s="235">
        <v>90223.82</v>
      </c>
      <c r="X14" s="236"/>
      <c r="Y14" s="235">
        <v>33627.4</v>
      </c>
      <c r="Z14" s="236"/>
      <c r="AA14" s="235">
        <v>56596.42</v>
      </c>
      <c r="AB14" s="236"/>
      <c r="AC14" s="237">
        <v>66960.5</v>
      </c>
      <c r="AD14" s="236"/>
      <c r="AE14" s="235">
        <v>27402.16</v>
      </c>
      <c r="AF14" s="236"/>
      <c r="AG14" s="235">
        <v>39558.339999999997</v>
      </c>
      <c r="AH14" s="236"/>
      <c r="AI14" s="165" t="s">
        <v>55</v>
      </c>
      <c r="AJ14" s="55"/>
      <c r="AK14" s="54"/>
    </row>
    <row r="15" spans="1:37" s="53" customFormat="1" ht="42" customHeight="1">
      <c r="A15" s="55" t="s">
        <v>30</v>
      </c>
      <c r="B15" s="55"/>
      <c r="C15" s="55"/>
      <c r="D15" s="55"/>
      <c r="E15" s="227">
        <v>802.68</v>
      </c>
      <c r="F15" s="234"/>
      <c r="G15" s="227" t="s">
        <v>297</v>
      </c>
      <c r="H15" s="234"/>
      <c r="I15" s="227">
        <v>802.68</v>
      </c>
      <c r="J15" s="234"/>
      <c r="K15" s="235">
        <v>1030.3900000000001</v>
      </c>
      <c r="L15" s="236"/>
      <c r="M15" s="235">
        <v>603.16999999999996</v>
      </c>
      <c r="N15" s="236"/>
      <c r="O15" s="237">
        <v>427.22</v>
      </c>
      <c r="P15" s="236"/>
      <c r="Q15" s="232" t="s">
        <v>297</v>
      </c>
      <c r="R15" s="232"/>
      <c r="S15" s="235" t="s">
        <v>297</v>
      </c>
      <c r="T15" s="236"/>
      <c r="U15" s="235" t="s">
        <v>297</v>
      </c>
      <c r="V15" s="236"/>
      <c r="W15" s="235" t="s">
        <v>297</v>
      </c>
      <c r="X15" s="236"/>
      <c r="Y15" s="235" t="s">
        <v>297</v>
      </c>
      <c r="Z15" s="236"/>
      <c r="AA15" s="235" t="s">
        <v>297</v>
      </c>
      <c r="AB15" s="236"/>
      <c r="AC15" s="237">
        <v>821.07</v>
      </c>
      <c r="AD15" s="236"/>
      <c r="AE15" s="235">
        <v>821.07</v>
      </c>
      <c r="AF15" s="236"/>
      <c r="AG15" s="235" t="s">
        <v>297</v>
      </c>
      <c r="AH15" s="236"/>
      <c r="AI15" s="165" t="s">
        <v>203</v>
      </c>
      <c r="AJ15" s="55"/>
      <c r="AK15" s="54"/>
    </row>
    <row r="16" spans="1:37" s="43" customFormat="1" ht="12" customHeight="1">
      <c r="A16" s="68"/>
      <c r="B16" s="68"/>
      <c r="C16" s="68"/>
      <c r="D16" s="68"/>
      <c r="E16" s="51"/>
      <c r="F16" s="68"/>
      <c r="G16" s="51"/>
      <c r="H16" s="69"/>
      <c r="I16" s="51"/>
      <c r="J16" s="69"/>
      <c r="K16" s="68"/>
      <c r="L16" s="68"/>
      <c r="M16" s="51"/>
      <c r="N16" s="69"/>
      <c r="O16" s="68"/>
      <c r="P16" s="69"/>
      <c r="Q16" s="68"/>
      <c r="R16" s="69"/>
      <c r="S16" s="68"/>
      <c r="T16" s="68"/>
      <c r="U16" s="51"/>
      <c r="V16" s="69"/>
      <c r="W16" s="51"/>
      <c r="X16" s="69"/>
      <c r="Y16" s="51"/>
      <c r="Z16" s="69"/>
      <c r="AA16" s="51"/>
      <c r="AB16" s="69"/>
      <c r="AC16" s="68"/>
      <c r="AD16" s="69"/>
      <c r="AE16" s="51"/>
      <c r="AF16" s="69"/>
      <c r="AG16" s="68"/>
      <c r="AH16" s="69"/>
      <c r="AI16" s="51"/>
      <c r="AJ16" s="68"/>
      <c r="AK16" s="42"/>
    </row>
    <row r="17" spans="2:37" s="43" customFormat="1" ht="2.4500000000000002" customHeight="1">
      <c r="AG17" s="42"/>
      <c r="AH17" s="42"/>
      <c r="AI17" s="42"/>
      <c r="AK17" s="42"/>
    </row>
    <row r="18" spans="2:37" s="10" customFormat="1" ht="15.75">
      <c r="B18" s="11" t="s">
        <v>62</v>
      </c>
      <c r="C18" s="62" t="s">
        <v>252</v>
      </c>
    </row>
    <row r="19" spans="2:37" s="10" customFormat="1" ht="15.75">
      <c r="B19" s="11" t="s">
        <v>63</v>
      </c>
      <c r="C19" s="62" t="s">
        <v>260</v>
      </c>
    </row>
    <row r="20" spans="2:37" s="43" customFormat="1" ht="17.25">
      <c r="AK20" s="42"/>
    </row>
    <row r="21" spans="2:37" s="10" customFormat="1" ht="15.75">
      <c r="AK21" s="44"/>
    </row>
    <row r="22" spans="2:37" s="10" customFormat="1" ht="15.75">
      <c r="AK22" s="44"/>
    </row>
  </sheetData>
  <mergeCells count="46">
    <mergeCell ref="AI9:AJ9"/>
    <mergeCell ref="AI5:AJ8"/>
    <mergeCell ref="M7:N7"/>
    <mergeCell ref="M8:N8"/>
    <mergeCell ref="K5:P5"/>
    <mergeCell ref="K6:P6"/>
    <mergeCell ref="O7:P7"/>
    <mergeCell ref="O8:P8"/>
    <mergeCell ref="U8:V8"/>
    <mergeCell ref="K7:L7"/>
    <mergeCell ref="K8:L8"/>
    <mergeCell ref="W7:X7"/>
    <mergeCell ref="W8:X8"/>
    <mergeCell ref="Y7:Z7"/>
    <mergeCell ref="Y8:Z8"/>
    <mergeCell ref="AC7:AD7"/>
    <mergeCell ref="A9:D9"/>
    <mergeCell ref="A5:D8"/>
    <mergeCell ref="E7:F7"/>
    <mergeCell ref="E8:F8"/>
    <mergeCell ref="G7:H7"/>
    <mergeCell ref="G8:H8"/>
    <mergeCell ref="E5:J5"/>
    <mergeCell ref="E6:J6"/>
    <mergeCell ref="I7:J7"/>
    <mergeCell ref="I8:J8"/>
    <mergeCell ref="E4:AB4"/>
    <mergeCell ref="W5:AB5"/>
    <mergeCell ref="W6:AB6"/>
    <mergeCell ref="AA7:AB7"/>
    <mergeCell ref="AA8:AB8"/>
    <mergeCell ref="Q7:R7"/>
    <mergeCell ref="Q8:R8"/>
    <mergeCell ref="S7:T7"/>
    <mergeCell ref="S8:T8"/>
    <mergeCell ref="Q5:V5"/>
    <mergeCell ref="Q6:V6"/>
    <mergeCell ref="U7:V7"/>
    <mergeCell ref="AC8:AD8"/>
    <mergeCell ref="AE7:AF7"/>
    <mergeCell ref="AE8:AF8"/>
    <mergeCell ref="AC4:AH4"/>
    <mergeCell ref="AC5:AH5"/>
    <mergeCell ref="AC6:AH6"/>
    <mergeCell ref="AG7:AH7"/>
    <mergeCell ref="AG8:AH8"/>
  </mergeCells>
  <phoneticPr fontId="3" type="noConversion"/>
  <pageMargins left="0.39370078740157483" right="0.19685039370078741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tabColor rgb="FFFFFF00"/>
  </sheetPr>
  <dimension ref="A1:AN33"/>
  <sheetViews>
    <sheetView showGridLines="0" topLeftCell="A4" workbookViewId="0">
      <selection activeCell="AQ23" sqref="AP23:AQ23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5703125" style="6" customWidth="1"/>
    <col min="4" max="4" width="4.140625" style="6" customWidth="1"/>
    <col min="5" max="5" width="7" style="6" bestFit="1" customWidth="1"/>
    <col min="6" max="6" width="0.7109375" style="6" customWidth="1"/>
    <col min="7" max="7" width="6.85546875" style="6" bestFit="1" customWidth="1"/>
    <col min="8" max="8" width="0.7109375" style="6" customWidth="1"/>
    <col min="9" max="9" width="6.7109375" style="6" bestFit="1" customWidth="1"/>
    <col min="10" max="10" width="0.7109375" style="6" customWidth="1"/>
    <col min="11" max="11" width="5.85546875" style="6" bestFit="1" customWidth="1"/>
    <col min="12" max="12" width="0.7109375" style="6" customWidth="1"/>
    <col min="13" max="13" width="6" style="6" bestFit="1" customWidth="1"/>
    <col min="14" max="14" width="0.7109375" style="6" customWidth="1"/>
    <col min="15" max="15" width="5.7109375" style="6" customWidth="1"/>
    <col min="16" max="16" width="0.7109375" style="6" customWidth="1"/>
    <col min="17" max="17" width="6.7109375" style="6" bestFit="1" customWidth="1"/>
    <col min="18" max="18" width="0.7109375" style="6" customWidth="1"/>
    <col min="19" max="19" width="6.85546875" style="6" bestFit="1" customWidth="1"/>
    <col min="20" max="20" width="0.7109375" style="6" customWidth="1"/>
    <col min="21" max="21" width="6.7109375" style="6" bestFit="1" customWidth="1"/>
    <col min="22" max="22" width="0.7109375" style="6" customWidth="1"/>
    <col min="23" max="23" width="6.7109375" style="6" bestFit="1" customWidth="1"/>
    <col min="24" max="24" width="0.7109375" style="6" customWidth="1"/>
    <col min="25" max="25" width="6.85546875" style="6" bestFit="1" customWidth="1"/>
    <col min="26" max="26" width="0.7109375" style="6" customWidth="1"/>
    <col min="27" max="27" width="6.85546875" style="6" bestFit="1" customWidth="1"/>
    <col min="28" max="28" width="0.7109375" style="6" customWidth="1"/>
    <col min="29" max="29" width="7" style="6" bestFit="1" customWidth="1"/>
    <col min="30" max="30" width="0.7109375" style="6" customWidth="1"/>
    <col min="31" max="31" width="6.7109375" style="6" bestFit="1" customWidth="1"/>
    <col min="32" max="32" width="0.7109375" style="6" customWidth="1"/>
    <col min="33" max="33" width="6.85546875" style="6" bestFit="1" customWidth="1"/>
    <col min="34" max="34" width="0.7109375" style="6" customWidth="1"/>
    <col min="35" max="35" width="1.85546875" style="6" customWidth="1"/>
    <col min="36" max="36" width="20.5703125" style="6" customWidth="1"/>
    <col min="37" max="37" width="1.5703125" style="5" customWidth="1"/>
    <col min="38" max="38" width="4.140625" style="6" customWidth="1"/>
    <col min="39" max="16384" width="9.140625" style="6"/>
  </cols>
  <sheetData>
    <row r="1" spans="1:40" s="1" customFormat="1">
      <c r="B1" s="1" t="s">
        <v>0</v>
      </c>
      <c r="C1" s="2">
        <v>2.6</v>
      </c>
      <c r="D1" s="1" t="s">
        <v>261</v>
      </c>
      <c r="AK1" s="40"/>
      <c r="AL1" s="40"/>
      <c r="AM1" s="40"/>
      <c r="AN1" s="40"/>
    </row>
    <row r="2" spans="1:40" s="3" customFormat="1">
      <c r="B2" s="1" t="s">
        <v>186</v>
      </c>
      <c r="C2" s="2">
        <v>2.6</v>
      </c>
      <c r="D2" s="1" t="s">
        <v>262</v>
      </c>
      <c r="AK2" s="41"/>
      <c r="AL2" s="41"/>
      <c r="AM2" s="41"/>
    </row>
    <row r="3" spans="1:40" s="3" customFormat="1">
      <c r="C3" s="2"/>
      <c r="AJ3" s="32" t="s">
        <v>142</v>
      </c>
      <c r="AK3" s="41"/>
      <c r="AL3" s="41"/>
      <c r="AM3" s="41"/>
      <c r="AN3" s="41"/>
    </row>
    <row r="4" spans="1:40" s="43" customFormat="1" ht="21" customHeight="1">
      <c r="A4" s="413" t="s">
        <v>56</v>
      </c>
      <c r="B4" s="413"/>
      <c r="C4" s="413"/>
      <c r="D4" s="423"/>
      <c r="E4" s="373" t="s">
        <v>237</v>
      </c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374"/>
      <c r="AC4" s="373" t="s">
        <v>239</v>
      </c>
      <c r="AD4" s="442"/>
      <c r="AE4" s="442"/>
      <c r="AF4" s="442"/>
      <c r="AG4" s="442"/>
      <c r="AH4" s="374"/>
      <c r="AI4" s="92"/>
      <c r="AJ4" s="84"/>
      <c r="AK4" s="42"/>
      <c r="AL4" s="42"/>
      <c r="AM4" s="42"/>
      <c r="AN4" s="42"/>
    </row>
    <row r="5" spans="1:40" ht="3" customHeight="1">
      <c r="A5" s="414"/>
      <c r="B5" s="414"/>
      <c r="C5" s="414"/>
      <c r="D5" s="376"/>
      <c r="E5" s="38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384"/>
      <c r="AC5" s="383"/>
      <c r="AD5" s="443"/>
      <c r="AE5" s="443"/>
      <c r="AF5" s="443"/>
      <c r="AG5" s="443"/>
      <c r="AH5" s="384"/>
      <c r="AI5" s="61"/>
      <c r="AJ5" s="44"/>
      <c r="AL5" s="5"/>
      <c r="AM5" s="5"/>
      <c r="AN5" s="5"/>
    </row>
    <row r="6" spans="1:40" s="10" customFormat="1" ht="20.25" customHeight="1">
      <c r="A6" s="414"/>
      <c r="B6" s="414"/>
      <c r="C6" s="414"/>
      <c r="D6" s="376"/>
      <c r="E6" s="412" t="s">
        <v>75</v>
      </c>
      <c r="F6" s="413"/>
      <c r="G6" s="413"/>
      <c r="H6" s="413"/>
      <c r="I6" s="413"/>
      <c r="J6" s="423"/>
      <c r="K6" s="412" t="s">
        <v>76</v>
      </c>
      <c r="L6" s="413"/>
      <c r="M6" s="413"/>
      <c r="N6" s="413"/>
      <c r="O6" s="413"/>
      <c r="P6" s="423"/>
      <c r="Q6" s="412" t="s">
        <v>77</v>
      </c>
      <c r="R6" s="413"/>
      <c r="S6" s="413"/>
      <c r="T6" s="413"/>
      <c r="U6" s="413"/>
      <c r="V6" s="423"/>
      <c r="W6" s="412" t="s">
        <v>74</v>
      </c>
      <c r="X6" s="413"/>
      <c r="Y6" s="413"/>
      <c r="Z6" s="413"/>
      <c r="AA6" s="413"/>
      <c r="AB6" s="423"/>
      <c r="AC6" s="412" t="s">
        <v>75</v>
      </c>
      <c r="AD6" s="413"/>
      <c r="AE6" s="413"/>
      <c r="AF6" s="413"/>
      <c r="AG6" s="413"/>
      <c r="AH6" s="423"/>
      <c r="AI6" s="61"/>
      <c r="AJ6" s="44"/>
      <c r="AK6" s="44"/>
      <c r="AL6" s="44"/>
      <c r="AM6" s="44"/>
      <c r="AN6" s="44"/>
    </row>
    <row r="7" spans="1:40" s="10" customFormat="1" ht="16.5" customHeight="1">
      <c r="A7" s="414"/>
      <c r="B7" s="414"/>
      <c r="C7" s="414"/>
      <c r="D7" s="376"/>
      <c r="E7" s="371" t="s">
        <v>70</v>
      </c>
      <c r="F7" s="405"/>
      <c r="G7" s="405"/>
      <c r="H7" s="405"/>
      <c r="I7" s="405"/>
      <c r="J7" s="372"/>
      <c r="K7" s="371" t="s">
        <v>71</v>
      </c>
      <c r="L7" s="405"/>
      <c r="M7" s="405"/>
      <c r="N7" s="405"/>
      <c r="O7" s="405"/>
      <c r="P7" s="372"/>
      <c r="Q7" s="371" t="s">
        <v>72</v>
      </c>
      <c r="R7" s="405"/>
      <c r="S7" s="405"/>
      <c r="T7" s="405"/>
      <c r="U7" s="405"/>
      <c r="V7" s="372"/>
      <c r="W7" s="371" t="s">
        <v>73</v>
      </c>
      <c r="X7" s="405"/>
      <c r="Y7" s="405"/>
      <c r="Z7" s="405"/>
      <c r="AA7" s="405"/>
      <c r="AB7" s="372"/>
      <c r="AC7" s="375" t="s">
        <v>70</v>
      </c>
      <c r="AD7" s="388"/>
      <c r="AE7" s="388"/>
      <c r="AF7" s="388"/>
      <c r="AG7" s="388"/>
      <c r="AH7" s="376"/>
      <c r="AI7" s="380" t="s">
        <v>31</v>
      </c>
      <c r="AJ7" s="381"/>
      <c r="AK7" s="44"/>
    </row>
    <row r="8" spans="1:40" s="10" customFormat="1" ht="18" customHeight="1">
      <c r="A8" s="414"/>
      <c r="B8" s="414"/>
      <c r="C8" s="414"/>
      <c r="D8" s="376"/>
      <c r="E8" s="373" t="s">
        <v>1</v>
      </c>
      <c r="F8" s="374"/>
      <c r="G8" s="373" t="s">
        <v>2</v>
      </c>
      <c r="H8" s="374"/>
      <c r="I8" s="373" t="s">
        <v>3</v>
      </c>
      <c r="J8" s="374"/>
      <c r="K8" s="373" t="s">
        <v>1</v>
      </c>
      <c r="L8" s="374"/>
      <c r="M8" s="373" t="s">
        <v>2</v>
      </c>
      <c r="N8" s="374"/>
      <c r="O8" s="373" t="s">
        <v>3</v>
      </c>
      <c r="P8" s="374"/>
      <c r="Q8" s="373" t="s">
        <v>1</v>
      </c>
      <c r="R8" s="374"/>
      <c r="S8" s="373" t="s">
        <v>2</v>
      </c>
      <c r="T8" s="374"/>
      <c r="U8" s="373" t="s">
        <v>3</v>
      </c>
      <c r="V8" s="374"/>
      <c r="W8" s="373" t="s">
        <v>1</v>
      </c>
      <c r="X8" s="374"/>
      <c r="Y8" s="373" t="s">
        <v>2</v>
      </c>
      <c r="Z8" s="374"/>
      <c r="AA8" s="373" t="s">
        <v>3</v>
      </c>
      <c r="AB8" s="374"/>
      <c r="AC8" s="373" t="s">
        <v>1</v>
      </c>
      <c r="AD8" s="374"/>
      <c r="AE8" s="373" t="s">
        <v>2</v>
      </c>
      <c r="AF8" s="374"/>
      <c r="AG8" s="373" t="s">
        <v>3</v>
      </c>
      <c r="AH8" s="374"/>
      <c r="AI8" s="380" t="s">
        <v>32</v>
      </c>
      <c r="AJ8" s="381"/>
      <c r="AK8" s="44"/>
    </row>
    <row r="9" spans="1:40" s="10" customFormat="1" ht="16.5" customHeight="1">
      <c r="A9" s="405"/>
      <c r="B9" s="405"/>
      <c r="C9" s="405"/>
      <c r="D9" s="372"/>
      <c r="E9" s="383" t="s">
        <v>4</v>
      </c>
      <c r="F9" s="384"/>
      <c r="G9" s="383" t="s">
        <v>5</v>
      </c>
      <c r="H9" s="384"/>
      <c r="I9" s="383" t="s">
        <v>6</v>
      </c>
      <c r="J9" s="384"/>
      <c r="K9" s="383" t="s">
        <v>4</v>
      </c>
      <c r="L9" s="384"/>
      <c r="M9" s="383" t="s">
        <v>5</v>
      </c>
      <c r="N9" s="384"/>
      <c r="O9" s="383" t="s">
        <v>6</v>
      </c>
      <c r="P9" s="384"/>
      <c r="Q9" s="383" t="s">
        <v>4</v>
      </c>
      <c r="R9" s="384"/>
      <c r="S9" s="383" t="s">
        <v>5</v>
      </c>
      <c r="T9" s="384"/>
      <c r="U9" s="383" t="s">
        <v>6</v>
      </c>
      <c r="V9" s="384"/>
      <c r="W9" s="383" t="s">
        <v>4</v>
      </c>
      <c r="X9" s="384"/>
      <c r="Y9" s="383" t="s">
        <v>5</v>
      </c>
      <c r="Z9" s="384"/>
      <c r="AA9" s="383" t="s">
        <v>6</v>
      </c>
      <c r="AB9" s="384"/>
      <c r="AC9" s="383" t="s">
        <v>4</v>
      </c>
      <c r="AD9" s="384"/>
      <c r="AE9" s="383" t="s">
        <v>5</v>
      </c>
      <c r="AF9" s="384"/>
      <c r="AG9" s="383" t="s">
        <v>6</v>
      </c>
      <c r="AH9" s="384"/>
      <c r="AI9" s="63"/>
      <c r="AJ9" s="52"/>
      <c r="AK9" s="44"/>
      <c r="AL9" s="44"/>
      <c r="AM9" s="44"/>
    </row>
    <row r="10" spans="1:40" s="60" customFormat="1" ht="21.75" customHeight="1">
      <c r="A10" s="438" t="s">
        <v>102</v>
      </c>
      <c r="B10" s="438"/>
      <c r="C10" s="438"/>
      <c r="D10" s="444"/>
      <c r="E10" s="226">
        <v>284684.05</v>
      </c>
      <c r="F10" s="242"/>
      <c r="G10" s="226">
        <v>155378.1</v>
      </c>
      <c r="H10" s="244"/>
      <c r="I10" s="226">
        <v>129305.95</v>
      </c>
      <c r="J10" s="228"/>
      <c r="K10" s="229">
        <v>290138.49</v>
      </c>
      <c r="L10" s="230"/>
      <c r="M10" s="229">
        <v>158081.01999999999</v>
      </c>
      <c r="N10" s="230"/>
      <c r="O10" s="229">
        <v>132057.47</v>
      </c>
      <c r="P10" s="230"/>
      <c r="Q10" s="226">
        <v>305490.55</v>
      </c>
      <c r="R10" s="228"/>
      <c r="S10" s="226">
        <v>163896.25</v>
      </c>
      <c r="T10" s="228"/>
      <c r="U10" s="226">
        <v>141594.29</v>
      </c>
      <c r="V10" s="244"/>
      <c r="W10" s="226">
        <v>293020.52</v>
      </c>
      <c r="X10" s="228"/>
      <c r="Y10" s="226">
        <v>156836.5</v>
      </c>
      <c r="Z10" s="228"/>
      <c r="AA10" s="226">
        <v>136184.01999999999</v>
      </c>
      <c r="AB10" s="228"/>
      <c r="AC10" s="226">
        <v>282757.52</v>
      </c>
      <c r="AD10" s="228"/>
      <c r="AE10" s="226">
        <v>150953.79</v>
      </c>
      <c r="AF10" s="228"/>
      <c r="AG10" s="226">
        <v>131803.73000000001</v>
      </c>
      <c r="AH10" s="228"/>
      <c r="AI10" s="439" t="s">
        <v>4</v>
      </c>
      <c r="AJ10" s="438"/>
      <c r="AK10" s="49"/>
    </row>
    <row r="11" spans="1:40" s="10" customFormat="1" ht="22.5" customHeight="1">
      <c r="A11" s="55" t="s">
        <v>33</v>
      </c>
      <c r="B11" s="55"/>
      <c r="C11" s="55"/>
      <c r="D11" s="55"/>
      <c r="E11" s="227">
        <v>2564.75</v>
      </c>
      <c r="F11" s="243"/>
      <c r="G11" s="227">
        <v>1559.95</v>
      </c>
      <c r="H11" s="243"/>
      <c r="I11" s="227">
        <v>1004.8</v>
      </c>
      <c r="J11" s="234"/>
      <c r="K11" s="235">
        <v>2809.93</v>
      </c>
      <c r="L11" s="236"/>
      <c r="M11" s="235">
        <v>742.7</v>
      </c>
      <c r="N11" s="236"/>
      <c r="O11" s="235">
        <v>2067.23</v>
      </c>
      <c r="P11" s="236"/>
      <c r="Q11" s="227">
        <v>2996.42</v>
      </c>
      <c r="R11" s="234"/>
      <c r="S11" s="227">
        <v>1218.51</v>
      </c>
      <c r="T11" s="234"/>
      <c r="U11" s="227">
        <v>1777.91</v>
      </c>
      <c r="V11" s="243"/>
      <c r="W11" s="227">
        <v>1597.47</v>
      </c>
      <c r="X11" s="234"/>
      <c r="Y11" s="227">
        <v>953.21</v>
      </c>
      <c r="Z11" s="234"/>
      <c r="AA11" s="227">
        <v>644.26</v>
      </c>
      <c r="AB11" s="234"/>
      <c r="AC11" s="227">
        <v>2617.5500000000002</v>
      </c>
      <c r="AD11" s="234"/>
      <c r="AE11" s="227">
        <v>328.24</v>
      </c>
      <c r="AF11" s="234"/>
      <c r="AG11" s="227">
        <v>2289.31</v>
      </c>
      <c r="AH11" s="234"/>
      <c r="AI11" s="165" t="s">
        <v>137</v>
      </c>
      <c r="AJ11" s="55"/>
      <c r="AK11" s="44"/>
    </row>
    <row r="12" spans="1:40" s="10" customFormat="1" ht="22.5" customHeight="1">
      <c r="A12" s="55" t="s">
        <v>34</v>
      </c>
      <c r="B12" s="55"/>
      <c r="C12" s="55"/>
      <c r="D12" s="55"/>
      <c r="E12" s="227">
        <v>79149.899999999994</v>
      </c>
      <c r="F12" s="243"/>
      <c r="G12" s="227">
        <v>40852.949999999997</v>
      </c>
      <c r="H12" s="243"/>
      <c r="I12" s="227">
        <v>38296.949999999997</v>
      </c>
      <c r="J12" s="234"/>
      <c r="K12" s="235">
        <v>79295.520000000004</v>
      </c>
      <c r="L12" s="236"/>
      <c r="M12" s="235">
        <v>42217.68</v>
      </c>
      <c r="N12" s="236"/>
      <c r="O12" s="235">
        <v>37077.839999999997</v>
      </c>
      <c r="P12" s="236"/>
      <c r="Q12" s="227">
        <v>76879.75</v>
      </c>
      <c r="R12" s="234"/>
      <c r="S12" s="227">
        <v>40866.5</v>
      </c>
      <c r="T12" s="234"/>
      <c r="U12" s="227">
        <v>36013.25</v>
      </c>
      <c r="V12" s="243"/>
      <c r="W12" s="227">
        <v>67586.19</v>
      </c>
      <c r="X12" s="234"/>
      <c r="Y12" s="227">
        <v>34870.61</v>
      </c>
      <c r="Z12" s="234"/>
      <c r="AA12" s="227">
        <v>32715.57</v>
      </c>
      <c r="AB12" s="234"/>
      <c r="AC12" s="227">
        <v>69637.56</v>
      </c>
      <c r="AD12" s="234"/>
      <c r="AE12" s="227">
        <v>33047.49</v>
      </c>
      <c r="AF12" s="234"/>
      <c r="AG12" s="227">
        <v>36590.07</v>
      </c>
      <c r="AH12" s="234"/>
      <c r="AI12" s="165" t="s">
        <v>229</v>
      </c>
      <c r="AJ12" s="55"/>
      <c r="AK12" s="44"/>
    </row>
    <row r="13" spans="1:40" s="10" customFormat="1" ht="22.5" customHeight="1">
      <c r="A13" s="55" t="s">
        <v>35</v>
      </c>
      <c r="B13" s="55"/>
      <c r="C13" s="55"/>
      <c r="D13" s="55"/>
      <c r="E13" s="227">
        <v>97679.52</v>
      </c>
      <c r="F13" s="243"/>
      <c r="G13" s="227">
        <v>54915.5</v>
      </c>
      <c r="H13" s="243"/>
      <c r="I13" s="227">
        <v>42764.03</v>
      </c>
      <c r="J13" s="234"/>
      <c r="K13" s="235">
        <v>95217.31</v>
      </c>
      <c r="L13" s="236"/>
      <c r="M13" s="235">
        <v>56394.3</v>
      </c>
      <c r="N13" s="236"/>
      <c r="O13" s="235">
        <v>38823.01</v>
      </c>
      <c r="P13" s="236"/>
      <c r="Q13" s="227">
        <v>98560.35</v>
      </c>
      <c r="R13" s="234"/>
      <c r="S13" s="227">
        <v>56044.65</v>
      </c>
      <c r="T13" s="234"/>
      <c r="U13" s="227">
        <v>42515.7</v>
      </c>
      <c r="V13" s="243"/>
      <c r="W13" s="227">
        <v>93773.23</v>
      </c>
      <c r="X13" s="234"/>
      <c r="Y13" s="227">
        <v>50498.33</v>
      </c>
      <c r="Z13" s="234"/>
      <c r="AA13" s="227">
        <v>43274.9</v>
      </c>
      <c r="AB13" s="234"/>
      <c r="AC13" s="227">
        <v>91711.18</v>
      </c>
      <c r="AD13" s="234"/>
      <c r="AE13" s="227">
        <v>49764.23</v>
      </c>
      <c r="AF13" s="234"/>
      <c r="AG13" s="227">
        <v>41946.95</v>
      </c>
      <c r="AH13" s="234"/>
      <c r="AI13" s="165" t="s">
        <v>43</v>
      </c>
      <c r="AJ13" s="55"/>
      <c r="AK13" s="44"/>
    </row>
    <row r="14" spans="1:40" s="10" customFormat="1" ht="22.5" customHeight="1">
      <c r="A14" s="55" t="s">
        <v>36</v>
      </c>
      <c r="B14" s="55"/>
      <c r="C14" s="55"/>
      <c r="D14" s="55"/>
      <c r="E14" s="227">
        <v>40092.51</v>
      </c>
      <c r="F14" s="243"/>
      <c r="G14" s="227">
        <v>24677.41</v>
      </c>
      <c r="H14" s="243"/>
      <c r="I14" s="227">
        <v>15415.1</v>
      </c>
      <c r="J14" s="234"/>
      <c r="K14" s="235">
        <v>43822.79</v>
      </c>
      <c r="L14" s="236"/>
      <c r="M14" s="235">
        <v>25484.61</v>
      </c>
      <c r="N14" s="236"/>
      <c r="O14" s="235">
        <v>18338.18</v>
      </c>
      <c r="P14" s="236"/>
      <c r="Q14" s="227">
        <v>46644.19</v>
      </c>
      <c r="R14" s="234"/>
      <c r="S14" s="227">
        <v>25089.75</v>
      </c>
      <c r="T14" s="234"/>
      <c r="U14" s="227">
        <v>21554.45</v>
      </c>
      <c r="V14" s="243"/>
      <c r="W14" s="227">
        <v>53451.55</v>
      </c>
      <c r="X14" s="234"/>
      <c r="Y14" s="227">
        <v>30867.27</v>
      </c>
      <c r="Z14" s="234"/>
      <c r="AA14" s="227">
        <v>22584.27</v>
      </c>
      <c r="AB14" s="234"/>
      <c r="AC14" s="227">
        <v>44732.89</v>
      </c>
      <c r="AD14" s="234"/>
      <c r="AE14" s="227">
        <v>24110.59</v>
      </c>
      <c r="AF14" s="234"/>
      <c r="AG14" s="227">
        <v>20622.3</v>
      </c>
      <c r="AH14" s="234"/>
      <c r="AI14" s="165" t="s">
        <v>230</v>
      </c>
      <c r="AJ14" s="55"/>
      <c r="AK14" s="44"/>
    </row>
    <row r="15" spans="1:40" s="10" customFormat="1" ht="22.5" customHeight="1">
      <c r="A15" s="241" t="s">
        <v>57</v>
      </c>
      <c r="B15" s="55"/>
      <c r="C15" s="55"/>
      <c r="D15" s="55"/>
      <c r="E15" s="238">
        <v>32936.660000000003</v>
      </c>
      <c r="F15" s="242"/>
      <c r="G15" s="238">
        <f>SUM(G16:G18)</f>
        <v>20877.740000000002</v>
      </c>
      <c r="H15" s="242"/>
      <c r="I15" s="238">
        <f>SUM(I16:I18)</f>
        <v>12058.93</v>
      </c>
      <c r="J15" s="245"/>
      <c r="K15" s="248">
        <f>SUM(K16:K18)</f>
        <v>34268.380000000005</v>
      </c>
      <c r="L15" s="246"/>
      <c r="M15" s="248">
        <f t="shared" ref="M15:O15" si="0">SUM(M16:M18)</f>
        <v>21063.24</v>
      </c>
      <c r="N15" s="246"/>
      <c r="O15" s="248">
        <f t="shared" si="0"/>
        <v>13205.140000000001</v>
      </c>
      <c r="P15" s="246"/>
      <c r="Q15" s="248">
        <f t="shared" ref="Q15" si="1">SUM(Q16:Q18)</f>
        <v>44473.079999999994</v>
      </c>
      <c r="R15" s="246"/>
      <c r="S15" s="248">
        <f t="shared" ref="S15" si="2">SUM(S16:S18)</f>
        <v>25988.66</v>
      </c>
      <c r="T15" s="246"/>
      <c r="U15" s="248">
        <f t="shared" ref="U15" si="3">SUM(U16:U18)</f>
        <v>18484.420000000002</v>
      </c>
      <c r="V15" s="250"/>
      <c r="W15" s="248">
        <f t="shared" ref="W15" si="4">SUM(W16:W18)</f>
        <v>43924.520000000004</v>
      </c>
      <c r="X15" s="246"/>
      <c r="Y15" s="248">
        <f t="shared" ref="Y15" si="5">SUM(Y16:Y18)</f>
        <v>25538.92</v>
      </c>
      <c r="Z15" s="246"/>
      <c r="AA15" s="248">
        <f t="shared" ref="AA15" si="6">SUM(AA16:AA18)</f>
        <v>18385.61</v>
      </c>
      <c r="AB15" s="246"/>
      <c r="AC15" s="248">
        <f t="shared" ref="AC15" si="7">SUM(AC16:AC18)</f>
        <v>37351.08</v>
      </c>
      <c r="AD15" s="246"/>
      <c r="AE15" s="248">
        <f t="shared" ref="AE15" si="8">SUM(AE16:AE18)</f>
        <v>22756.160000000003</v>
      </c>
      <c r="AF15" s="246"/>
      <c r="AG15" s="248">
        <f t="shared" ref="AG15" si="9">SUM(AG16:AG18)</f>
        <v>14594.91</v>
      </c>
      <c r="AH15" s="246"/>
      <c r="AI15" s="164" t="s">
        <v>231</v>
      </c>
      <c r="AJ15" s="55"/>
      <c r="AK15" s="44"/>
    </row>
    <row r="16" spans="1:40" s="10" customFormat="1" ht="21" customHeight="1">
      <c r="A16" s="55"/>
      <c r="B16" s="55" t="s">
        <v>37</v>
      </c>
      <c r="C16" s="55"/>
      <c r="D16" s="55"/>
      <c r="E16" s="227">
        <v>28333.61</v>
      </c>
      <c r="F16" s="243"/>
      <c r="G16" s="227">
        <v>17427.560000000001</v>
      </c>
      <c r="H16" s="243"/>
      <c r="I16" s="227">
        <v>10906.06</v>
      </c>
      <c r="J16" s="234"/>
      <c r="K16" s="235">
        <v>31245.31</v>
      </c>
      <c r="L16" s="236"/>
      <c r="M16" s="235">
        <v>19140.7</v>
      </c>
      <c r="N16" s="236"/>
      <c r="O16" s="235">
        <v>12104.61</v>
      </c>
      <c r="P16" s="236"/>
      <c r="Q16" s="227">
        <v>38201.22</v>
      </c>
      <c r="R16" s="234"/>
      <c r="S16" s="227">
        <v>22851.41</v>
      </c>
      <c r="T16" s="234"/>
      <c r="U16" s="227">
        <v>15349.81</v>
      </c>
      <c r="V16" s="243"/>
      <c r="W16" s="227">
        <v>36706.29</v>
      </c>
      <c r="X16" s="234"/>
      <c r="Y16" s="227">
        <v>22453.5</v>
      </c>
      <c r="Z16" s="234"/>
      <c r="AA16" s="227">
        <v>14252.79</v>
      </c>
      <c r="AB16" s="234"/>
      <c r="AC16" s="227">
        <v>31294.91</v>
      </c>
      <c r="AD16" s="234"/>
      <c r="AE16" s="227">
        <v>18410.990000000002</v>
      </c>
      <c r="AF16" s="234"/>
      <c r="AG16" s="227">
        <v>12883.92</v>
      </c>
      <c r="AH16" s="234"/>
      <c r="AI16" s="165"/>
      <c r="AJ16" s="56" t="s">
        <v>44</v>
      </c>
      <c r="AK16" s="44"/>
    </row>
    <row r="17" spans="1:39" s="10" customFormat="1" ht="21" customHeight="1">
      <c r="A17" s="55"/>
      <c r="B17" s="55" t="s">
        <v>38</v>
      </c>
      <c r="C17" s="55"/>
      <c r="D17" s="55"/>
      <c r="E17" s="227">
        <v>4603.05</v>
      </c>
      <c r="F17" s="243"/>
      <c r="G17" s="227">
        <v>3450.18</v>
      </c>
      <c r="H17" s="243"/>
      <c r="I17" s="227">
        <v>1152.8699999999999</v>
      </c>
      <c r="J17" s="234"/>
      <c r="K17" s="235">
        <v>3023.07</v>
      </c>
      <c r="L17" s="236"/>
      <c r="M17" s="235">
        <v>1922.54</v>
      </c>
      <c r="N17" s="236"/>
      <c r="O17" s="235">
        <v>1100.53</v>
      </c>
      <c r="P17" s="236"/>
      <c r="Q17" s="227">
        <v>6192.59</v>
      </c>
      <c r="R17" s="234"/>
      <c r="S17" s="227">
        <v>3137.25</v>
      </c>
      <c r="T17" s="234"/>
      <c r="U17" s="227">
        <v>3055.34</v>
      </c>
      <c r="V17" s="243"/>
      <c r="W17" s="227">
        <v>7218.23</v>
      </c>
      <c r="X17" s="234"/>
      <c r="Y17" s="227">
        <v>3085.42</v>
      </c>
      <c r="Z17" s="234"/>
      <c r="AA17" s="227">
        <v>4132.82</v>
      </c>
      <c r="AB17" s="234"/>
      <c r="AC17" s="227">
        <v>6056.17</v>
      </c>
      <c r="AD17" s="234"/>
      <c r="AE17" s="227">
        <v>4345.17</v>
      </c>
      <c r="AF17" s="234"/>
      <c r="AG17" s="227">
        <v>1710.99</v>
      </c>
      <c r="AH17" s="234"/>
      <c r="AI17" s="165"/>
      <c r="AJ17" s="56" t="s">
        <v>45</v>
      </c>
      <c r="AK17" s="44"/>
    </row>
    <row r="18" spans="1:39" s="10" customFormat="1" ht="21" customHeight="1">
      <c r="A18" s="55"/>
      <c r="B18" s="55" t="s">
        <v>39</v>
      </c>
      <c r="C18" s="55"/>
      <c r="D18" s="55"/>
      <c r="E18" s="227" t="s">
        <v>297</v>
      </c>
      <c r="F18" s="243"/>
      <c r="G18" s="227" t="s">
        <v>297</v>
      </c>
      <c r="H18" s="243"/>
      <c r="I18" s="227" t="s">
        <v>297</v>
      </c>
      <c r="J18" s="234"/>
      <c r="K18" s="249" t="s">
        <v>297</v>
      </c>
      <c r="L18" s="247"/>
      <c r="M18" s="235" t="s">
        <v>297</v>
      </c>
      <c r="N18" s="236"/>
      <c r="O18" s="235" t="s">
        <v>297</v>
      </c>
      <c r="P18" s="236"/>
      <c r="Q18" s="227">
        <v>79.27</v>
      </c>
      <c r="R18" s="234"/>
      <c r="S18" s="227" t="s">
        <v>297</v>
      </c>
      <c r="T18" s="234"/>
      <c r="U18" s="227">
        <v>79.27</v>
      </c>
      <c r="V18" s="243"/>
      <c r="W18" s="227" t="s">
        <v>297</v>
      </c>
      <c r="X18" s="234"/>
      <c r="Y18" s="227" t="s">
        <v>297</v>
      </c>
      <c r="Z18" s="234"/>
      <c r="AA18" s="227" t="s">
        <v>297</v>
      </c>
      <c r="AB18" s="234"/>
      <c r="AC18" s="227" t="s">
        <v>297</v>
      </c>
      <c r="AD18" s="234"/>
      <c r="AE18" s="227" t="s">
        <v>297</v>
      </c>
      <c r="AF18" s="234"/>
      <c r="AG18" s="227" t="s">
        <v>297</v>
      </c>
      <c r="AH18" s="234"/>
      <c r="AI18" s="165"/>
      <c r="AJ18" s="56" t="s">
        <v>232</v>
      </c>
      <c r="AK18" s="44"/>
    </row>
    <row r="19" spans="1:39" s="10" customFormat="1" ht="22.5" customHeight="1">
      <c r="A19" s="241" t="s">
        <v>58</v>
      </c>
      <c r="B19" s="55"/>
      <c r="C19" s="55"/>
      <c r="D19" s="55"/>
      <c r="E19" s="238">
        <v>32260.7</v>
      </c>
      <c r="F19" s="242"/>
      <c r="G19" s="238">
        <f>SUM(G20:G22)</f>
        <v>12494.57</v>
      </c>
      <c r="H19" s="242"/>
      <c r="I19" s="238">
        <f>SUM(I20:I22)</f>
        <v>19766.14</v>
      </c>
      <c r="J19" s="245"/>
      <c r="K19" s="248">
        <f>SUM(K20:K22)</f>
        <v>34724.58</v>
      </c>
      <c r="L19" s="246"/>
      <c r="M19" s="248">
        <f t="shared" ref="M19" si="10">SUM(M20:M22)</f>
        <v>12178.5</v>
      </c>
      <c r="N19" s="246"/>
      <c r="O19" s="248">
        <f>SUM(O20:O22)</f>
        <v>22546.07</v>
      </c>
      <c r="P19" s="246"/>
      <c r="Q19" s="248">
        <f>SUM(Q20:Q22)</f>
        <v>35936.740000000005</v>
      </c>
      <c r="R19" s="246"/>
      <c r="S19" s="248">
        <f>SUM(S20:S22)</f>
        <v>14688.17</v>
      </c>
      <c r="T19" s="246"/>
      <c r="U19" s="248">
        <f>SUM(U20:U22)</f>
        <v>21248.57</v>
      </c>
      <c r="V19" s="250"/>
      <c r="W19" s="248">
        <f t="shared" ref="W19:AA19" si="11">SUM(W20:W22)</f>
        <v>32687.559999999998</v>
      </c>
      <c r="X19" s="246"/>
      <c r="Y19" s="248">
        <f t="shared" si="11"/>
        <v>14108.16</v>
      </c>
      <c r="Z19" s="246"/>
      <c r="AA19" s="248">
        <f t="shared" si="11"/>
        <v>18579.400000000001</v>
      </c>
      <c r="AB19" s="246"/>
      <c r="AC19" s="248">
        <f t="shared" ref="AC19" si="12">SUM(AC20:AC22)</f>
        <v>36707.279999999999</v>
      </c>
      <c r="AD19" s="246"/>
      <c r="AE19" s="248">
        <f t="shared" ref="AE19" si="13">SUM(AE20:AE22)</f>
        <v>20947.099999999999</v>
      </c>
      <c r="AF19" s="246"/>
      <c r="AG19" s="248">
        <f t="shared" ref="AG19" si="14">SUM(AG20:AG22)</f>
        <v>15760.189999999999</v>
      </c>
      <c r="AH19" s="246"/>
      <c r="AI19" s="164" t="s">
        <v>59</v>
      </c>
      <c r="AJ19" s="55"/>
      <c r="AK19" s="44"/>
    </row>
    <row r="20" spans="1:39" s="10" customFormat="1" ht="21" customHeight="1">
      <c r="A20" s="55"/>
      <c r="B20" s="55" t="s">
        <v>40</v>
      </c>
      <c r="C20" s="55"/>
      <c r="D20" s="55"/>
      <c r="E20" s="227">
        <v>16379.67</v>
      </c>
      <c r="F20" s="243"/>
      <c r="G20" s="227">
        <v>5827.31</v>
      </c>
      <c r="H20" s="243"/>
      <c r="I20" s="227">
        <v>10552.37</v>
      </c>
      <c r="J20" s="234"/>
      <c r="K20" s="235">
        <v>18534.68</v>
      </c>
      <c r="L20" s="236"/>
      <c r="M20" s="235">
        <v>8405.07</v>
      </c>
      <c r="N20" s="236"/>
      <c r="O20" s="235">
        <v>10129.61</v>
      </c>
      <c r="P20" s="236"/>
      <c r="Q20" s="227">
        <v>20138.63</v>
      </c>
      <c r="R20" s="234"/>
      <c r="S20" s="227">
        <v>8794.11</v>
      </c>
      <c r="T20" s="234"/>
      <c r="U20" s="227">
        <v>11344.52</v>
      </c>
      <c r="V20" s="243"/>
      <c r="W20" s="227">
        <v>15170.82</v>
      </c>
      <c r="X20" s="234"/>
      <c r="Y20" s="227">
        <v>6191.87</v>
      </c>
      <c r="Z20" s="234"/>
      <c r="AA20" s="227">
        <v>8978.9500000000007</v>
      </c>
      <c r="AB20" s="234"/>
      <c r="AC20" s="227">
        <v>14899.25</v>
      </c>
      <c r="AD20" s="234"/>
      <c r="AE20" s="227">
        <v>7600.02</v>
      </c>
      <c r="AF20" s="234"/>
      <c r="AG20" s="227">
        <v>7299.24</v>
      </c>
      <c r="AH20" s="234"/>
      <c r="AI20" s="165"/>
      <c r="AJ20" s="55" t="s">
        <v>46</v>
      </c>
      <c r="AK20" s="44"/>
    </row>
    <row r="21" spans="1:39" s="10" customFormat="1" ht="21" customHeight="1">
      <c r="A21" s="55"/>
      <c r="B21" s="55" t="s">
        <v>41</v>
      </c>
      <c r="C21" s="55"/>
      <c r="D21" s="55"/>
      <c r="E21" s="227">
        <v>12153.85</v>
      </c>
      <c r="F21" s="243"/>
      <c r="G21" s="227">
        <v>5608.2</v>
      </c>
      <c r="H21" s="243"/>
      <c r="I21" s="227">
        <v>6545.65</v>
      </c>
      <c r="J21" s="234"/>
      <c r="K21" s="235">
        <v>9297.01</v>
      </c>
      <c r="L21" s="236"/>
      <c r="M21" s="235">
        <v>2745.29</v>
      </c>
      <c r="N21" s="236"/>
      <c r="O21" s="235">
        <v>6551.72</v>
      </c>
      <c r="P21" s="236"/>
      <c r="Q21" s="227">
        <v>9106.92</v>
      </c>
      <c r="R21" s="234"/>
      <c r="S21" s="227">
        <v>4535.12</v>
      </c>
      <c r="T21" s="234"/>
      <c r="U21" s="227">
        <v>4571.8</v>
      </c>
      <c r="V21" s="243"/>
      <c r="W21" s="227">
        <v>10880.67</v>
      </c>
      <c r="X21" s="234"/>
      <c r="Y21" s="227">
        <v>5757.59</v>
      </c>
      <c r="Z21" s="234"/>
      <c r="AA21" s="227">
        <v>5123.09</v>
      </c>
      <c r="AB21" s="234"/>
      <c r="AC21" s="227">
        <v>14941.89</v>
      </c>
      <c r="AD21" s="234"/>
      <c r="AE21" s="227">
        <v>11231.97</v>
      </c>
      <c r="AF21" s="234"/>
      <c r="AG21" s="227">
        <v>3709.92</v>
      </c>
      <c r="AH21" s="234"/>
      <c r="AI21" s="165"/>
      <c r="AJ21" s="55" t="s">
        <v>233</v>
      </c>
      <c r="AK21" s="44"/>
    </row>
    <row r="22" spans="1:39" s="10" customFormat="1" ht="21" customHeight="1">
      <c r="A22" s="55"/>
      <c r="B22" s="55" t="s">
        <v>39</v>
      </c>
      <c r="C22" s="55"/>
      <c r="D22" s="55"/>
      <c r="E22" s="227">
        <v>3727.18</v>
      </c>
      <c r="F22" s="243"/>
      <c r="G22" s="227">
        <v>1059.06</v>
      </c>
      <c r="H22" s="243"/>
      <c r="I22" s="227">
        <v>2668.12</v>
      </c>
      <c r="J22" s="234"/>
      <c r="K22" s="235">
        <v>6892.89</v>
      </c>
      <c r="L22" s="236"/>
      <c r="M22" s="235">
        <v>1028.1400000000001</v>
      </c>
      <c r="N22" s="236"/>
      <c r="O22" s="235">
        <v>5864.74</v>
      </c>
      <c r="P22" s="236"/>
      <c r="Q22" s="227">
        <v>6691.19</v>
      </c>
      <c r="R22" s="234"/>
      <c r="S22" s="227">
        <v>1358.94</v>
      </c>
      <c r="T22" s="234"/>
      <c r="U22" s="227">
        <v>5332.25</v>
      </c>
      <c r="V22" s="243"/>
      <c r="W22" s="227">
        <v>6636.07</v>
      </c>
      <c r="X22" s="234"/>
      <c r="Y22" s="227">
        <v>2158.6999999999998</v>
      </c>
      <c r="Z22" s="234"/>
      <c r="AA22" s="227">
        <v>4477.3599999999997</v>
      </c>
      <c r="AB22" s="234"/>
      <c r="AC22" s="227">
        <v>6866.14</v>
      </c>
      <c r="AD22" s="234"/>
      <c r="AE22" s="227">
        <v>2115.11</v>
      </c>
      <c r="AF22" s="234"/>
      <c r="AG22" s="227">
        <v>4751.03</v>
      </c>
      <c r="AH22" s="234"/>
      <c r="AI22" s="165"/>
      <c r="AJ22" s="55" t="s">
        <v>232</v>
      </c>
      <c r="AK22" s="44"/>
    </row>
    <row r="23" spans="1:39" s="10" customFormat="1" ht="22.5" customHeight="1">
      <c r="A23" s="55" t="s">
        <v>42</v>
      </c>
      <c r="B23" s="55"/>
      <c r="C23" s="55"/>
      <c r="D23" s="55"/>
      <c r="E23" s="227" t="s">
        <v>297</v>
      </c>
      <c r="F23" s="243"/>
      <c r="G23" s="227" t="s">
        <v>297</v>
      </c>
      <c r="H23" s="243"/>
      <c r="I23" s="227" t="s">
        <v>297</v>
      </c>
      <c r="J23" s="234"/>
      <c r="K23" s="249" t="s">
        <v>297</v>
      </c>
      <c r="L23" s="247"/>
      <c r="M23" s="235" t="s">
        <v>297</v>
      </c>
      <c r="N23" s="236"/>
      <c r="O23" s="235" t="s">
        <v>297</v>
      </c>
      <c r="P23" s="236"/>
      <c r="Q23" s="227" t="s">
        <v>297</v>
      </c>
      <c r="R23" s="234"/>
      <c r="S23" s="227" t="s">
        <v>297</v>
      </c>
      <c r="T23" s="234"/>
      <c r="U23" s="227" t="s">
        <v>297</v>
      </c>
      <c r="V23" s="243"/>
      <c r="W23" s="227" t="s">
        <v>297</v>
      </c>
      <c r="X23" s="234"/>
      <c r="Y23" s="227" t="s">
        <v>297</v>
      </c>
      <c r="Z23" s="234"/>
      <c r="AA23" s="227" t="s">
        <v>297</v>
      </c>
      <c r="AB23" s="234"/>
      <c r="AC23" s="227" t="s">
        <v>297</v>
      </c>
      <c r="AD23" s="234"/>
      <c r="AE23" s="227" t="s">
        <v>297</v>
      </c>
      <c r="AF23" s="234"/>
      <c r="AG23" s="227" t="s">
        <v>297</v>
      </c>
      <c r="AH23" s="234"/>
      <c r="AI23" s="165" t="s">
        <v>47</v>
      </c>
      <c r="AJ23" s="55"/>
      <c r="AK23" s="44"/>
    </row>
    <row r="24" spans="1:39" s="10" customFormat="1" ht="22.5" customHeight="1">
      <c r="A24" s="55" t="s">
        <v>21</v>
      </c>
      <c r="B24" s="55"/>
      <c r="C24" s="55"/>
      <c r="D24" s="55"/>
      <c r="E24" s="227" t="s">
        <v>297</v>
      </c>
      <c r="F24" s="243"/>
      <c r="G24" s="227" t="s">
        <v>297</v>
      </c>
      <c r="H24" s="243"/>
      <c r="I24" s="227" t="s">
        <v>297</v>
      </c>
      <c r="J24" s="234"/>
      <c r="K24" s="249" t="s">
        <v>297</v>
      </c>
      <c r="L24" s="247"/>
      <c r="M24" s="235" t="s">
        <v>297</v>
      </c>
      <c r="N24" s="236"/>
      <c r="O24" s="235" t="s">
        <v>297</v>
      </c>
      <c r="P24" s="236"/>
      <c r="Q24" s="227" t="s">
        <v>297</v>
      </c>
      <c r="R24" s="234"/>
      <c r="S24" s="227" t="s">
        <v>297</v>
      </c>
      <c r="T24" s="234"/>
      <c r="U24" s="227" t="s">
        <v>297</v>
      </c>
      <c r="V24" s="243"/>
      <c r="W24" s="227" t="s">
        <v>297</v>
      </c>
      <c r="X24" s="234"/>
      <c r="Y24" s="227" t="s">
        <v>297</v>
      </c>
      <c r="Z24" s="234"/>
      <c r="AA24" s="227" t="s">
        <v>297</v>
      </c>
      <c r="AB24" s="234"/>
      <c r="AC24" s="227" t="s">
        <v>297</v>
      </c>
      <c r="AD24" s="234"/>
      <c r="AE24" s="227" t="s">
        <v>297</v>
      </c>
      <c r="AF24" s="234"/>
      <c r="AG24" s="227" t="s">
        <v>297</v>
      </c>
      <c r="AH24" s="234"/>
      <c r="AI24" s="165" t="s">
        <v>25</v>
      </c>
      <c r="AJ24" s="55"/>
      <c r="AK24" s="44"/>
    </row>
    <row r="25" spans="1:39" s="10" customFormat="1" ht="3" customHeight="1">
      <c r="A25" s="52"/>
      <c r="B25" s="52"/>
      <c r="C25" s="52"/>
      <c r="D25" s="52"/>
      <c r="E25" s="63"/>
      <c r="F25" s="52"/>
      <c r="G25" s="63"/>
      <c r="H25" s="52"/>
      <c r="I25" s="63"/>
      <c r="J25" s="64"/>
      <c r="K25" s="52"/>
      <c r="L25" s="52"/>
      <c r="M25" s="63"/>
      <c r="N25" s="64"/>
      <c r="O25" s="52"/>
      <c r="P25" s="52"/>
      <c r="Q25" s="63"/>
      <c r="R25" s="64"/>
      <c r="S25" s="52"/>
      <c r="T25" s="52"/>
      <c r="U25" s="63"/>
      <c r="V25" s="52"/>
      <c r="W25" s="63"/>
      <c r="X25" s="64"/>
      <c r="Y25" s="63"/>
      <c r="Z25" s="64"/>
      <c r="AA25" s="63"/>
      <c r="AB25" s="64"/>
      <c r="AC25" s="52"/>
      <c r="AD25" s="52"/>
      <c r="AE25" s="63"/>
      <c r="AF25" s="64"/>
      <c r="AG25" s="52"/>
      <c r="AH25" s="64"/>
      <c r="AI25" s="63"/>
      <c r="AJ25" s="52"/>
      <c r="AK25" s="44"/>
      <c r="AL25" s="44"/>
      <c r="AM25" s="44"/>
    </row>
    <row r="26" spans="1:39" s="10" customFormat="1" ht="3" customHeight="1">
      <c r="AG26" s="44"/>
      <c r="AH26" s="44"/>
      <c r="AI26" s="44"/>
      <c r="AK26" s="44"/>
      <c r="AL26" s="44"/>
      <c r="AM26" s="44"/>
    </row>
    <row r="27" spans="1:39" s="10" customFormat="1" ht="15.75">
      <c r="B27" s="11" t="s">
        <v>62</v>
      </c>
      <c r="C27" s="62" t="s">
        <v>263</v>
      </c>
    </row>
    <row r="28" spans="1:39" s="10" customFormat="1" ht="15.75">
      <c r="B28" s="11" t="s">
        <v>63</v>
      </c>
      <c r="C28" s="62" t="s">
        <v>260</v>
      </c>
    </row>
    <row r="29" spans="1:39" s="10" customFormat="1" ht="15.75">
      <c r="AK29" s="44"/>
    </row>
    <row r="30" spans="1:39" s="10" customFormat="1" ht="15.75">
      <c r="AK30" s="44"/>
    </row>
    <row r="31" spans="1:39" s="10" customFormat="1" ht="15.75">
      <c r="AK31" s="44"/>
    </row>
    <row r="33" spans="3:3">
      <c r="C33" s="6" t="s">
        <v>68</v>
      </c>
    </row>
  </sheetData>
  <mergeCells count="47">
    <mergeCell ref="K6:P6"/>
    <mergeCell ref="K7:P7"/>
    <mergeCell ref="O8:P8"/>
    <mergeCell ref="K8:L8"/>
    <mergeCell ref="AI10:AJ10"/>
    <mergeCell ref="AI7:AJ7"/>
    <mergeCell ref="AI8:AJ8"/>
    <mergeCell ref="K9:L9"/>
    <mergeCell ref="M8:N8"/>
    <mergeCell ref="M9:N9"/>
    <mergeCell ref="O9:P9"/>
    <mergeCell ref="Q8:R8"/>
    <mergeCell ref="Q9:R9"/>
    <mergeCell ref="S8:T8"/>
    <mergeCell ref="S9:T9"/>
    <mergeCell ref="Q6:V6"/>
    <mergeCell ref="A4:D9"/>
    <mergeCell ref="A10:D10"/>
    <mergeCell ref="E8:F8"/>
    <mergeCell ref="E9:F9"/>
    <mergeCell ref="G8:H8"/>
    <mergeCell ref="G9:H9"/>
    <mergeCell ref="E6:J6"/>
    <mergeCell ref="E7:J7"/>
    <mergeCell ref="I8:J8"/>
    <mergeCell ref="I9:J9"/>
    <mergeCell ref="Q7:V7"/>
    <mergeCell ref="U8:V8"/>
    <mergeCell ref="U9:V9"/>
    <mergeCell ref="W8:X8"/>
    <mergeCell ref="W9:X9"/>
    <mergeCell ref="AC8:AD8"/>
    <mergeCell ref="AC9:AD9"/>
    <mergeCell ref="AE8:AF8"/>
    <mergeCell ref="AE9:AF9"/>
    <mergeCell ref="E4:AB5"/>
    <mergeCell ref="AC4:AH5"/>
    <mergeCell ref="AC6:AH6"/>
    <mergeCell ref="AC7:AH7"/>
    <mergeCell ref="AG8:AH8"/>
    <mergeCell ref="AG9:AH9"/>
    <mergeCell ref="Y8:Z8"/>
    <mergeCell ref="Y9:Z9"/>
    <mergeCell ref="W6:AB6"/>
    <mergeCell ref="W7:AB7"/>
    <mergeCell ref="AA8:AB8"/>
    <mergeCell ref="AA9:AB9"/>
  </mergeCells>
  <phoneticPr fontId="3" type="noConversion"/>
  <pageMargins left="0.39370078740157483" right="0.19685039370078741" top="0.59055118110236227" bottom="0.39370078740157483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tabColor rgb="FFFFFF00"/>
  </sheetPr>
  <dimension ref="A1:AL24"/>
  <sheetViews>
    <sheetView showGridLines="0" workbookViewId="0">
      <selection activeCell="AO21" sqref="AO21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28515625" style="6" customWidth="1"/>
    <col min="4" max="4" width="2.28515625" style="6" customWidth="1"/>
    <col min="5" max="5" width="7" style="6" customWidth="1"/>
    <col min="6" max="6" width="0.5703125" style="6" customWidth="1"/>
    <col min="7" max="7" width="6.85546875" style="6" customWidth="1"/>
    <col min="8" max="8" width="0.5703125" style="6" customWidth="1"/>
    <col min="9" max="9" width="6.7109375" style="6" customWidth="1"/>
    <col min="10" max="10" width="0.5703125" style="6" customWidth="1"/>
    <col min="11" max="11" width="6.85546875" style="6" customWidth="1"/>
    <col min="12" max="12" width="0.5703125" style="6" customWidth="1"/>
    <col min="13" max="13" width="7" style="6" customWidth="1"/>
    <col min="14" max="14" width="0.5703125" style="6" customWidth="1"/>
    <col min="15" max="15" width="6.7109375" style="6" customWidth="1"/>
    <col min="16" max="16" width="0.5703125" style="6" customWidth="1"/>
    <col min="17" max="17" width="6.7109375" style="6" customWidth="1"/>
    <col min="18" max="18" width="0.5703125" style="6" customWidth="1"/>
    <col min="19" max="19" width="6.85546875" style="6" customWidth="1"/>
    <col min="20" max="20" width="0.5703125" style="6" customWidth="1"/>
    <col min="21" max="21" width="6.7109375" style="6" customWidth="1"/>
    <col min="22" max="22" width="0.5703125" style="6" customWidth="1"/>
    <col min="23" max="23" width="6.7109375" style="6" customWidth="1"/>
    <col min="24" max="24" width="0.5703125" style="6" customWidth="1"/>
    <col min="25" max="25" width="6.85546875" style="6" customWidth="1"/>
    <col min="26" max="26" width="0.5703125" style="6" customWidth="1"/>
    <col min="27" max="27" width="6.85546875" style="6" customWidth="1"/>
    <col min="28" max="28" width="0.5703125" style="6" customWidth="1"/>
    <col min="29" max="29" width="7" style="6" customWidth="1"/>
    <col min="30" max="30" width="0.5703125" style="6" customWidth="1"/>
    <col min="31" max="31" width="6.7109375" style="6" customWidth="1"/>
    <col min="32" max="32" width="0.5703125" style="6" customWidth="1"/>
    <col min="33" max="33" width="6.85546875" style="6" customWidth="1"/>
    <col min="34" max="34" width="0.5703125" style="6" customWidth="1"/>
    <col min="35" max="35" width="12" style="6" customWidth="1"/>
    <col min="36" max="36" width="1.42578125" style="6" customWidth="1"/>
    <col min="37" max="37" width="4.5703125" style="6" customWidth="1"/>
    <col min="38" max="38" width="2.28515625" style="5" customWidth="1"/>
    <col min="39" max="39" width="4.140625" style="6" customWidth="1"/>
    <col min="40" max="16384" width="9.140625" style="6"/>
  </cols>
  <sheetData>
    <row r="1" spans="1:38" s="1" customFormat="1">
      <c r="B1" s="1" t="s">
        <v>0</v>
      </c>
      <c r="C1" s="2">
        <v>2.7</v>
      </c>
      <c r="D1" s="1" t="s">
        <v>264</v>
      </c>
      <c r="AL1" s="40"/>
    </row>
    <row r="2" spans="1:38" s="3" customFormat="1">
      <c r="B2" s="1" t="s">
        <v>186</v>
      </c>
      <c r="C2" s="2">
        <v>2.7</v>
      </c>
      <c r="D2" s="1" t="s">
        <v>265</v>
      </c>
      <c r="E2" s="1"/>
      <c r="F2" s="1"/>
      <c r="AL2" s="41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K3" s="59" t="s">
        <v>142</v>
      </c>
    </row>
    <row r="4" spans="1:38" ht="21.75" customHeight="1">
      <c r="A4" s="450" t="s">
        <v>60</v>
      </c>
      <c r="B4" s="450"/>
      <c r="C4" s="450"/>
      <c r="D4" s="451"/>
      <c r="E4" s="457" t="s">
        <v>237</v>
      </c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9"/>
      <c r="AC4" s="449" t="s">
        <v>239</v>
      </c>
      <c r="AD4" s="450"/>
      <c r="AE4" s="450"/>
      <c r="AF4" s="450"/>
      <c r="AG4" s="450"/>
      <c r="AH4" s="451"/>
      <c r="AI4" s="449" t="s">
        <v>61</v>
      </c>
      <c r="AJ4" s="450"/>
      <c r="AK4" s="450"/>
    </row>
    <row r="5" spans="1:38" s="10" customFormat="1" ht="22.5" customHeight="1">
      <c r="A5" s="465"/>
      <c r="B5" s="465"/>
      <c r="C5" s="465"/>
      <c r="D5" s="466"/>
      <c r="E5" s="449" t="s">
        <v>75</v>
      </c>
      <c r="F5" s="450"/>
      <c r="G5" s="450"/>
      <c r="H5" s="450"/>
      <c r="I5" s="450"/>
      <c r="J5" s="451"/>
      <c r="K5" s="449" t="s">
        <v>76</v>
      </c>
      <c r="L5" s="450"/>
      <c r="M5" s="450"/>
      <c r="N5" s="450"/>
      <c r="O5" s="450"/>
      <c r="P5" s="451"/>
      <c r="Q5" s="449" t="s">
        <v>77</v>
      </c>
      <c r="R5" s="450"/>
      <c r="S5" s="450"/>
      <c r="T5" s="450"/>
      <c r="U5" s="450"/>
      <c r="V5" s="451"/>
      <c r="W5" s="449" t="s">
        <v>74</v>
      </c>
      <c r="X5" s="450"/>
      <c r="Y5" s="450"/>
      <c r="Z5" s="450"/>
      <c r="AA5" s="450"/>
      <c r="AB5" s="451"/>
      <c r="AC5" s="449" t="s">
        <v>75</v>
      </c>
      <c r="AD5" s="450"/>
      <c r="AE5" s="450"/>
      <c r="AF5" s="450"/>
      <c r="AG5" s="450"/>
      <c r="AH5" s="451"/>
      <c r="AI5" s="464"/>
      <c r="AJ5" s="465"/>
      <c r="AK5" s="465"/>
      <c r="AL5" s="44"/>
    </row>
    <row r="6" spans="1:38" s="10" customFormat="1" ht="21.75" customHeight="1">
      <c r="A6" s="465"/>
      <c r="B6" s="465"/>
      <c r="C6" s="465"/>
      <c r="D6" s="466"/>
      <c r="E6" s="452" t="s">
        <v>70</v>
      </c>
      <c r="F6" s="453"/>
      <c r="G6" s="453"/>
      <c r="H6" s="453"/>
      <c r="I6" s="453"/>
      <c r="J6" s="454"/>
      <c r="K6" s="452" t="s">
        <v>71</v>
      </c>
      <c r="L6" s="453"/>
      <c r="M6" s="453"/>
      <c r="N6" s="453"/>
      <c r="O6" s="453"/>
      <c r="P6" s="454"/>
      <c r="Q6" s="452" t="s">
        <v>72</v>
      </c>
      <c r="R6" s="453"/>
      <c r="S6" s="453"/>
      <c r="T6" s="453"/>
      <c r="U6" s="453"/>
      <c r="V6" s="454"/>
      <c r="W6" s="452" t="s">
        <v>73</v>
      </c>
      <c r="X6" s="453"/>
      <c r="Y6" s="453"/>
      <c r="Z6" s="453"/>
      <c r="AA6" s="453"/>
      <c r="AB6" s="454"/>
      <c r="AC6" s="452" t="s">
        <v>70</v>
      </c>
      <c r="AD6" s="453"/>
      <c r="AE6" s="453"/>
      <c r="AF6" s="453"/>
      <c r="AG6" s="453"/>
      <c r="AH6" s="454"/>
      <c r="AI6" s="464"/>
      <c r="AJ6" s="465"/>
      <c r="AK6" s="465"/>
      <c r="AL6" s="44"/>
    </row>
    <row r="7" spans="1:38" s="10" customFormat="1" ht="21.75" customHeight="1">
      <c r="A7" s="465"/>
      <c r="B7" s="465"/>
      <c r="C7" s="465"/>
      <c r="D7" s="466"/>
      <c r="E7" s="455" t="s">
        <v>1</v>
      </c>
      <c r="F7" s="456"/>
      <c r="G7" s="455" t="s">
        <v>2</v>
      </c>
      <c r="H7" s="456"/>
      <c r="I7" s="455" t="s">
        <v>3</v>
      </c>
      <c r="J7" s="456"/>
      <c r="K7" s="455" t="s">
        <v>1</v>
      </c>
      <c r="L7" s="456"/>
      <c r="M7" s="455" t="s">
        <v>2</v>
      </c>
      <c r="N7" s="456"/>
      <c r="O7" s="455" t="s">
        <v>3</v>
      </c>
      <c r="P7" s="456"/>
      <c r="Q7" s="455" t="s">
        <v>1</v>
      </c>
      <c r="R7" s="456"/>
      <c r="S7" s="455" t="s">
        <v>2</v>
      </c>
      <c r="T7" s="456"/>
      <c r="U7" s="455" t="s">
        <v>3</v>
      </c>
      <c r="V7" s="456"/>
      <c r="W7" s="455" t="s">
        <v>1</v>
      </c>
      <c r="X7" s="456"/>
      <c r="Y7" s="455" t="s">
        <v>2</v>
      </c>
      <c r="Z7" s="456"/>
      <c r="AA7" s="455" t="s">
        <v>3</v>
      </c>
      <c r="AB7" s="456"/>
      <c r="AC7" s="445" t="s">
        <v>1</v>
      </c>
      <c r="AD7" s="446"/>
      <c r="AE7" s="445" t="s">
        <v>2</v>
      </c>
      <c r="AF7" s="446"/>
      <c r="AG7" s="445" t="s">
        <v>3</v>
      </c>
      <c r="AH7" s="446"/>
      <c r="AI7" s="464"/>
      <c r="AJ7" s="465"/>
      <c r="AK7" s="465"/>
      <c r="AL7" s="44"/>
    </row>
    <row r="8" spans="1:38" s="10" customFormat="1" ht="21.75" customHeight="1">
      <c r="A8" s="453"/>
      <c r="B8" s="453"/>
      <c r="C8" s="453"/>
      <c r="D8" s="454"/>
      <c r="E8" s="447" t="s">
        <v>4</v>
      </c>
      <c r="F8" s="448"/>
      <c r="G8" s="447" t="s">
        <v>5</v>
      </c>
      <c r="H8" s="448"/>
      <c r="I8" s="447" t="s">
        <v>6</v>
      </c>
      <c r="J8" s="448"/>
      <c r="K8" s="447" t="s">
        <v>4</v>
      </c>
      <c r="L8" s="448"/>
      <c r="M8" s="447" t="s">
        <v>5</v>
      </c>
      <c r="N8" s="448"/>
      <c r="O8" s="447" t="s">
        <v>6</v>
      </c>
      <c r="P8" s="448"/>
      <c r="Q8" s="447" t="s">
        <v>4</v>
      </c>
      <c r="R8" s="448"/>
      <c r="S8" s="447" t="s">
        <v>5</v>
      </c>
      <c r="T8" s="448"/>
      <c r="U8" s="447" t="s">
        <v>6</v>
      </c>
      <c r="V8" s="448"/>
      <c r="W8" s="447" t="s">
        <v>4</v>
      </c>
      <c r="X8" s="448"/>
      <c r="Y8" s="447" t="s">
        <v>5</v>
      </c>
      <c r="Z8" s="448"/>
      <c r="AA8" s="447" t="s">
        <v>6</v>
      </c>
      <c r="AB8" s="448"/>
      <c r="AC8" s="447" t="s">
        <v>4</v>
      </c>
      <c r="AD8" s="448"/>
      <c r="AE8" s="447" t="s">
        <v>5</v>
      </c>
      <c r="AF8" s="448"/>
      <c r="AG8" s="447" t="s">
        <v>6</v>
      </c>
      <c r="AH8" s="448"/>
      <c r="AI8" s="452"/>
      <c r="AJ8" s="453"/>
      <c r="AK8" s="453"/>
      <c r="AL8" s="44"/>
    </row>
    <row r="9" spans="1:38" s="60" customFormat="1" ht="36" customHeight="1">
      <c r="A9" s="460" t="s">
        <v>102</v>
      </c>
      <c r="B9" s="460"/>
      <c r="C9" s="460"/>
      <c r="D9" s="461"/>
      <c r="E9" s="117">
        <v>284684.05</v>
      </c>
      <c r="F9" s="117"/>
      <c r="G9" s="115">
        <v>155378.1</v>
      </c>
      <c r="H9" s="224"/>
      <c r="I9" s="115">
        <v>129305.95</v>
      </c>
      <c r="J9" s="224"/>
      <c r="K9" s="215">
        <v>290138.49</v>
      </c>
      <c r="L9" s="224"/>
      <c r="M9" s="215">
        <v>158081.01999999999</v>
      </c>
      <c r="N9" s="224"/>
      <c r="O9" s="215">
        <v>132057.47</v>
      </c>
      <c r="P9" s="224"/>
      <c r="Q9" s="215">
        <v>305490.55</v>
      </c>
      <c r="R9" s="224"/>
      <c r="S9" s="215">
        <v>163896.25</v>
      </c>
      <c r="T9" s="224"/>
      <c r="U9" s="215">
        <v>141594.29</v>
      </c>
      <c r="V9" s="224"/>
      <c r="W9" s="215">
        <v>293020.52</v>
      </c>
      <c r="X9" s="224"/>
      <c r="Y9" s="215">
        <v>156836.5</v>
      </c>
      <c r="Z9" s="224"/>
      <c r="AA9" s="215">
        <v>136184.01999999999</v>
      </c>
      <c r="AB9" s="224"/>
      <c r="AC9" s="215">
        <v>282757.52</v>
      </c>
      <c r="AD9" s="224"/>
      <c r="AE9" s="215">
        <v>150953.79</v>
      </c>
      <c r="AF9" s="224"/>
      <c r="AG9" s="215">
        <v>131803.73000000001</v>
      </c>
      <c r="AH9" s="239"/>
      <c r="AI9" s="462" t="s">
        <v>4</v>
      </c>
      <c r="AJ9" s="463"/>
      <c r="AK9" s="463"/>
      <c r="AL9" s="49"/>
    </row>
    <row r="10" spans="1:38" s="10" customFormat="1" ht="31.5" customHeight="1">
      <c r="A10" s="93" t="s">
        <v>196</v>
      </c>
      <c r="B10" s="43"/>
      <c r="C10" s="43"/>
      <c r="D10" s="43"/>
      <c r="E10" s="116">
        <v>11855.89</v>
      </c>
      <c r="F10" s="251"/>
      <c r="G10" s="116">
        <v>4906.87</v>
      </c>
      <c r="H10" s="225"/>
      <c r="I10" s="116">
        <v>6949.02</v>
      </c>
      <c r="J10" s="225"/>
      <c r="K10" s="216">
        <v>15712.11</v>
      </c>
      <c r="L10" s="225"/>
      <c r="M10" s="216">
        <v>8566.94</v>
      </c>
      <c r="N10" s="225"/>
      <c r="O10" s="216">
        <v>7145.18</v>
      </c>
      <c r="P10" s="225"/>
      <c r="Q10" s="216">
        <v>192.14</v>
      </c>
      <c r="R10" s="225"/>
      <c r="S10" s="216" t="s">
        <v>297</v>
      </c>
      <c r="T10" s="225"/>
      <c r="U10" s="216">
        <v>192.14</v>
      </c>
      <c r="V10" s="225"/>
      <c r="W10" s="216">
        <v>3223.32</v>
      </c>
      <c r="X10" s="225"/>
      <c r="Y10" s="216">
        <v>2409.7199999999998</v>
      </c>
      <c r="Z10" s="225"/>
      <c r="AA10" s="216">
        <v>813.6</v>
      </c>
      <c r="AB10" s="225"/>
      <c r="AC10" s="216">
        <v>12521.05</v>
      </c>
      <c r="AD10" s="225"/>
      <c r="AE10" s="216">
        <v>4411.42</v>
      </c>
      <c r="AF10" s="225"/>
      <c r="AG10" s="216">
        <v>8109.63</v>
      </c>
      <c r="AH10" s="240"/>
      <c r="AI10" s="45" t="s">
        <v>133</v>
      </c>
      <c r="AJ10" s="42"/>
      <c r="AK10" s="43"/>
      <c r="AL10" s="44"/>
    </row>
    <row r="11" spans="1:38" s="10" customFormat="1" ht="31.5" customHeight="1">
      <c r="A11" s="93" t="s">
        <v>125</v>
      </c>
      <c r="B11" s="43"/>
      <c r="C11" s="43"/>
      <c r="D11" s="43"/>
      <c r="E11" s="116">
        <v>1124.6300000000001</v>
      </c>
      <c r="F11" s="251"/>
      <c r="G11" s="116">
        <v>755.3</v>
      </c>
      <c r="H11" s="225"/>
      <c r="I11" s="116">
        <v>369.34</v>
      </c>
      <c r="J11" s="225"/>
      <c r="K11" s="216">
        <v>1448.71</v>
      </c>
      <c r="L11" s="225"/>
      <c r="M11" s="216">
        <v>954.86</v>
      </c>
      <c r="N11" s="225"/>
      <c r="O11" s="216">
        <v>493.85</v>
      </c>
      <c r="P11" s="225"/>
      <c r="Q11" s="216">
        <v>3163.08</v>
      </c>
      <c r="R11" s="225"/>
      <c r="S11" s="216">
        <v>1453.94</v>
      </c>
      <c r="T11" s="225"/>
      <c r="U11" s="216">
        <v>1709.13</v>
      </c>
      <c r="V11" s="225"/>
      <c r="W11" s="216">
        <v>2422.4699999999998</v>
      </c>
      <c r="X11" s="225"/>
      <c r="Y11" s="216">
        <v>806.68</v>
      </c>
      <c r="Z11" s="225"/>
      <c r="AA11" s="216">
        <v>1615.8</v>
      </c>
      <c r="AB11" s="225"/>
      <c r="AC11" s="216">
        <v>1236.6500000000001</v>
      </c>
      <c r="AD11" s="225"/>
      <c r="AE11" s="216">
        <v>235.08</v>
      </c>
      <c r="AF11" s="225"/>
      <c r="AG11" s="216">
        <v>1001.57</v>
      </c>
      <c r="AH11" s="240"/>
      <c r="AI11" s="47" t="s">
        <v>132</v>
      </c>
      <c r="AJ11" s="94"/>
      <c r="AK11" s="43"/>
    </row>
    <row r="12" spans="1:38" s="10" customFormat="1" ht="31.5" customHeight="1">
      <c r="A12" s="93" t="s">
        <v>91</v>
      </c>
      <c r="B12" s="43"/>
      <c r="C12" s="43"/>
      <c r="D12" s="43"/>
      <c r="E12" s="116">
        <v>5789.98</v>
      </c>
      <c r="F12" s="251"/>
      <c r="G12" s="116">
        <v>3535.25</v>
      </c>
      <c r="H12" s="225"/>
      <c r="I12" s="116">
        <v>2254.73</v>
      </c>
      <c r="J12" s="225"/>
      <c r="K12" s="216">
        <v>8374.6</v>
      </c>
      <c r="L12" s="225"/>
      <c r="M12" s="216">
        <v>2567.33</v>
      </c>
      <c r="N12" s="225"/>
      <c r="O12" s="216">
        <v>5807.27</v>
      </c>
      <c r="P12" s="225"/>
      <c r="Q12" s="216">
        <v>24307.47</v>
      </c>
      <c r="R12" s="225"/>
      <c r="S12" s="216">
        <v>13177.32</v>
      </c>
      <c r="T12" s="225"/>
      <c r="U12" s="216">
        <v>11130.15</v>
      </c>
      <c r="V12" s="225"/>
      <c r="W12" s="216">
        <v>12862.49</v>
      </c>
      <c r="X12" s="225"/>
      <c r="Y12" s="216">
        <v>8789.17</v>
      </c>
      <c r="Z12" s="225"/>
      <c r="AA12" s="216">
        <v>4073.31</v>
      </c>
      <c r="AB12" s="225"/>
      <c r="AC12" s="216">
        <v>9120.94</v>
      </c>
      <c r="AD12" s="225"/>
      <c r="AE12" s="216">
        <v>3679.87</v>
      </c>
      <c r="AF12" s="225"/>
      <c r="AG12" s="216">
        <v>5441.07</v>
      </c>
      <c r="AH12" s="240"/>
      <c r="AI12" s="47" t="s">
        <v>131</v>
      </c>
      <c r="AJ12" s="467"/>
      <c r="AK12" s="467"/>
    </row>
    <row r="13" spans="1:38" s="10" customFormat="1" ht="31.5" customHeight="1">
      <c r="A13" s="93" t="s">
        <v>92</v>
      </c>
      <c r="B13" s="43"/>
      <c r="C13" s="43"/>
      <c r="D13" s="43"/>
      <c r="E13" s="116">
        <v>36218.33</v>
      </c>
      <c r="F13" s="251"/>
      <c r="G13" s="116">
        <v>17681.34</v>
      </c>
      <c r="H13" s="225"/>
      <c r="I13" s="116">
        <v>18536.990000000002</v>
      </c>
      <c r="J13" s="225"/>
      <c r="K13" s="216">
        <v>20630.759999999998</v>
      </c>
      <c r="L13" s="225"/>
      <c r="M13" s="216">
        <v>8903.3799999999992</v>
      </c>
      <c r="N13" s="225"/>
      <c r="O13" s="216">
        <v>11727.37</v>
      </c>
      <c r="P13" s="225"/>
      <c r="Q13" s="216">
        <v>42107.35</v>
      </c>
      <c r="R13" s="225"/>
      <c r="S13" s="216">
        <v>17657.28</v>
      </c>
      <c r="T13" s="225"/>
      <c r="U13" s="216">
        <v>24450.06</v>
      </c>
      <c r="V13" s="225"/>
      <c r="W13" s="216">
        <v>27430.880000000001</v>
      </c>
      <c r="X13" s="225"/>
      <c r="Y13" s="216">
        <v>14713.09</v>
      </c>
      <c r="Z13" s="225"/>
      <c r="AA13" s="216">
        <v>12717.79</v>
      </c>
      <c r="AB13" s="225"/>
      <c r="AC13" s="216">
        <v>29685.03</v>
      </c>
      <c r="AD13" s="225"/>
      <c r="AE13" s="216">
        <v>14586.91</v>
      </c>
      <c r="AF13" s="225"/>
      <c r="AG13" s="216">
        <v>15098.12</v>
      </c>
      <c r="AH13" s="240"/>
      <c r="AI13" s="47" t="s">
        <v>130</v>
      </c>
      <c r="AJ13" s="467"/>
      <c r="AK13" s="467"/>
    </row>
    <row r="14" spans="1:38" s="10" customFormat="1" ht="31.5" customHeight="1">
      <c r="A14" s="93" t="s">
        <v>93</v>
      </c>
      <c r="B14" s="43"/>
      <c r="C14" s="43"/>
      <c r="D14" s="43"/>
      <c r="E14" s="116">
        <v>19791.55</v>
      </c>
      <c r="F14" s="251"/>
      <c r="G14" s="116">
        <v>10399.450000000001</v>
      </c>
      <c r="H14" s="225"/>
      <c r="I14" s="116">
        <v>9392.1</v>
      </c>
      <c r="J14" s="225"/>
      <c r="K14" s="216">
        <v>15034.47</v>
      </c>
      <c r="L14" s="225"/>
      <c r="M14" s="216">
        <v>6137.43</v>
      </c>
      <c r="N14" s="225"/>
      <c r="O14" s="216">
        <v>8897.0300000000007</v>
      </c>
      <c r="P14" s="225"/>
      <c r="Q14" s="216">
        <v>13995.83</v>
      </c>
      <c r="R14" s="225"/>
      <c r="S14" s="216">
        <v>7071.29</v>
      </c>
      <c r="T14" s="225"/>
      <c r="U14" s="216">
        <v>6924.54</v>
      </c>
      <c r="V14" s="225"/>
      <c r="W14" s="216">
        <v>21231.65</v>
      </c>
      <c r="X14" s="225"/>
      <c r="Y14" s="216">
        <v>10172.69</v>
      </c>
      <c r="Z14" s="225"/>
      <c r="AA14" s="216">
        <v>11058.95</v>
      </c>
      <c r="AB14" s="225"/>
      <c r="AC14" s="216">
        <v>16990.32</v>
      </c>
      <c r="AD14" s="225"/>
      <c r="AE14" s="216">
        <v>9314.27</v>
      </c>
      <c r="AF14" s="225"/>
      <c r="AG14" s="216">
        <v>7676.05</v>
      </c>
      <c r="AH14" s="240"/>
      <c r="AI14" s="47" t="s">
        <v>129</v>
      </c>
      <c r="AJ14" s="467"/>
      <c r="AK14" s="467"/>
    </row>
    <row r="15" spans="1:38" s="10" customFormat="1" ht="31.5" customHeight="1">
      <c r="A15" s="93" t="s">
        <v>94</v>
      </c>
      <c r="B15" s="43"/>
      <c r="C15" s="43"/>
      <c r="D15" s="43"/>
      <c r="E15" s="116">
        <v>60467.23</v>
      </c>
      <c r="F15" s="251"/>
      <c r="G15" s="116">
        <v>28824.75</v>
      </c>
      <c r="H15" s="225"/>
      <c r="I15" s="116">
        <v>31642.48</v>
      </c>
      <c r="J15" s="225"/>
      <c r="K15" s="216">
        <v>76800.28</v>
      </c>
      <c r="L15" s="225"/>
      <c r="M15" s="216">
        <v>38645.86</v>
      </c>
      <c r="N15" s="225"/>
      <c r="O15" s="216">
        <v>38154.410000000003</v>
      </c>
      <c r="P15" s="225"/>
      <c r="Q15" s="216">
        <v>70942.25</v>
      </c>
      <c r="R15" s="225"/>
      <c r="S15" s="216">
        <v>36264.04</v>
      </c>
      <c r="T15" s="225"/>
      <c r="U15" s="216">
        <v>34678.21</v>
      </c>
      <c r="V15" s="225"/>
      <c r="W15" s="216">
        <v>70933.81</v>
      </c>
      <c r="X15" s="225"/>
      <c r="Y15" s="216">
        <v>32183.68</v>
      </c>
      <c r="Z15" s="225"/>
      <c r="AA15" s="216">
        <v>38750.14</v>
      </c>
      <c r="AB15" s="225"/>
      <c r="AC15" s="216">
        <v>81656.28</v>
      </c>
      <c r="AD15" s="225"/>
      <c r="AE15" s="216">
        <v>41946.080000000002</v>
      </c>
      <c r="AF15" s="225"/>
      <c r="AG15" s="216">
        <v>39710.199999999997</v>
      </c>
      <c r="AH15" s="240"/>
      <c r="AI15" s="47" t="s">
        <v>128</v>
      </c>
      <c r="AJ15" s="467"/>
      <c r="AK15" s="467"/>
    </row>
    <row r="16" spans="1:38" s="10" customFormat="1" ht="31.5" customHeight="1">
      <c r="A16" s="93" t="s">
        <v>95</v>
      </c>
      <c r="B16" s="43"/>
      <c r="C16" s="43"/>
      <c r="D16" s="43"/>
      <c r="E16" s="116">
        <v>103472.04</v>
      </c>
      <c r="F16" s="251"/>
      <c r="G16" s="116">
        <v>58065.66</v>
      </c>
      <c r="H16" s="225"/>
      <c r="I16" s="116">
        <v>45406.39</v>
      </c>
      <c r="J16" s="225"/>
      <c r="K16" s="216">
        <v>105403.45</v>
      </c>
      <c r="L16" s="225"/>
      <c r="M16" s="216">
        <v>62743.33</v>
      </c>
      <c r="N16" s="225"/>
      <c r="O16" s="216">
        <v>42660.12</v>
      </c>
      <c r="P16" s="225"/>
      <c r="Q16" s="216">
        <v>96186.38</v>
      </c>
      <c r="R16" s="225"/>
      <c r="S16" s="216">
        <v>58360.29</v>
      </c>
      <c r="T16" s="225"/>
      <c r="U16" s="216">
        <v>37826.089999999997</v>
      </c>
      <c r="V16" s="225"/>
      <c r="W16" s="216">
        <v>105468.19</v>
      </c>
      <c r="X16" s="225"/>
      <c r="Y16" s="216">
        <v>58902.49</v>
      </c>
      <c r="Z16" s="225"/>
      <c r="AA16" s="216">
        <v>46565.7</v>
      </c>
      <c r="AB16" s="225"/>
      <c r="AC16" s="216">
        <v>89907.39</v>
      </c>
      <c r="AD16" s="225"/>
      <c r="AE16" s="216">
        <v>52939.17</v>
      </c>
      <c r="AF16" s="225"/>
      <c r="AG16" s="216">
        <v>36968.22</v>
      </c>
      <c r="AH16" s="240"/>
      <c r="AI16" s="47" t="s">
        <v>127</v>
      </c>
      <c r="AJ16" s="467"/>
      <c r="AK16" s="467"/>
    </row>
    <row r="17" spans="1:38" s="10" customFormat="1" ht="31.5" customHeight="1">
      <c r="A17" s="95" t="s">
        <v>122</v>
      </c>
      <c r="B17" s="43"/>
      <c r="C17" s="43"/>
      <c r="D17" s="43"/>
      <c r="E17" s="116">
        <v>45964.39</v>
      </c>
      <c r="F17" s="251"/>
      <c r="G17" s="116">
        <v>31209.49</v>
      </c>
      <c r="H17" s="225"/>
      <c r="I17" s="116">
        <v>14754.91</v>
      </c>
      <c r="J17" s="225"/>
      <c r="K17" s="216">
        <v>46734.12</v>
      </c>
      <c r="L17" s="225"/>
      <c r="M17" s="216">
        <v>29561.88</v>
      </c>
      <c r="N17" s="225"/>
      <c r="O17" s="216">
        <v>17172.240000000002</v>
      </c>
      <c r="P17" s="225"/>
      <c r="Q17" s="216">
        <v>54596.04</v>
      </c>
      <c r="R17" s="225"/>
      <c r="S17" s="216">
        <v>29912.080000000002</v>
      </c>
      <c r="T17" s="225"/>
      <c r="U17" s="216">
        <v>24683.96</v>
      </c>
      <c r="V17" s="225"/>
      <c r="W17" s="216">
        <v>49447.69</v>
      </c>
      <c r="X17" s="225"/>
      <c r="Y17" s="216">
        <v>28858.97</v>
      </c>
      <c r="Z17" s="225"/>
      <c r="AA17" s="216">
        <v>20588.72</v>
      </c>
      <c r="AB17" s="225"/>
      <c r="AC17" s="216">
        <v>41639.870000000003</v>
      </c>
      <c r="AD17" s="225"/>
      <c r="AE17" s="216">
        <v>23840.98</v>
      </c>
      <c r="AF17" s="225"/>
      <c r="AG17" s="216">
        <v>17798.89</v>
      </c>
      <c r="AH17" s="240"/>
      <c r="AI17" s="46" t="s">
        <v>126</v>
      </c>
      <c r="AJ17" s="94"/>
      <c r="AK17" s="43"/>
    </row>
    <row r="18" spans="1:38" s="10" customFormat="1" ht="16.5" customHeight="1">
      <c r="A18" s="68"/>
      <c r="B18" s="68"/>
      <c r="C18" s="68"/>
      <c r="D18" s="68"/>
      <c r="E18" s="80"/>
      <c r="F18" s="78"/>
      <c r="G18" s="80"/>
      <c r="H18" s="79"/>
      <c r="I18" s="80"/>
      <c r="J18" s="79"/>
      <c r="K18" s="78"/>
      <c r="L18" s="79"/>
      <c r="M18" s="78"/>
      <c r="N18" s="79"/>
      <c r="O18" s="78"/>
      <c r="P18" s="78"/>
      <c r="Q18" s="80"/>
      <c r="R18" s="79"/>
      <c r="S18" s="78"/>
      <c r="T18" s="79"/>
      <c r="U18" s="78"/>
      <c r="V18" s="79"/>
      <c r="W18" s="78"/>
      <c r="X18" s="79"/>
      <c r="Y18" s="78"/>
      <c r="Z18" s="79"/>
      <c r="AA18" s="78"/>
      <c r="AB18" s="79"/>
      <c r="AC18" s="78"/>
      <c r="AD18" s="79"/>
      <c r="AE18" s="78"/>
      <c r="AF18" s="79"/>
      <c r="AG18" s="78"/>
      <c r="AH18" s="68"/>
      <c r="AI18" s="51"/>
      <c r="AJ18" s="68"/>
      <c r="AK18" s="68"/>
      <c r="AL18" s="44"/>
    </row>
    <row r="19" spans="1:38" s="10" customFormat="1" ht="4.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2"/>
      <c r="AH19" s="42"/>
      <c r="AI19" s="42"/>
      <c r="AJ19" s="42"/>
      <c r="AK19" s="43"/>
      <c r="AL19" s="44"/>
    </row>
    <row r="20" spans="1:38" s="10" customFormat="1" ht="17.25">
      <c r="A20" s="43"/>
      <c r="B20" s="85" t="s">
        <v>62</v>
      </c>
      <c r="C20" s="95" t="s">
        <v>266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</row>
    <row r="21" spans="1:38" s="10" customFormat="1" ht="17.25">
      <c r="A21" s="43"/>
      <c r="B21" s="85" t="s">
        <v>63</v>
      </c>
      <c r="C21" s="62" t="s">
        <v>267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</row>
    <row r="22" spans="1:38" s="10" customFormat="1" ht="15.75">
      <c r="AL22" s="44"/>
    </row>
    <row r="23" spans="1:38" s="10" customFormat="1" ht="15.75">
      <c r="AL23" s="44"/>
    </row>
    <row r="24" spans="1:38" s="10" customFormat="1" ht="15.75">
      <c r="AL24" s="44"/>
    </row>
  </sheetData>
  <mergeCells count="51">
    <mergeCell ref="A9:D9"/>
    <mergeCell ref="AI9:AK9"/>
    <mergeCell ref="AI4:AK8"/>
    <mergeCell ref="A4:D8"/>
    <mergeCell ref="AJ16:AK16"/>
    <mergeCell ref="AJ12:AK12"/>
    <mergeCell ref="AJ13:AK13"/>
    <mergeCell ref="AJ14:AK14"/>
    <mergeCell ref="AJ15:AK15"/>
    <mergeCell ref="K5:P5"/>
    <mergeCell ref="K6:P6"/>
    <mergeCell ref="O7:P7"/>
    <mergeCell ref="O8:P8"/>
    <mergeCell ref="E7:F7"/>
    <mergeCell ref="E8:F8"/>
    <mergeCell ref="G7:H7"/>
    <mergeCell ref="G8:H8"/>
    <mergeCell ref="E5:J5"/>
    <mergeCell ref="E6:J6"/>
    <mergeCell ref="I7:J7"/>
    <mergeCell ref="I8:J8"/>
    <mergeCell ref="U8:V8"/>
    <mergeCell ref="K7:L7"/>
    <mergeCell ref="K8:L8"/>
    <mergeCell ref="M7:N7"/>
    <mergeCell ref="M8:N8"/>
    <mergeCell ref="W7:X7"/>
    <mergeCell ref="W8:X8"/>
    <mergeCell ref="Y7:Z7"/>
    <mergeCell ref="Y8:Z8"/>
    <mergeCell ref="E4:AB4"/>
    <mergeCell ref="W5:AB5"/>
    <mergeCell ref="W6:AB6"/>
    <mergeCell ref="AA7:AB7"/>
    <mergeCell ref="AA8:AB8"/>
    <mergeCell ref="Q7:R7"/>
    <mergeCell ref="Q8:R8"/>
    <mergeCell ref="S7:T7"/>
    <mergeCell ref="S8:T8"/>
    <mergeCell ref="Q5:V5"/>
    <mergeCell ref="Q6:V6"/>
    <mergeCell ref="U7:V7"/>
    <mergeCell ref="AC7:AD7"/>
    <mergeCell ref="AC8:AD8"/>
    <mergeCell ref="AE7:AF7"/>
    <mergeCell ref="AE8:AF8"/>
    <mergeCell ref="AC4:AH4"/>
    <mergeCell ref="AC5:AH5"/>
    <mergeCell ref="AC6:AH6"/>
    <mergeCell ref="AG7:AH7"/>
    <mergeCell ref="AG8:AH8"/>
  </mergeCells>
  <phoneticPr fontId="3" type="noConversion"/>
  <pageMargins left="0.6692913385826772" right="0.11811023622047245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tabColor rgb="FFFFFF00"/>
  </sheetPr>
  <dimension ref="A1:S45"/>
  <sheetViews>
    <sheetView showGridLines="0" topLeftCell="A4" workbookViewId="0">
      <selection activeCell="X19" sqref="X19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5" width="12" style="6" customWidth="1"/>
    <col min="6" max="6" width="4" style="6" customWidth="1"/>
    <col min="7" max="7" width="12" style="6" customWidth="1"/>
    <col min="8" max="8" width="4" style="6" customWidth="1"/>
    <col min="9" max="9" width="12" style="6" customWidth="1"/>
    <col min="10" max="10" width="4" style="6" customWidth="1"/>
    <col min="11" max="11" width="12" style="6" customWidth="1"/>
    <col min="12" max="12" width="4" style="6" customWidth="1"/>
    <col min="13" max="13" width="12" style="6" customWidth="1"/>
    <col min="14" max="14" width="4" style="6" customWidth="1"/>
    <col min="15" max="15" width="12" style="6" customWidth="1"/>
    <col min="16" max="16" width="4" style="6" customWidth="1"/>
    <col min="17" max="17" width="7.140625" style="6" customWidth="1"/>
    <col min="18" max="18" width="13.42578125" style="5" customWidth="1"/>
    <col min="19" max="19" width="2.28515625" style="6" customWidth="1"/>
    <col min="20" max="20" width="4.7109375" style="6" customWidth="1"/>
    <col min="21" max="16384" width="9.140625" style="6"/>
  </cols>
  <sheetData>
    <row r="1" spans="1:19" s="1" customFormat="1" ht="18.75">
      <c r="B1" s="39" t="s">
        <v>188</v>
      </c>
      <c r="C1" s="2">
        <v>2.8</v>
      </c>
      <c r="D1" s="1" t="s">
        <v>268</v>
      </c>
      <c r="R1" s="40"/>
      <c r="S1" s="40"/>
    </row>
    <row r="2" spans="1:19" s="3" customFormat="1" ht="18.75">
      <c r="B2" s="39" t="s">
        <v>186</v>
      </c>
      <c r="C2" s="2">
        <v>2.8</v>
      </c>
      <c r="D2" s="1" t="s">
        <v>335</v>
      </c>
      <c r="E2" s="1"/>
      <c r="F2" s="1"/>
      <c r="R2" s="41"/>
      <c r="S2" s="41"/>
    </row>
    <row r="3" spans="1:19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S3" s="5"/>
    </row>
    <row r="4" spans="1:19" s="53" customFormat="1" ht="19.5" customHeight="1">
      <c r="A4" s="474" t="s">
        <v>79</v>
      </c>
      <c r="B4" s="474"/>
      <c r="C4" s="474"/>
      <c r="D4" s="474"/>
      <c r="E4" s="449" t="s">
        <v>193</v>
      </c>
      <c r="F4" s="450"/>
      <c r="G4" s="450"/>
      <c r="H4" s="450"/>
      <c r="I4" s="450"/>
      <c r="J4" s="451"/>
      <c r="K4" s="449" t="s">
        <v>197</v>
      </c>
      <c r="L4" s="450"/>
      <c r="M4" s="450"/>
      <c r="N4" s="450"/>
      <c r="O4" s="450"/>
      <c r="P4" s="451"/>
      <c r="Q4" s="449" t="s">
        <v>80</v>
      </c>
      <c r="R4" s="450"/>
      <c r="S4" s="54"/>
    </row>
    <row r="5" spans="1:19" s="53" customFormat="1" ht="18" customHeight="1">
      <c r="A5" s="475"/>
      <c r="B5" s="475"/>
      <c r="C5" s="475"/>
      <c r="D5" s="475"/>
      <c r="E5" s="452" t="s">
        <v>117</v>
      </c>
      <c r="F5" s="453"/>
      <c r="G5" s="453"/>
      <c r="H5" s="453"/>
      <c r="I5" s="453"/>
      <c r="J5" s="454"/>
      <c r="K5" s="452" t="s">
        <v>204</v>
      </c>
      <c r="L5" s="453"/>
      <c r="M5" s="453"/>
      <c r="N5" s="453"/>
      <c r="O5" s="453"/>
      <c r="P5" s="454"/>
      <c r="Q5" s="464"/>
      <c r="R5" s="473"/>
    </row>
    <row r="6" spans="1:19" s="53" customFormat="1" ht="18" customHeight="1">
      <c r="A6" s="475"/>
      <c r="B6" s="475"/>
      <c r="C6" s="475"/>
      <c r="D6" s="475"/>
      <c r="E6" s="449" t="s">
        <v>1</v>
      </c>
      <c r="F6" s="451"/>
      <c r="G6" s="449" t="s">
        <v>2</v>
      </c>
      <c r="H6" s="451"/>
      <c r="I6" s="449" t="s">
        <v>3</v>
      </c>
      <c r="J6" s="451"/>
      <c r="K6" s="464" t="s">
        <v>1</v>
      </c>
      <c r="L6" s="466"/>
      <c r="M6" s="464" t="s">
        <v>2</v>
      </c>
      <c r="N6" s="466"/>
      <c r="O6" s="449" t="s">
        <v>3</v>
      </c>
      <c r="P6" s="451"/>
      <c r="Q6" s="464"/>
      <c r="R6" s="473"/>
    </row>
    <row r="7" spans="1:19" s="53" customFormat="1" ht="18" customHeight="1">
      <c r="A7" s="476"/>
      <c r="B7" s="476"/>
      <c r="C7" s="476"/>
      <c r="D7" s="476"/>
      <c r="E7" s="452" t="s">
        <v>4</v>
      </c>
      <c r="F7" s="454"/>
      <c r="G7" s="452" t="s">
        <v>5</v>
      </c>
      <c r="H7" s="454"/>
      <c r="I7" s="452" t="s">
        <v>6</v>
      </c>
      <c r="J7" s="454"/>
      <c r="K7" s="452" t="s">
        <v>4</v>
      </c>
      <c r="L7" s="454"/>
      <c r="M7" s="452" t="s">
        <v>5</v>
      </c>
      <c r="N7" s="454"/>
      <c r="O7" s="452" t="s">
        <v>6</v>
      </c>
      <c r="P7" s="454"/>
      <c r="Q7" s="452"/>
      <c r="R7" s="453"/>
      <c r="S7" s="54"/>
    </row>
    <row r="8" spans="1:19" s="55" customFormat="1" ht="6" customHeight="1">
      <c r="A8" s="213"/>
      <c r="B8" s="213"/>
      <c r="C8" s="213"/>
      <c r="D8" s="213"/>
      <c r="E8" s="209"/>
      <c r="F8" s="211"/>
      <c r="G8" s="209"/>
      <c r="H8" s="211"/>
      <c r="I8" s="209"/>
      <c r="J8" s="211"/>
      <c r="K8" s="209"/>
      <c r="L8" s="211"/>
      <c r="M8" s="209"/>
      <c r="N8" s="212"/>
      <c r="O8" s="209"/>
      <c r="P8" s="212"/>
      <c r="Q8" s="210"/>
      <c r="R8" s="56"/>
      <c r="S8" s="56"/>
    </row>
    <row r="9" spans="1:19" s="55" customFormat="1" ht="4.5" customHeight="1">
      <c r="A9" s="473"/>
      <c r="B9" s="473"/>
      <c r="C9" s="473"/>
      <c r="D9" s="473"/>
      <c r="E9" s="168"/>
      <c r="F9" s="169"/>
      <c r="G9" s="168"/>
      <c r="H9" s="169"/>
      <c r="I9" s="168"/>
      <c r="J9" s="169"/>
      <c r="K9" s="168"/>
      <c r="L9" s="169"/>
      <c r="M9" s="168"/>
      <c r="N9" s="54"/>
      <c r="O9" s="168"/>
      <c r="P9" s="54"/>
      <c r="Q9" s="168"/>
      <c r="R9" s="56"/>
    </row>
    <row r="10" spans="1:19" s="55" customFormat="1" ht="19.5" customHeight="1">
      <c r="A10" s="468">
        <v>2557</v>
      </c>
      <c r="B10" s="469"/>
      <c r="C10" s="469"/>
      <c r="D10" s="470"/>
      <c r="E10" s="168"/>
      <c r="F10" s="169"/>
      <c r="G10" s="168"/>
      <c r="H10" s="169"/>
      <c r="I10" s="168"/>
      <c r="J10" s="169"/>
      <c r="K10" s="168"/>
      <c r="L10" s="169"/>
      <c r="M10" s="168"/>
      <c r="N10" s="54"/>
      <c r="O10" s="168"/>
      <c r="P10" s="54"/>
      <c r="Q10" s="471" t="s">
        <v>326</v>
      </c>
      <c r="R10" s="472"/>
    </row>
    <row r="11" spans="1:19" s="55" customFormat="1" ht="18" customHeight="1">
      <c r="A11" s="468" t="s">
        <v>81</v>
      </c>
      <c r="B11" s="469"/>
      <c r="C11" s="469"/>
      <c r="D11" s="470"/>
      <c r="E11" s="111">
        <v>2211</v>
      </c>
      <c r="F11" s="258"/>
      <c r="G11" s="111">
        <v>1419.1</v>
      </c>
      <c r="H11" s="258"/>
      <c r="I11" s="111">
        <v>791.9</v>
      </c>
      <c r="J11" s="258"/>
      <c r="K11" s="254">
        <v>0.8</v>
      </c>
      <c r="L11" s="267"/>
      <c r="M11" s="254">
        <v>0.83096183349143315</v>
      </c>
      <c r="N11" s="268"/>
      <c r="O11" s="254">
        <v>0.5749655122340811</v>
      </c>
      <c r="P11" s="268"/>
      <c r="Q11" s="168"/>
      <c r="R11" s="56" t="s">
        <v>82</v>
      </c>
    </row>
    <row r="12" spans="1:19" s="55" customFormat="1" ht="18" customHeight="1">
      <c r="A12" s="468" t="s">
        <v>86</v>
      </c>
      <c r="B12" s="469"/>
      <c r="C12" s="469"/>
      <c r="D12" s="470"/>
      <c r="E12" s="111">
        <v>2657</v>
      </c>
      <c r="F12" s="258"/>
      <c r="G12" s="111">
        <v>2481</v>
      </c>
      <c r="H12" s="258"/>
      <c r="I12" s="111">
        <v>177</v>
      </c>
      <c r="J12" s="258"/>
      <c r="K12" s="254">
        <v>0.8</v>
      </c>
      <c r="L12" s="267"/>
      <c r="M12" s="254">
        <v>1.4</v>
      </c>
      <c r="N12" s="268"/>
      <c r="O12" s="254">
        <v>0.1</v>
      </c>
      <c r="P12" s="268"/>
      <c r="Q12" s="168"/>
      <c r="R12" s="56" t="s">
        <v>83</v>
      </c>
    </row>
    <row r="13" spans="1:19" s="55" customFormat="1" ht="18" customHeight="1">
      <c r="A13" s="468" t="s">
        <v>87</v>
      </c>
      <c r="B13" s="469"/>
      <c r="C13" s="469"/>
      <c r="D13" s="470"/>
      <c r="E13" s="111">
        <v>3674</v>
      </c>
      <c r="F13" s="258"/>
      <c r="G13" s="111">
        <v>255</v>
      </c>
      <c r="H13" s="258"/>
      <c r="I13" s="111">
        <v>1120</v>
      </c>
      <c r="J13" s="258"/>
      <c r="K13" s="254">
        <v>1.1000000000000001</v>
      </c>
      <c r="L13" s="267"/>
      <c r="M13" s="254">
        <v>1.5</v>
      </c>
      <c r="N13" s="268"/>
      <c r="O13" s="254">
        <v>0.7</v>
      </c>
      <c r="P13" s="268"/>
      <c r="Q13" s="168"/>
      <c r="R13" s="56" t="s">
        <v>84</v>
      </c>
    </row>
    <row r="14" spans="1:19" s="55" customFormat="1" ht="18" customHeight="1">
      <c r="A14" s="468" t="s">
        <v>88</v>
      </c>
      <c r="B14" s="469"/>
      <c r="C14" s="469"/>
      <c r="D14" s="470"/>
      <c r="E14" s="111">
        <v>3048</v>
      </c>
      <c r="F14" s="258"/>
      <c r="G14" s="111">
        <v>2045</v>
      </c>
      <c r="H14" s="258"/>
      <c r="I14" s="111">
        <v>1002</v>
      </c>
      <c r="J14" s="258"/>
      <c r="K14" s="254">
        <v>1</v>
      </c>
      <c r="L14" s="267"/>
      <c r="M14" s="254">
        <v>1.2</v>
      </c>
      <c r="N14" s="268"/>
      <c r="O14" s="254">
        <v>0.7</v>
      </c>
      <c r="P14" s="268"/>
      <c r="Q14" s="168"/>
      <c r="R14" s="56" t="s">
        <v>85</v>
      </c>
      <c r="S14" s="56"/>
    </row>
    <row r="15" spans="1:19" s="55" customFormat="1" ht="4.5" customHeight="1">
      <c r="A15" s="473"/>
      <c r="B15" s="473"/>
      <c r="C15" s="473"/>
      <c r="D15" s="473"/>
      <c r="E15" s="111"/>
      <c r="F15" s="258"/>
      <c r="G15" s="111"/>
      <c r="H15" s="258"/>
      <c r="I15" s="111"/>
      <c r="J15" s="258"/>
      <c r="K15" s="112"/>
      <c r="L15" s="260"/>
      <c r="M15" s="254"/>
      <c r="N15" s="268"/>
      <c r="O15" s="254"/>
      <c r="P15" s="268"/>
      <c r="Q15" s="168"/>
      <c r="R15" s="56"/>
      <c r="S15" s="56"/>
    </row>
    <row r="16" spans="1:19" s="55" customFormat="1" ht="20.25" customHeight="1">
      <c r="A16" s="468">
        <v>2558</v>
      </c>
      <c r="B16" s="469"/>
      <c r="C16" s="469"/>
      <c r="D16" s="470"/>
      <c r="E16" s="111"/>
      <c r="F16" s="258"/>
      <c r="G16" s="111"/>
      <c r="H16" s="258"/>
      <c r="I16" s="111"/>
      <c r="J16" s="258"/>
      <c r="K16" s="112"/>
      <c r="L16" s="260"/>
      <c r="M16" s="254"/>
      <c r="N16" s="268"/>
      <c r="O16" s="254"/>
      <c r="P16" s="268"/>
      <c r="Q16" s="471" t="s">
        <v>327</v>
      </c>
      <c r="R16" s="472"/>
      <c r="S16" s="56"/>
    </row>
    <row r="17" spans="1:19" s="55" customFormat="1" ht="18" customHeight="1">
      <c r="A17" s="468" t="s">
        <v>89</v>
      </c>
      <c r="B17" s="469"/>
      <c r="C17" s="469"/>
      <c r="D17" s="470"/>
      <c r="E17" s="111">
        <v>5312.92</v>
      </c>
      <c r="F17" s="258"/>
      <c r="G17" s="111">
        <v>2626.52</v>
      </c>
      <c r="H17" s="258"/>
      <c r="I17" s="111">
        <v>2686.39</v>
      </c>
      <c r="J17" s="258"/>
      <c r="K17" s="254">
        <v>1.7530397368256074</v>
      </c>
      <c r="L17" s="267"/>
      <c r="M17" s="254">
        <v>1.6143430506641101</v>
      </c>
      <c r="N17" s="268"/>
      <c r="O17" s="254">
        <v>1.91379212082354</v>
      </c>
      <c r="P17" s="268"/>
      <c r="Q17" s="168"/>
      <c r="R17" s="56" t="s">
        <v>82</v>
      </c>
      <c r="S17" s="56"/>
    </row>
    <row r="18" spans="1:19" s="55" customFormat="1" ht="18" customHeight="1">
      <c r="A18" s="468" t="s">
        <v>86</v>
      </c>
      <c r="B18" s="469"/>
      <c r="C18" s="469"/>
      <c r="D18" s="470"/>
      <c r="E18" s="111">
        <v>2783.3</v>
      </c>
      <c r="F18" s="258"/>
      <c r="G18" s="111">
        <v>1579.62</v>
      </c>
      <c r="H18" s="258"/>
      <c r="I18" s="111">
        <v>1203.68</v>
      </c>
      <c r="J18" s="258"/>
      <c r="K18" s="254">
        <v>0.88691534583739629</v>
      </c>
      <c r="L18" s="267"/>
      <c r="M18" s="254">
        <v>0.94449460372507399</v>
      </c>
      <c r="N18" s="268"/>
      <c r="O18" s="254">
        <v>0.82120976435111281</v>
      </c>
      <c r="P18" s="268"/>
      <c r="Q18" s="168"/>
      <c r="R18" s="56" t="s">
        <v>83</v>
      </c>
      <c r="S18" s="56"/>
    </row>
    <row r="19" spans="1:19" s="55" customFormat="1" ht="18" customHeight="1">
      <c r="A19" s="468" t="s">
        <v>87</v>
      </c>
      <c r="B19" s="469"/>
      <c r="C19" s="469"/>
      <c r="D19" s="470"/>
      <c r="E19" s="111">
        <v>1850.56</v>
      </c>
      <c r="F19" s="258"/>
      <c r="G19" s="111">
        <v>1786.53</v>
      </c>
      <c r="H19" s="258"/>
      <c r="I19" s="111">
        <v>64.03</v>
      </c>
      <c r="J19" s="258"/>
      <c r="K19" s="254">
        <v>0.5927881119485936</v>
      </c>
      <c r="L19" s="267"/>
      <c r="M19" s="254">
        <v>1.0827913911499276</v>
      </c>
      <c r="N19" s="268"/>
      <c r="O19" s="254">
        <v>4.3502778796896402E-2</v>
      </c>
      <c r="P19" s="268"/>
      <c r="Q19" s="168"/>
      <c r="R19" s="56" t="s">
        <v>84</v>
      </c>
      <c r="S19" s="56"/>
    </row>
    <row r="20" spans="1:19" s="55" customFormat="1" ht="18" customHeight="1">
      <c r="A20" s="468" t="s">
        <v>90</v>
      </c>
      <c r="B20" s="469"/>
      <c r="C20" s="469"/>
      <c r="D20" s="470"/>
      <c r="E20" s="111">
        <v>1152.8699999999999</v>
      </c>
      <c r="F20" s="258"/>
      <c r="G20" s="111">
        <v>1061.6300000000001</v>
      </c>
      <c r="H20" s="258"/>
      <c r="I20" s="111">
        <v>91.24</v>
      </c>
      <c r="J20" s="258"/>
      <c r="K20" s="254">
        <v>0.38095411182743111</v>
      </c>
      <c r="L20" s="267"/>
      <c r="M20" s="254">
        <v>0.64227160254820237</v>
      </c>
      <c r="N20" s="268"/>
      <c r="O20" s="254">
        <v>6.6436570696258745E-2</v>
      </c>
      <c r="P20" s="268"/>
      <c r="Q20" s="168"/>
      <c r="R20" s="56" t="s">
        <v>85</v>
      </c>
      <c r="S20" s="56"/>
    </row>
    <row r="21" spans="1:19" s="55" customFormat="1" ht="4.5" customHeight="1">
      <c r="A21" s="255"/>
      <c r="B21" s="255"/>
      <c r="C21" s="255"/>
      <c r="D21" s="255"/>
      <c r="E21" s="111"/>
      <c r="F21" s="258"/>
      <c r="G21" s="111"/>
      <c r="H21" s="258"/>
      <c r="I21" s="111"/>
      <c r="J21" s="259"/>
      <c r="K21" s="254"/>
      <c r="L21" s="267"/>
      <c r="M21" s="254"/>
      <c r="N21" s="268"/>
      <c r="O21" s="254"/>
      <c r="P21" s="268"/>
      <c r="Q21" s="168"/>
      <c r="R21" s="56"/>
      <c r="S21" s="56"/>
    </row>
    <row r="22" spans="1:19" s="55" customFormat="1" ht="18.75" customHeight="1">
      <c r="A22" s="468">
        <v>2559</v>
      </c>
      <c r="B22" s="469"/>
      <c r="C22" s="469"/>
      <c r="D22" s="469"/>
      <c r="E22" s="111"/>
      <c r="F22" s="327"/>
      <c r="G22" s="111"/>
      <c r="H22" s="327"/>
      <c r="I22" s="111"/>
      <c r="J22" s="260"/>
      <c r="K22" s="112"/>
      <c r="L22" s="260"/>
      <c r="M22" s="112"/>
      <c r="N22" s="260"/>
      <c r="O22" s="112"/>
      <c r="P22" s="259"/>
      <c r="Q22" s="471" t="s">
        <v>328</v>
      </c>
      <c r="R22" s="472"/>
      <c r="S22" s="56"/>
    </row>
    <row r="23" spans="1:19" s="55" customFormat="1" ht="18" customHeight="1">
      <c r="A23" s="468" t="s">
        <v>81</v>
      </c>
      <c r="B23" s="469"/>
      <c r="C23" s="469"/>
      <c r="D23" s="470"/>
      <c r="E23" s="111">
        <v>5312.92</v>
      </c>
      <c r="F23" s="258"/>
      <c r="G23" s="111">
        <v>2626.52</v>
      </c>
      <c r="H23" s="258"/>
      <c r="I23" s="111">
        <v>2686.39</v>
      </c>
      <c r="J23" s="261"/>
      <c r="K23" s="254">
        <v>1.7804214364226201</v>
      </c>
      <c r="L23" s="267"/>
      <c r="M23" s="254">
        <v>1.63783868051009</v>
      </c>
      <c r="N23" s="268"/>
      <c r="O23" s="254">
        <v>1.9460530414436099</v>
      </c>
      <c r="P23" s="268"/>
      <c r="Q23" s="168"/>
      <c r="R23" s="56" t="s">
        <v>82</v>
      </c>
    </row>
    <row r="24" spans="1:19" s="55" customFormat="1" ht="18" customHeight="1">
      <c r="A24" s="468" t="s">
        <v>86</v>
      </c>
      <c r="B24" s="469"/>
      <c r="C24" s="469"/>
      <c r="D24" s="470"/>
      <c r="E24" s="111">
        <v>5875</v>
      </c>
      <c r="F24" s="327"/>
      <c r="G24" s="111">
        <v>2603</v>
      </c>
      <c r="H24" s="258"/>
      <c r="I24" s="111">
        <v>3272</v>
      </c>
      <c r="J24" s="262"/>
      <c r="K24" s="254">
        <f>(E24/G43)*100</f>
        <v>1.9321081849035755</v>
      </c>
      <c r="L24" s="267"/>
      <c r="M24" s="254">
        <f>(G24/I43)*100</f>
        <v>1.6026055423185142</v>
      </c>
      <c r="N24" s="268"/>
      <c r="O24" s="254">
        <f>(I24/K43)*100</f>
        <v>2.3099188139781153</v>
      </c>
      <c r="P24" s="268"/>
      <c r="Q24" s="168"/>
      <c r="R24" s="56" t="s">
        <v>83</v>
      </c>
    </row>
    <row r="25" spans="1:19" s="55" customFormat="1" ht="18" customHeight="1">
      <c r="A25" s="468" t="s">
        <v>87</v>
      </c>
      <c r="B25" s="469"/>
      <c r="C25" s="469"/>
      <c r="D25" s="470"/>
      <c r="E25" s="111">
        <v>6188</v>
      </c>
      <c r="F25" s="327"/>
      <c r="G25" s="111">
        <v>3990</v>
      </c>
      <c r="H25" s="258"/>
      <c r="I25" s="111">
        <v>2198</v>
      </c>
      <c r="J25" s="262"/>
      <c r="K25" s="254">
        <f>(E25/G45)*100</f>
        <v>1.9782924918876579</v>
      </c>
      <c r="L25" s="267"/>
      <c r="M25" s="254">
        <f>(G25/I45)*100</f>
        <v>2.3609048360088281</v>
      </c>
      <c r="N25" s="268"/>
      <c r="O25" s="254">
        <v>1.53</v>
      </c>
      <c r="P25" s="268"/>
      <c r="Q25" s="168"/>
      <c r="R25" s="56" t="s">
        <v>84</v>
      </c>
    </row>
    <row r="26" spans="1:19" s="55" customFormat="1" ht="18" customHeight="1">
      <c r="A26" s="468" t="s">
        <v>88</v>
      </c>
      <c r="B26" s="469"/>
      <c r="C26" s="469"/>
      <c r="D26" s="470"/>
      <c r="E26" s="328">
        <v>5111</v>
      </c>
      <c r="F26" s="327"/>
      <c r="G26" s="329">
        <v>3538.7</v>
      </c>
      <c r="H26" s="258"/>
      <c r="I26" s="328">
        <v>1571</v>
      </c>
      <c r="J26" s="260"/>
      <c r="K26" s="254">
        <v>1.71</v>
      </c>
      <c r="L26" s="260"/>
      <c r="M26" s="112">
        <v>2.21</v>
      </c>
      <c r="N26" s="259"/>
      <c r="O26" s="112">
        <v>1.1399999999999999</v>
      </c>
      <c r="P26" s="259"/>
      <c r="Q26" s="168"/>
      <c r="R26" s="56" t="s">
        <v>85</v>
      </c>
    </row>
    <row r="27" spans="1:19" s="162" customFormat="1" ht="19.5" customHeight="1">
      <c r="A27" s="472">
        <v>2560</v>
      </c>
      <c r="B27" s="472"/>
      <c r="C27" s="472"/>
      <c r="D27" s="472"/>
      <c r="E27" s="330"/>
      <c r="F27" s="331"/>
      <c r="G27" s="330"/>
      <c r="H27" s="332"/>
      <c r="I27" s="330"/>
      <c r="J27" s="263"/>
      <c r="K27" s="256"/>
      <c r="L27" s="263"/>
      <c r="M27" s="256"/>
      <c r="N27" s="266"/>
      <c r="O27" s="256"/>
      <c r="P27" s="266"/>
      <c r="Q27" s="257" t="s">
        <v>329</v>
      </c>
      <c r="R27" s="255"/>
    </row>
    <row r="28" spans="1:19" s="55" customFormat="1" ht="18.75" customHeight="1">
      <c r="A28" s="468" t="s">
        <v>81</v>
      </c>
      <c r="B28" s="469"/>
      <c r="C28" s="469"/>
      <c r="D28" s="470"/>
      <c r="E28" s="333">
        <v>8017</v>
      </c>
      <c r="F28" s="334"/>
      <c r="G28" s="333">
        <v>5143</v>
      </c>
      <c r="H28" s="335"/>
      <c r="I28" s="333">
        <v>2874</v>
      </c>
      <c r="J28" s="264"/>
      <c r="K28" s="112">
        <v>2.69</v>
      </c>
      <c r="L28" s="260"/>
      <c r="M28" s="112">
        <v>3.22</v>
      </c>
      <c r="N28" s="259"/>
      <c r="O28" s="112">
        <v>2.09</v>
      </c>
      <c r="P28" s="259"/>
      <c r="Q28" s="168"/>
      <c r="R28" s="56" t="s">
        <v>82</v>
      </c>
      <c r="S28" s="56"/>
    </row>
    <row r="29" spans="1:19" s="10" customFormat="1" ht="3" customHeight="1">
      <c r="A29" s="50"/>
      <c r="B29" s="50"/>
      <c r="C29" s="50"/>
      <c r="D29" s="50"/>
      <c r="E29" s="253"/>
      <c r="F29" s="265"/>
      <c r="G29" s="253"/>
      <c r="H29" s="265"/>
      <c r="I29" s="253"/>
      <c r="J29" s="265"/>
      <c r="K29" s="253"/>
      <c r="L29" s="265"/>
      <c r="M29" s="253"/>
      <c r="N29" s="269"/>
      <c r="O29" s="253"/>
      <c r="P29" s="269"/>
      <c r="Q29" s="51"/>
      <c r="R29" s="52"/>
      <c r="S29" s="44"/>
    </row>
    <row r="30" spans="1:19" s="10" customFormat="1" ht="3" customHeight="1">
      <c r="A30" s="48"/>
      <c r="B30" s="48"/>
      <c r="C30" s="48"/>
      <c r="D30" s="48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4"/>
      <c r="S30" s="44"/>
    </row>
    <row r="31" spans="1:19" s="53" customFormat="1" ht="17.25" customHeight="1">
      <c r="B31" s="53" t="s">
        <v>69</v>
      </c>
      <c r="C31" s="53" t="s">
        <v>181</v>
      </c>
      <c r="R31" s="54"/>
      <c r="S31" s="54"/>
    </row>
    <row r="32" spans="1:19" s="55" customFormat="1" ht="17.25" customHeight="1">
      <c r="B32" s="53" t="s">
        <v>192</v>
      </c>
      <c r="C32" s="53" t="s">
        <v>182</v>
      </c>
      <c r="R32" s="56"/>
      <c r="S32" s="56"/>
    </row>
    <row r="33" spans="2:18" s="53" customFormat="1" ht="17.25" customHeight="1">
      <c r="B33" s="57" t="s">
        <v>62</v>
      </c>
      <c r="C33" s="58" t="s">
        <v>269</v>
      </c>
    </row>
    <row r="34" spans="2:18" s="55" customFormat="1" ht="17.25" customHeight="1">
      <c r="B34" s="57" t="s">
        <v>63</v>
      </c>
      <c r="C34" s="58" t="s">
        <v>270</v>
      </c>
    </row>
    <row r="35" spans="2:18" s="10" customFormat="1" ht="18.600000000000001" customHeight="1">
      <c r="R35" s="44"/>
    </row>
    <row r="36" spans="2:18" s="10" customFormat="1" ht="18.600000000000001" customHeight="1">
      <c r="R36" s="44"/>
    </row>
    <row r="37" spans="2:18" s="10" customFormat="1" ht="18.600000000000001" customHeight="1">
      <c r="Q37" s="10">
        <f>(M25+O25)/2</f>
        <v>1.9454524180044142</v>
      </c>
      <c r="R37" s="44"/>
    </row>
    <row r="41" spans="2:18" ht="18.600000000000001" customHeight="1">
      <c r="G41" s="252" t="s">
        <v>1</v>
      </c>
      <c r="H41" s="252"/>
      <c r="I41" s="252" t="s">
        <v>2</v>
      </c>
      <c r="J41" s="252"/>
      <c r="K41" s="252" t="s">
        <v>3</v>
      </c>
      <c r="L41" s="252"/>
    </row>
    <row r="43" spans="2:18" ht="18.600000000000001" customHeight="1">
      <c r="E43" s="6" t="s">
        <v>324</v>
      </c>
      <c r="G43" s="221">
        <v>304072</v>
      </c>
      <c r="H43" s="221"/>
      <c r="I43" s="222">
        <v>162423</v>
      </c>
      <c r="J43" s="222"/>
      <c r="K43" s="222">
        <v>141650</v>
      </c>
      <c r="L43" s="222"/>
    </row>
    <row r="44" spans="2:18" ht="18.600000000000001" customHeight="1">
      <c r="G44" s="221"/>
      <c r="H44" s="221"/>
      <c r="I44" s="222"/>
      <c r="J44" s="222"/>
      <c r="K44" s="222"/>
      <c r="L44" s="222"/>
    </row>
    <row r="45" spans="2:18" ht="18.600000000000001" customHeight="1">
      <c r="E45" s="6" t="s">
        <v>325</v>
      </c>
      <c r="G45" s="221">
        <v>312795</v>
      </c>
      <c r="H45" s="221"/>
      <c r="I45" s="222">
        <v>169003</v>
      </c>
      <c r="J45" s="222"/>
      <c r="K45" s="222">
        <v>173792</v>
      </c>
      <c r="L45" s="222"/>
    </row>
  </sheetData>
  <mergeCells count="40">
    <mergeCell ref="K4:P4"/>
    <mergeCell ref="K5:P5"/>
    <mergeCell ref="O6:P6"/>
    <mergeCell ref="O7:P7"/>
    <mergeCell ref="E5:J5"/>
    <mergeCell ref="I7:J7"/>
    <mergeCell ref="K6:L6"/>
    <mergeCell ref="K7:L7"/>
    <mergeCell ref="M6:N6"/>
    <mergeCell ref="M7:N7"/>
    <mergeCell ref="A14:D14"/>
    <mergeCell ref="A16:D16"/>
    <mergeCell ref="A10:D10"/>
    <mergeCell ref="Q4:R7"/>
    <mergeCell ref="A4:D7"/>
    <mergeCell ref="A11:D11"/>
    <mergeCell ref="A9:D9"/>
    <mergeCell ref="Q10:R10"/>
    <mergeCell ref="A12:D12"/>
    <mergeCell ref="A13:D13"/>
    <mergeCell ref="E6:F6"/>
    <mergeCell ref="E7:F7"/>
    <mergeCell ref="G6:H6"/>
    <mergeCell ref="G7:H7"/>
    <mergeCell ref="I6:J6"/>
    <mergeCell ref="E4:J4"/>
    <mergeCell ref="A17:D17"/>
    <mergeCell ref="A18:D18"/>
    <mergeCell ref="Q16:R16"/>
    <mergeCell ref="A15:D15"/>
    <mergeCell ref="A28:D28"/>
    <mergeCell ref="Q22:R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AE33"/>
  <sheetViews>
    <sheetView showGridLines="0" tabSelected="1" workbookViewId="0">
      <selection activeCell="X20" sqref="X20"/>
    </sheetView>
  </sheetViews>
  <sheetFormatPr defaultColWidth="9.140625" defaultRowHeight="15.75"/>
  <cols>
    <col min="1" max="1" width="1.42578125" style="10" customWidth="1"/>
    <col min="2" max="2" width="5.85546875" style="10" customWidth="1"/>
    <col min="3" max="3" width="4.140625" style="10" customWidth="1"/>
    <col min="4" max="4" width="3.85546875" style="10" customWidth="1"/>
    <col min="5" max="5" width="2.140625" style="10" customWidth="1"/>
    <col min="6" max="6" width="6.7109375" style="10" customWidth="1"/>
    <col min="7" max="7" width="1.7109375" style="10" customWidth="1"/>
    <col min="8" max="8" width="6.7109375" style="10" customWidth="1"/>
    <col min="9" max="9" width="1.7109375" style="10" customWidth="1"/>
    <col min="10" max="10" width="6.7109375" style="10" customWidth="1"/>
    <col min="11" max="11" width="1.7109375" style="10" customWidth="1"/>
    <col min="12" max="12" width="6.7109375" style="10" customWidth="1"/>
    <col min="13" max="13" width="1.7109375" style="10" customWidth="1"/>
    <col min="14" max="14" width="6.7109375" style="10" customWidth="1"/>
    <col min="15" max="15" width="1.7109375" style="10" customWidth="1"/>
    <col min="16" max="16" width="6.7109375" style="10" customWidth="1"/>
    <col min="17" max="17" width="1.7109375" style="10" customWidth="1"/>
    <col min="18" max="18" width="6.7109375" style="10" customWidth="1"/>
    <col min="19" max="19" width="1.7109375" style="10" customWidth="1"/>
    <col min="20" max="20" width="6.7109375" style="10" customWidth="1"/>
    <col min="21" max="21" width="1.7109375" style="10" customWidth="1"/>
    <col min="22" max="22" width="6.7109375" style="10" customWidth="1"/>
    <col min="23" max="23" width="1.7109375" style="10" customWidth="1"/>
    <col min="24" max="24" width="6.7109375" style="10" customWidth="1"/>
    <col min="25" max="25" width="1.7109375" style="10" customWidth="1"/>
    <col min="26" max="26" width="6.7109375" style="10" customWidth="1"/>
    <col min="27" max="27" width="1.7109375" style="10" customWidth="1"/>
    <col min="28" max="28" width="6.7109375" style="10" customWidth="1"/>
    <col min="29" max="29" width="1.7109375" style="10" customWidth="1"/>
    <col min="30" max="30" width="1.42578125" style="10" customWidth="1"/>
    <col min="31" max="31" width="16.5703125" style="10" customWidth="1"/>
    <col min="32" max="32" width="2.28515625" style="10" customWidth="1"/>
    <col min="33" max="33" width="4.140625" style="10" customWidth="1"/>
    <col min="34" max="16384" width="9.140625" style="10"/>
  </cols>
  <sheetData>
    <row r="1" spans="1:31" s="1" customFormat="1" ht="18.75">
      <c r="B1" s="1" t="s">
        <v>0</v>
      </c>
      <c r="C1" s="12">
        <v>2.9</v>
      </c>
      <c r="D1" s="1" t="s">
        <v>330</v>
      </c>
    </row>
    <row r="2" spans="1:31" s="3" customFormat="1" ht="18.75">
      <c r="B2" s="1" t="s">
        <v>186</v>
      </c>
      <c r="C2" s="12">
        <v>2.9</v>
      </c>
      <c r="D2" s="1" t="s">
        <v>356</v>
      </c>
      <c r="E2" s="1"/>
    </row>
    <row r="3" spans="1:31" s="6" customFormat="1" ht="16.5" customHeight="1">
      <c r="A3" s="5"/>
      <c r="B3" s="5"/>
      <c r="C3" s="5"/>
      <c r="D3" s="5"/>
      <c r="E3" s="5"/>
      <c r="F3" s="5"/>
      <c r="G3" s="5"/>
      <c r="AE3" s="13" t="s">
        <v>145</v>
      </c>
    </row>
    <row r="4" spans="1:31" s="17" customFormat="1" ht="19.5" customHeight="1">
      <c r="A4" s="14"/>
      <c r="B4" s="14"/>
      <c r="C4" s="14"/>
      <c r="D4" s="14"/>
      <c r="E4" s="14"/>
      <c r="F4" s="479" t="s">
        <v>331</v>
      </c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1"/>
      <c r="R4" s="435" t="s">
        <v>332</v>
      </c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7"/>
      <c r="AD4" s="15"/>
      <c r="AE4" s="16"/>
    </row>
    <row r="5" spans="1:31" s="17" customFormat="1">
      <c r="A5" s="483" t="s">
        <v>96</v>
      </c>
      <c r="B5" s="483"/>
      <c r="C5" s="483"/>
      <c r="D5" s="483"/>
      <c r="E5" s="483"/>
      <c r="F5" s="412">
        <v>2556</v>
      </c>
      <c r="G5" s="413"/>
      <c r="H5" s="413"/>
      <c r="I5" s="423"/>
      <c r="J5" s="412">
        <v>2557</v>
      </c>
      <c r="K5" s="423"/>
      <c r="L5" s="412">
        <v>2558</v>
      </c>
      <c r="M5" s="413"/>
      <c r="N5" s="412">
        <v>2559</v>
      </c>
      <c r="O5" s="423"/>
      <c r="P5" s="412">
        <v>2560</v>
      </c>
      <c r="Q5" s="423"/>
      <c r="R5" s="375">
        <v>2556</v>
      </c>
      <c r="S5" s="388"/>
      <c r="T5" s="388"/>
      <c r="U5" s="388"/>
      <c r="V5" s="375">
        <v>2557</v>
      </c>
      <c r="W5" s="376"/>
      <c r="X5" s="375">
        <v>2558</v>
      </c>
      <c r="Y5" s="376"/>
      <c r="Z5" s="412">
        <v>2559</v>
      </c>
      <c r="AA5" s="423"/>
      <c r="AB5" s="412">
        <v>2560</v>
      </c>
      <c r="AC5" s="423"/>
      <c r="AD5" s="18"/>
      <c r="AE5" s="482" t="s">
        <v>101</v>
      </c>
    </row>
    <row r="6" spans="1:31" s="17" customFormat="1" ht="12" customHeight="1">
      <c r="A6" s="483"/>
      <c r="B6" s="483"/>
      <c r="C6" s="483"/>
      <c r="D6" s="483"/>
      <c r="E6" s="483"/>
      <c r="F6" s="478" t="s">
        <v>184</v>
      </c>
      <c r="G6" s="484"/>
      <c r="H6" s="484"/>
      <c r="I6" s="477"/>
      <c r="J6" s="478" t="s">
        <v>271</v>
      </c>
      <c r="K6" s="477"/>
      <c r="L6" s="478" t="s">
        <v>272</v>
      </c>
      <c r="M6" s="484"/>
      <c r="N6" s="478" t="s">
        <v>273</v>
      </c>
      <c r="O6" s="477"/>
      <c r="P6" s="371" t="s">
        <v>357</v>
      </c>
      <c r="Q6" s="477"/>
      <c r="R6" s="478" t="s">
        <v>184</v>
      </c>
      <c r="S6" s="484"/>
      <c r="T6" s="484"/>
      <c r="U6" s="484"/>
      <c r="V6" s="478" t="s">
        <v>271</v>
      </c>
      <c r="W6" s="477"/>
      <c r="X6" s="478" t="s">
        <v>272</v>
      </c>
      <c r="Y6" s="477"/>
      <c r="Z6" s="478" t="s">
        <v>273</v>
      </c>
      <c r="AA6" s="477"/>
      <c r="AB6" s="478" t="s">
        <v>358</v>
      </c>
      <c r="AC6" s="477"/>
      <c r="AD6" s="18"/>
      <c r="AE6" s="482"/>
    </row>
    <row r="7" spans="1:31" s="17" customFormat="1" ht="18" customHeight="1">
      <c r="A7" s="482"/>
      <c r="B7" s="482"/>
      <c r="C7" s="482"/>
      <c r="D7" s="482"/>
      <c r="E7" s="482"/>
      <c r="F7" s="412" t="s">
        <v>98</v>
      </c>
      <c r="G7" s="423"/>
      <c r="H7" s="412" t="s">
        <v>143</v>
      </c>
      <c r="I7" s="423"/>
      <c r="J7" s="412" t="s">
        <v>98</v>
      </c>
      <c r="K7" s="423"/>
      <c r="L7" s="412" t="s">
        <v>97</v>
      </c>
      <c r="M7" s="423"/>
      <c r="N7" s="412" t="s">
        <v>333</v>
      </c>
      <c r="O7" s="423"/>
      <c r="P7" s="412" t="s">
        <v>359</v>
      </c>
      <c r="Q7" s="423"/>
      <c r="R7" s="412" t="s">
        <v>98</v>
      </c>
      <c r="S7" s="423"/>
      <c r="T7" s="412" t="s">
        <v>143</v>
      </c>
      <c r="U7" s="423"/>
      <c r="V7" s="412" t="s">
        <v>98</v>
      </c>
      <c r="W7" s="423"/>
      <c r="X7" s="412" t="s">
        <v>97</v>
      </c>
      <c r="Y7" s="423"/>
      <c r="Z7" s="412" t="s">
        <v>333</v>
      </c>
      <c r="AA7" s="423"/>
      <c r="AB7" s="412" t="s">
        <v>359</v>
      </c>
      <c r="AC7" s="423"/>
      <c r="AD7" s="18"/>
      <c r="AE7" s="482"/>
    </row>
    <row r="8" spans="1:31" s="17" customFormat="1" ht="14.25" customHeight="1">
      <c r="A8" s="19"/>
      <c r="B8" s="19"/>
      <c r="C8" s="20"/>
      <c r="D8" s="20"/>
      <c r="E8" s="20"/>
      <c r="F8" s="371" t="s">
        <v>100</v>
      </c>
      <c r="G8" s="372"/>
      <c r="H8" s="371" t="s">
        <v>144</v>
      </c>
      <c r="I8" s="372"/>
      <c r="J8" s="371" t="s">
        <v>100</v>
      </c>
      <c r="K8" s="372"/>
      <c r="L8" s="371" t="s">
        <v>99</v>
      </c>
      <c r="M8" s="372"/>
      <c r="N8" s="371" t="s">
        <v>334</v>
      </c>
      <c r="O8" s="372"/>
      <c r="P8" s="371" t="s">
        <v>99</v>
      </c>
      <c r="Q8" s="372"/>
      <c r="R8" s="371" t="s">
        <v>100</v>
      </c>
      <c r="S8" s="372"/>
      <c r="T8" s="371" t="s">
        <v>144</v>
      </c>
      <c r="U8" s="372"/>
      <c r="V8" s="371" t="s">
        <v>100</v>
      </c>
      <c r="W8" s="372"/>
      <c r="X8" s="371" t="s">
        <v>99</v>
      </c>
      <c r="Y8" s="372"/>
      <c r="Z8" s="371" t="s">
        <v>334</v>
      </c>
      <c r="AA8" s="372"/>
      <c r="AB8" s="371" t="s">
        <v>99</v>
      </c>
      <c r="AC8" s="372"/>
      <c r="AD8" s="21"/>
      <c r="AE8" s="22"/>
    </row>
    <row r="9" spans="1:31" s="300" customFormat="1" ht="20.25" customHeight="1">
      <c r="B9" s="300" t="s">
        <v>274</v>
      </c>
      <c r="C9" s="301"/>
      <c r="F9" s="302"/>
      <c r="G9" s="303"/>
      <c r="H9" s="302"/>
      <c r="I9" s="303"/>
      <c r="J9" s="302"/>
      <c r="K9" s="303"/>
      <c r="L9" s="302"/>
      <c r="M9" s="303"/>
      <c r="N9" s="302"/>
      <c r="O9" s="303"/>
      <c r="P9" s="304"/>
      <c r="Q9" s="304"/>
      <c r="R9" s="305"/>
      <c r="T9" s="302"/>
      <c r="U9" s="304"/>
      <c r="V9" s="306"/>
      <c r="W9" s="307"/>
      <c r="X9" s="302"/>
      <c r="Y9" s="303"/>
      <c r="Z9" s="302"/>
      <c r="AA9" s="303"/>
      <c r="AB9" s="302"/>
      <c r="AC9" s="303"/>
      <c r="AD9" s="308" t="s">
        <v>298</v>
      </c>
    </row>
    <row r="10" spans="1:31" s="24" customFormat="1" ht="15" customHeight="1">
      <c r="A10" s="23"/>
      <c r="B10" s="54" t="s">
        <v>275</v>
      </c>
      <c r="C10" s="23"/>
      <c r="F10" s="114">
        <v>300</v>
      </c>
      <c r="G10" s="174"/>
      <c r="H10" s="114">
        <v>300</v>
      </c>
      <c r="I10" s="174"/>
      <c r="J10" s="114">
        <v>300</v>
      </c>
      <c r="K10" s="174"/>
      <c r="L10" s="114">
        <v>300</v>
      </c>
      <c r="M10" s="174"/>
      <c r="N10" s="114">
        <v>300</v>
      </c>
      <c r="O10" s="309"/>
      <c r="P10" s="310">
        <v>308</v>
      </c>
      <c r="Q10" s="311"/>
      <c r="R10" s="312">
        <v>17.647058823529399</v>
      </c>
      <c r="S10" s="313"/>
      <c r="T10" s="310" t="s">
        <v>297</v>
      </c>
      <c r="U10" s="311"/>
      <c r="V10" s="312">
        <v>0</v>
      </c>
      <c r="W10" s="307"/>
      <c r="X10" s="310">
        <v>0</v>
      </c>
      <c r="Y10" s="309"/>
      <c r="Z10" s="312">
        <f t="shared" ref="Z10:Z29" si="0">((L10-J10)/J10)*100</f>
        <v>0</v>
      </c>
      <c r="AA10" s="313"/>
      <c r="AB10" s="312">
        <f>((P10-N10)/N10)*100</f>
        <v>2.666666666666667</v>
      </c>
      <c r="AC10" s="272"/>
      <c r="AD10" s="25"/>
      <c r="AE10" s="90" t="s">
        <v>299</v>
      </c>
    </row>
    <row r="11" spans="1:31" s="24" customFormat="1" ht="15" customHeight="1">
      <c r="A11" s="23"/>
      <c r="B11" s="54" t="s">
        <v>276</v>
      </c>
      <c r="C11" s="23"/>
      <c r="F11" s="114">
        <v>300</v>
      </c>
      <c r="G11" s="174"/>
      <c r="H11" s="114">
        <v>300</v>
      </c>
      <c r="I11" s="174"/>
      <c r="J11" s="114">
        <v>300</v>
      </c>
      <c r="K11" s="174"/>
      <c r="L11" s="114">
        <v>300</v>
      </c>
      <c r="M11" s="174"/>
      <c r="N11" s="114">
        <v>300</v>
      </c>
      <c r="O11" s="314"/>
      <c r="P11" s="315">
        <v>305</v>
      </c>
      <c r="Q11" s="316"/>
      <c r="R11" s="312">
        <v>29.310344827586203</v>
      </c>
      <c r="S11" s="313"/>
      <c r="T11" s="315" t="s">
        <v>297</v>
      </c>
      <c r="U11" s="316"/>
      <c r="V11" s="312">
        <v>0</v>
      </c>
      <c r="W11" s="307"/>
      <c r="X11" s="315">
        <v>0</v>
      </c>
      <c r="Y11" s="314"/>
      <c r="Z11" s="312">
        <f t="shared" si="0"/>
        <v>0</v>
      </c>
      <c r="AA11" s="313"/>
      <c r="AB11" s="312">
        <f t="shared" ref="AB11:AB29" si="1">((P11-N11)/N11)*100</f>
        <v>1.6666666666666667</v>
      </c>
      <c r="AC11" s="272"/>
      <c r="AD11" s="25"/>
      <c r="AE11" s="90" t="s">
        <v>300</v>
      </c>
    </row>
    <row r="12" spans="1:31" s="24" customFormat="1" ht="15" customHeight="1">
      <c r="B12" s="54" t="s">
        <v>277</v>
      </c>
      <c r="C12" s="23"/>
      <c r="F12" s="114">
        <v>300</v>
      </c>
      <c r="G12" s="174"/>
      <c r="H12" s="114">
        <v>300</v>
      </c>
      <c r="I12" s="174"/>
      <c r="J12" s="114">
        <v>300</v>
      </c>
      <c r="K12" s="174"/>
      <c r="L12" s="114">
        <v>300</v>
      </c>
      <c r="M12" s="174"/>
      <c r="N12" s="114">
        <v>300</v>
      </c>
      <c r="O12" s="309"/>
      <c r="P12" s="310">
        <v>305</v>
      </c>
      <c r="Q12" s="311"/>
      <c r="R12" s="317">
        <v>32.743362831858406</v>
      </c>
      <c r="S12" s="318"/>
      <c r="T12" s="315" t="s">
        <v>297</v>
      </c>
      <c r="U12" s="316"/>
      <c r="V12" s="312">
        <v>0</v>
      </c>
      <c r="W12" s="307"/>
      <c r="X12" s="310">
        <v>0</v>
      </c>
      <c r="Y12" s="309"/>
      <c r="Z12" s="312">
        <f t="shared" si="0"/>
        <v>0</v>
      </c>
      <c r="AA12" s="313"/>
      <c r="AB12" s="312">
        <f t="shared" si="1"/>
        <v>1.6666666666666667</v>
      </c>
      <c r="AC12" s="272"/>
      <c r="AD12" s="25"/>
      <c r="AE12" s="90" t="s">
        <v>301</v>
      </c>
    </row>
    <row r="13" spans="1:31" s="24" customFormat="1" ht="15" customHeight="1">
      <c r="B13" s="54" t="s">
        <v>278</v>
      </c>
      <c r="C13" s="23"/>
      <c r="F13" s="114">
        <v>300</v>
      </c>
      <c r="G13" s="174"/>
      <c r="H13" s="114">
        <v>300</v>
      </c>
      <c r="I13" s="174"/>
      <c r="J13" s="114">
        <v>300</v>
      </c>
      <c r="K13" s="174"/>
      <c r="L13" s="114">
        <v>300</v>
      </c>
      <c r="M13" s="174"/>
      <c r="N13" s="114">
        <v>300</v>
      </c>
      <c r="O13" s="309"/>
      <c r="P13" s="310">
        <v>305</v>
      </c>
      <c r="Q13" s="311"/>
      <c r="R13" s="317">
        <v>32.743362831858406</v>
      </c>
      <c r="S13" s="313"/>
      <c r="T13" s="315" t="s">
        <v>297</v>
      </c>
      <c r="U13" s="316"/>
      <c r="V13" s="312">
        <v>0</v>
      </c>
      <c r="W13" s="307"/>
      <c r="X13" s="310">
        <v>0</v>
      </c>
      <c r="Y13" s="309"/>
      <c r="Z13" s="312">
        <f t="shared" si="0"/>
        <v>0</v>
      </c>
      <c r="AA13" s="313"/>
      <c r="AB13" s="312">
        <f t="shared" si="1"/>
        <v>1.6666666666666667</v>
      </c>
      <c r="AC13" s="272"/>
      <c r="AD13" s="26"/>
      <c r="AE13" s="90" t="s">
        <v>302</v>
      </c>
    </row>
    <row r="14" spans="1:31" s="24" customFormat="1" ht="15" customHeight="1">
      <c r="A14" s="23"/>
      <c r="B14" s="54" t="s">
        <v>279</v>
      </c>
      <c r="C14" s="23"/>
      <c r="F14" s="114">
        <v>300</v>
      </c>
      <c r="G14" s="174"/>
      <c r="H14" s="114">
        <v>300</v>
      </c>
      <c r="I14" s="174"/>
      <c r="J14" s="114">
        <v>300</v>
      </c>
      <c r="K14" s="174"/>
      <c r="L14" s="114">
        <v>300</v>
      </c>
      <c r="M14" s="174"/>
      <c r="N14" s="114">
        <v>300</v>
      </c>
      <c r="O14" s="314"/>
      <c r="P14" s="315">
        <v>305</v>
      </c>
      <c r="Q14" s="316"/>
      <c r="R14" s="317">
        <v>32.743362831858406</v>
      </c>
      <c r="S14" s="313"/>
      <c r="T14" s="315" t="s">
        <v>297</v>
      </c>
      <c r="U14" s="316"/>
      <c r="V14" s="312">
        <v>0</v>
      </c>
      <c r="W14" s="307"/>
      <c r="X14" s="315">
        <v>0</v>
      </c>
      <c r="Y14" s="314"/>
      <c r="Z14" s="312">
        <f t="shared" si="0"/>
        <v>0</v>
      </c>
      <c r="AA14" s="313"/>
      <c r="AB14" s="312">
        <f t="shared" si="1"/>
        <v>1.6666666666666667</v>
      </c>
      <c r="AC14" s="272"/>
      <c r="AD14" s="25"/>
      <c r="AE14" s="90" t="s">
        <v>303</v>
      </c>
    </row>
    <row r="15" spans="1:31" s="24" customFormat="1" ht="15" customHeight="1">
      <c r="A15" s="27"/>
      <c r="B15" s="54" t="s">
        <v>280</v>
      </c>
      <c r="C15" s="27"/>
      <c r="F15" s="114">
        <v>300</v>
      </c>
      <c r="G15" s="174"/>
      <c r="H15" s="114">
        <v>300</v>
      </c>
      <c r="I15" s="174"/>
      <c r="J15" s="114">
        <v>300</v>
      </c>
      <c r="K15" s="174"/>
      <c r="L15" s="114">
        <v>300</v>
      </c>
      <c r="M15" s="174"/>
      <c r="N15" s="114">
        <v>300</v>
      </c>
      <c r="O15" s="314"/>
      <c r="P15" s="315">
        <v>305</v>
      </c>
      <c r="Q15" s="316"/>
      <c r="R15" s="317">
        <v>32.743362831858406</v>
      </c>
      <c r="S15" s="318"/>
      <c r="T15" s="315" t="s">
        <v>297</v>
      </c>
      <c r="U15" s="316"/>
      <c r="V15" s="312">
        <v>0</v>
      </c>
      <c r="W15" s="307"/>
      <c r="X15" s="315">
        <v>0</v>
      </c>
      <c r="Y15" s="314"/>
      <c r="Z15" s="312">
        <f t="shared" si="0"/>
        <v>0</v>
      </c>
      <c r="AA15" s="313"/>
      <c r="AB15" s="312">
        <f t="shared" si="1"/>
        <v>1.6666666666666667</v>
      </c>
      <c r="AC15" s="272"/>
      <c r="AD15" s="28"/>
      <c r="AE15" s="90" t="s">
        <v>304</v>
      </c>
    </row>
    <row r="16" spans="1:31" s="30" customFormat="1" ht="15" customHeight="1">
      <c r="A16" s="29"/>
      <c r="B16" s="54" t="s">
        <v>281</v>
      </c>
      <c r="C16" s="29"/>
      <c r="F16" s="114">
        <v>300</v>
      </c>
      <c r="G16" s="174"/>
      <c r="H16" s="114">
        <v>300</v>
      </c>
      <c r="I16" s="174"/>
      <c r="J16" s="114">
        <v>300</v>
      </c>
      <c r="K16" s="174"/>
      <c r="L16" s="114">
        <v>300</v>
      </c>
      <c r="M16" s="174"/>
      <c r="N16" s="114">
        <v>300</v>
      </c>
      <c r="O16" s="319"/>
      <c r="P16" s="320">
        <v>305</v>
      </c>
      <c r="Q16" s="321"/>
      <c r="R16" s="317">
        <v>32.743362831858406</v>
      </c>
      <c r="S16" s="318"/>
      <c r="T16" s="315" t="s">
        <v>297</v>
      </c>
      <c r="U16" s="316"/>
      <c r="V16" s="312">
        <v>0</v>
      </c>
      <c r="W16" s="307"/>
      <c r="X16" s="320">
        <v>0</v>
      </c>
      <c r="Y16" s="319"/>
      <c r="Z16" s="312">
        <f t="shared" si="0"/>
        <v>0</v>
      </c>
      <c r="AA16" s="313"/>
      <c r="AB16" s="312">
        <f t="shared" si="1"/>
        <v>1.6666666666666667</v>
      </c>
      <c r="AC16" s="272"/>
      <c r="AD16" s="31"/>
      <c r="AE16" s="90" t="s">
        <v>305</v>
      </c>
    </row>
    <row r="17" spans="1:31" s="30" customFormat="1" ht="15" customHeight="1">
      <c r="A17" s="32"/>
      <c r="B17" s="54" t="s">
        <v>282</v>
      </c>
      <c r="C17" s="32"/>
      <c r="F17" s="114">
        <v>300</v>
      </c>
      <c r="G17" s="174"/>
      <c r="H17" s="114">
        <v>300</v>
      </c>
      <c r="I17" s="174"/>
      <c r="J17" s="114">
        <v>300</v>
      </c>
      <c r="K17" s="174"/>
      <c r="L17" s="114">
        <v>300</v>
      </c>
      <c r="M17" s="174"/>
      <c r="N17" s="114">
        <v>300</v>
      </c>
      <c r="O17" s="319"/>
      <c r="P17" s="320">
        <v>305</v>
      </c>
      <c r="Q17" s="321"/>
      <c r="R17" s="317">
        <v>32.743362831858406</v>
      </c>
      <c r="S17" s="322"/>
      <c r="T17" s="315" t="s">
        <v>297</v>
      </c>
      <c r="U17" s="316"/>
      <c r="V17" s="312">
        <v>0</v>
      </c>
      <c r="W17" s="307"/>
      <c r="X17" s="320">
        <v>0</v>
      </c>
      <c r="Y17" s="319"/>
      <c r="Z17" s="312">
        <f t="shared" si="0"/>
        <v>0</v>
      </c>
      <c r="AA17" s="313"/>
      <c r="AB17" s="312">
        <f t="shared" si="1"/>
        <v>1.6666666666666667</v>
      </c>
      <c r="AC17" s="272"/>
      <c r="AD17" s="33"/>
      <c r="AE17" s="90" t="s">
        <v>306</v>
      </c>
    </row>
    <row r="18" spans="1:31" s="30" customFormat="1" ht="15" customHeight="1">
      <c r="B18" s="54" t="s">
        <v>283</v>
      </c>
      <c r="F18" s="114">
        <v>300</v>
      </c>
      <c r="G18" s="174"/>
      <c r="H18" s="114">
        <v>300</v>
      </c>
      <c r="I18" s="174"/>
      <c r="J18" s="114">
        <v>300</v>
      </c>
      <c r="K18" s="174"/>
      <c r="L18" s="114">
        <v>300</v>
      </c>
      <c r="M18" s="174"/>
      <c r="N18" s="114">
        <v>300</v>
      </c>
      <c r="O18" s="319"/>
      <c r="P18" s="320">
        <v>305</v>
      </c>
      <c r="Q18" s="321"/>
      <c r="R18" s="317">
        <v>32.743362831858406</v>
      </c>
      <c r="S18" s="322"/>
      <c r="T18" s="315" t="s">
        <v>297</v>
      </c>
      <c r="U18" s="316"/>
      <c r="V18" s="312">
        <v>0</v>
      </c>
      <c r="W18" s="307"/>
      <c r="X18" s="320">
        <v>0</v>
      </c>
      <c r="Y18" s="319"/>
      <c r="Z18" s="312">
        <f t="shared" si="0"/>
        <v>0</v>
      </c>
      <c r="AA18" s="313"/>
      <c r="AB18" s="312">
        <f t="shared" si="1"/>
        <v>1.6666666666666667</v>
      </c>
      <c r="AC18" s="272"/>
      <c r="AE18" s="90" t="s">
        <v>307</v>
      </c>
    </row>
    <row r="19" spans="1:31" s="30" customFormat="1" ht="15" customHeight="1">
      <c r="B19" s="54" t="s">
        <v>284</v>
      </c>
      <c r="F19" s="114">
        <v>300</v>
      </c>
      <c r="G19" s="174"/>
      <c r="H19" s="114">
        <v>300</v>
      </c>
      <c r="I19" s="174"/>
      <c r="J19" s="114">
        <v>300</v>
      </c>
      <c r="K19" s="174"/>
      <c r="L19" s="114">
        <v>300</v>
      </c>
      <c r="M19" s="174"/>
      <c r="N19" s="114">
        <v>300</v>
      </c>
      <c r="O19" s="323"/>
      <c r="P19" s="324">
        <v>308</v>
      </c>
      <c r="Q19" s="325"/>
      <c r="R19" s="317">
        <v>32.743362831858406</v>
      </c>
      <c r="S19" s="322"/>
      <c r="T19" s="315" t="s">
        <v>297</v>
      </c>
      <c r="U19" s="316"/>
      <c r="V19" s="312">
        <v>0</v>
      </c>
      <c r="W19" s="307"/>
      <c r="X19" s="324">
        <v>0</v>
      </c>
      <c r="Y19" s="323"/>
      <c r="Z19" s="312">
        <f t="shared" si="0"/>
        <v>0</v>
      </c>
      <c r="AA19" s="313"/>
      <c r="AB19" s="312">
        <f t="shared" si="1"/>
        <v>2.666666666666667</v>
      </c>
      <c r="AC19" s="272"/>
      <c r="AE19" s="90" t="s">
        <v>308</v>
      </c>
    </row>
    <row r="20" spans="1:31" s="35" customFormat="1" ht="15" customHeight="1">
      <c r="A20" s="30"/>
      <c r="B20" s="54" t="s">
        <v>285</v>
      </c>
      <c r="C20" s="30"/>
      <c r="D20" s="30"/>
      <c r="E20" s="30"/>
      <c r="F20" s="114">
        <v>300</v>
      </c>
      <c r="G20" s="174"/>
      <c r="H20" s="114">
        <v>300</v>
      </c>
      <c r="I20" s="174"/>
      <c r="J20" s="114">
        <v>300</v>
      </c>
      <c r="K20" s="174"/>
      <c r="L20" s="114">
        <v>300</v>
      </c>
      <c r="M20" s="174"/>
      <c r="N20" s="114">
        <v>300</v>
      </c>
      <c r="O20" s="319"/>
      <c r="P20" s="320">
        <v>305</v>
      </c>
      <c r="Q20" s="321"/>
      <c r="R20" s="317">
        <v>32.743362831858406</v>
      </c>
      <c r="S20" s="326"/>
      <c r="T20" s="315" t="s">
        <v>297</v>
      </c>
      <c r="U20" s="316"/>
      <c r="V20" s="312">
        <v>0</v>
      </c>
      <c r="W20" s="307"/>
      <c r="X20" s="320">
        <v>0</v>
      </c>
      <c r="Y20" s="319"/>
      <c r="Z20" s="312">
        <f t="shared" si="0"/>
        <v>0</v>
      </c>
      <c r="AA20" s="313"/>
      <c r="AB20" s="312">
        <f t="shared" si="1"/>
        <v>1.6666666666666667</v>
      </c>
      <c r="AC20" s="272"/>
      <c r="AD20" s="34"/>
      <c r="AE20" s="90" t="s">
        <v>309</v>
      </c>
    </row>
    <row r="21" spans="1:31" s="35" customFormat="1" ht="15" customHeight="1">
      <c r="A21" s="30"/>
      <c r="B21" s="54" t="s">
        <v>286</v>
      </c>
      <c r="C21" s="30"/>
      <c r="D21" s="30"/>
      <c r="E21" s="30"/>
      <c r="F21" s="114">
        <v>300</v>
      </c>
      <c r="G21" s="174"/>
      <c r="H21" s="114">
        <v>300</v>
      </c>
      <c r="I21" s="174"/>
      <c r="J21" s="114">
        <v>300</v>
      </c>
      <c r="K21" s="174"/>
      <c r="L21" s="114">
        <v>300</v>
      </c>
      <c r="M21" s="174"/>
      <c r="N21" s="114">
        <v>300</v>
      </c>
      <c r="O21" s="319"/>
      <c r="P21" s="320">
        <v>305</v>
      </c>
      <c r="Q21" s="321"/>
      <c r="R21" s="317">
        <v>32.743362831858406</v>
      </c>
      <c r="S21" s="322"/>
      <c r="T21" s="315" t="s">
        <v>297</v>
      </c>
      <c r="U21" s="316"/>
      <c r="V21" s="312">
        <v>0</v>
      </c>
      <c r="W21" s="307"/>
      <c r="X21" s="320">
        <v>0</v>
      </c>
      <c r="Y21" s="319"/>
      <c r="Z21" s="312">
        <f t="shared" si="0"/>
        <v>0</v>
      </c>
      <c r="AA21" s="313"/>
      <c r="AB21" s="312">
        <f t="shared" si="1"/>
        <v>1.6666666666666667</v>
      </c>
      <c r="AC21" s="272"/>
      <c r="AD21" s="34"/>
      <c r="AE21" s="90" t="s">
        <v>310</v>
      </c>
    </row>
    <row r="22" spans="1:31" s="30" customFormat="1" ht="15" customHeight="1">
      <c r="B22" s="54" t="s">
        <v>287</v>
      </c>
      <c r="F22" s="114">
        <v>300</v>
      </c>
      <c r="G22" s="174"/>
      <c r="H22" s="114">
        <v>300</v>
      </c>
      <c r="I22" s="174"/>
      <c r="J22" s="114">
        <v>300</v>
      </c>
      <c r="K22" s="174"/>
      <c r="L22" s="114">
        <v>300</v>
      </c>
      <c r="M22" s="174"/>
      <c r="N22" s="114">
        <v>300</v>
      </c>
      <c r="O22" s="319"/>
      <c r="P22" s="320">
        <v>305</v>
      </c>
      <c r="Q22" s="321"/>
      <c r="R22" s="317">
        <v>32.743362831858406</v>
      </c>
      <c r="S22" s="322"/>
      <c r="T22" s="315" t="s">
        <v>297</v>
      </c>
      <c r="U22" s="316"/>
      <c r="V22" s="312">
        <v>0</v>
      </c>
      <c r="W22" s="307"/>
      <c r="X22" s="320">
        <v>0</v>
      </c>
      <c r="Y22" s="319"/>
      <c r="Z22" s="312">
        <f t="shared" si="0"/>
        <v>0</v>
      </c>
      <c r="AA22" s="313"/>
      <c r="AB22" s="312">
        <f t="shared" si="1"/>
        <v>1.6666666666666667</v>
      </c>
      <c r="AC22" s="272"/>
      <c r="AD22" s="33"/>
      <c r="AE22" s="90" t="s">
        <v>311</v>
      </c>
    </row>
    <row r="23" spans="1:31" s="30" customFormat="1" ht="15" customHeight="1">
      <c r="B23" s="54" t="s">
        <v>288</v>
      </c>
      <c r="F23" s="114">
        <v>300</v>
      </c>
      <c r="G23" s="174"/>
      <c r="H23" s="114">
        <v>300</v>
      </c>
      <c r="I23" s="174"/>
      <c r="J23" s="114">
        <v>300</v>
      </c>
      <c r="K23" s="174"/>
      <c r="L23" s="114">
        <v>300</v>
      </c>
      <c r="M23" s="174"/>
      <c r="N23" s="114">
        <v>300</v>
      </c>
      <c r="O23" s="319"/>
      <c r="P23" s="320">
        <v>305</v>
      </c>
      <c r="Q23" s="321"/>
      <c r="R23" s="317">
        <v>32.743362831858406</v>
      </c>
      <c r="S23" s="322"/>
      <c r="T23" s="315" t="s">
        <v>297</v>
      </c>
      <c r="U23" s="316"/>
      <c r="V23" s="312">
        <v>0</v>
      </c>
      <c r="W23" s="307"/>
      <c r="X23" s="320">
        <v>0</v>
      </c>
      <c r="Y23" s="319"/>
      <c r="Z23" s="312">
        <f t="shared" si="0"/>
        <v>0</v>
      </c>
      <c r="AA23" s="313"/>
      <c r="AB23" s="312">
        <f t="shared" si="1"/>
        <v>1.6666666666666667</v>
      </c>
      <c r="AC23" s="272"/>
      <c r="AD23" s="33"/>
      <c r="AE23" s="90" t="s">
        <v>312</v>
      </c>
    </row>
    <row r="24" spans="1:31" s="30" customFormat="1" ht="15" customHeight="1">
      <c r="A24" s="32"/>
      <c r="B24" s="54" t="s">
        <v>289</v>
      </c>
      <c r="C24" s="32"/>
      <c r="F24" s="114">
        <v>300</v>
      </c>
      <c r="G24" s="174"/>
      <c r="H24" s="114">
        <v>300</v>
      </c>
      <c r="I24" s="174"/>
      <c r="J24" s="114">
        <v>300</v>
      </c>
      <c r="K24" s="174"/>
      <c r="L24" s="114">
        <v>300</v>
      </c>
      <c r="M24" s="174"/>
      <c r="N24" s="114">
        <v>300</v>
      </c>
      <c r="O24" s="323"/>
      <c r="P24" s="324">
        <v>305</v>
      </c>
      <c r="Q24" s="325"/>
      <c r="R24" s="317">
        <v>32.743362831858406</v>
      </c>
      <c r="S24" s="322"/>
      <c r="T24" s="315" t="s">
        <v>297</v>
      </c>
      <c r="U24" s="316"/>
      <c r="V24" s="312">
        <v>0</v>
      </c>
      <c r="W24" s="307"/>
      <c r="X24" s="324">
        <v>0</v>
      </c>
      <c r="Y24" s="323"/>
      <c r="Z24" s="312">
        <f t="shared" si="0"/>
        <v>0</v>
      </c>
      <c r="AA24" s="313"/>
      <c r="AB24" s="312">
        <f t="shared" si="1"/>
        <v>1.6666666666666667</v>
      </c>
      <c r="AC24" s="272"/>
      <c r="AD24" s="32"/>
      <c r="AE24" s="90" t="s">
        <v>313</v>
      </c>
    </row>
    <row r="25" spans="1:31" s="35" customFormat="1" ht="15" customHeight="1">
      <c r="A25" s="29"/>
      <c r="B25" s="54" t="s">
        <v>290</v>
      </c>
      <c r="C25" s="29"/>
      <c r="F25" s="114">
        <v>300</v>
      </c>
      <c r="G25" s="174"/>
      <c r="H25" s="114">
        <v>300</v>
      </c>
      <c r="I25" s="174"/>
      <c r="J25" s="114">
        <v>300</v>
      </c>
      <c r="K25" s="174"/>
      <c r="L25" s="114">
        <v>300</v>
      </c>
      <c r="M25" s="174"/>
      <c r="N25" s="114">
        <v>300</v>
      </c>
      <c r="O25" s="319"/>
      <c r="P25" s="320">
        <v>305</v>
      </c>
      <c r="Q25" s="321"/>
      <c r="R25" s="317">
        <v>32.743362831858406</v>
      </c>
      <c r="S25" s="322"/>
      <c r="T25" s="315" t="s">
        <v>297</v>
      </c>
      <c r="U25" s="316"/>
      <c r="V25" s="312">
        <v>0</v>
      </c>
      <c r="W25" s="307"/>
      <c r="X25" s="320">
        <v>0</v>
      </c>
      <c r="Y25" s="319"/>
      <c r="Z25" s="312">
        <f t="shared" si="0"/>
        <v>0</v>
      </c>
      <c r="AA25" s="313"/>
      <c r="AB25" s="312">
        <f t="shared" si="1"/>
        <v>1.6666666666666667</v>
      </c>
      <c r="AC25" s="272"/>
      <c r="AE25" s="90" t="s">
        <v>314</v>
      </c>
    </row>
    <row r="26" spans="1:31" s="30" customFormat="1" ht="15" customHeight="1">
      <c r="A26" s="32"/>
      <c r="B26" s="54" t="s">
        <v>291</v>
      </c>
      <c r="C26" s="32"/>
      <c r="F26" s="114">
        <v>300</v>
      </c>
      <c r="G26" s="174"/>
      <c r="H26" s="114">
        <v>300</v>
      </c>
      <c r="I26" s="174"/>
      <c r="J26" s="114">
        <v>300</v>
      </c>
      <c r="K26" s="174"/>
      <c r="L26" s="114">
        <v>300</v>
      </c>
      <c r="M26" s="174"/>
      <c r="N26" s="114">
        <v>300</v>
      </c>
      <c r="O26" s="319"/>
      <c r="P26" s="320">
        <v>305</v>
      </c>
      <c r="Q26" s="321"/>
      <c r="R26" s="317">
        <v>32.743362831858406</v>
      </c>
      <c r="S26" s="322"/>
      <c r="T26" s="315" t="s">
        <v>297</v>
      </c>
      <c r="U26" s="316"/>
      <c r="V26" s="312">
        <v>0</v>
      </c>
      <c r="W26" s="307"/>
      <c r="X26" s="320">
        <v>0</v>
      </c>
      <c r="Y26" s="319"/>
      <c r="Z26" s="312">
        <f t="shared" si="0"/>
        <v>0</v>
      </c>
      <c r="AA26" s="313"/>
      <c r="AB26" s="312">
        <f t="shared" si="1"/>
        <v>1.6666666666666667</v>
      </c>
      <c r="AC26" s="272"/>
      <c r="AE26" s="90" t="s">
        <v>315</v>
      </c>
    </row>
    <row r="27" spans="1:31" s="30" customFormat="1" ht="15" customHeight="1">
      <c r="A27" s="35"/>
      <c r="B27" s="485" t="s">
        <v>292</v>
      </c>
      <c r="C27" s="486"/>
      <c r="D27" s="486"/>
      <c r="E27" s="486"/>
      <c r="F27" s="487">
        <v>300</v>
      </c>
      <c r="G27" s="488"/>
      <c r="H27" s="487">
        <v>300</v>
      </c>
      <c r="I27" s="488"/>
      <c r="J27" s="487">
        <v>300</v>
      </c>
      <c r="K27" s="488"/>
      <c r="L27" s="487">
        <v>300</v>
      </c>
      <c r="M27" s="488"/>
      <c r="N27" s="487">
        <v>300</v>
      </c>
      <c r="O27" s="489"/>
      <c r="P27" s="490">
        <v>305</v>
      </c>
      <c r="Q27" s="491"/>
      <c r="R27" s="492">
        <v>32.743362831858406</v>
      </c>
      <c r="S27" s="493"/>
      <c r="T27" s="494" t="s">
        <v>297</v>
      </c>
      <c r="U27" s="316"/>
      <c r="V27" s="312">
        <v>0</v>
      </c>
      <c r="W27" s="307"/>
      <c r="X27" s="320">
        <v>0</v>
      </c>
      <c r="Y27" s="319"/>
      <c r="Z27" s="312">
        <f t="shared" si="0"/>
        <v>0</v>
      </c>
      <c r="AA27" s="313"/>
      <c r="AB27" s="312">
        <f t="shared" si="1"/>
        <v>1.6666666666666667</v>
      </c>
      <c r="AC27" s="272"/>
      <c r="AE27" s="90" t="s">
        <v>316</v>
      </c>
    </row>
    <row r="28" spans="1:31" s="30" customFormat="1" ht="15" customHeight="1">
      <c r="A28" s="35"/>
      <c r="B28" s="113" t="s">
        <v>293</v>
      </c>
      <c r="C28" s="35"/>
      <c r="D28" s="35"/>
      <c r="E28" s="35"/>
      <c r="F28" s="114">
        <v>300</v>
      </c>
      <c r="G28" s="174"/>
      <c r="H28" s="114">
        <v>300</v>
      </c>
      <c r="I28" s="174"/>
      <c r="J28" s="114">
        <v>300</v>
      </c>
      <c r="K28" s="174"/>
      <c r="L28" s="114">
        <v>300</v>
      </c>
      <c r="M28" s="174"/>
      <c r="N28" s="114">
        <v>300</v>
      </c>
      <c r="O28" s="319"/>
      <c r="P28" s="320">
        <v>305</v>
      </c>
      <c r="Q28" s="321"/>
      <c r="R28" s="317">
        <v>32.743362831858406</v>
      </c>
      <c r="S28" s="322"/>
      <c r="T28" s="315" t="s">
        <v>297</v>
      </c>
      <c r="U28" s="316"/>
      <c r="V28" s="312">
        <v>0</v>
      </c>
      <c r="W28" s="307"/>
      <c r="X28" s="320">
        <v>0</v>
      </c>
      <c r="Y28" s="319"/>
      <c r="Z28" s="312">
        <f t="shared" si="0"/>
        <v>0</v>
      </c>
      <c r="AA28" s="313"/>
      <c r="AB28" s="312">
        <f t="shared" si="1"/>
        <v>1.6666666666666667</v>
      </c>
      <c r="AC28" s="272"/>
      <c r="AD28" s="31"/>
      <c r="AE28" s="90" t="s">
        <v>317</v>
      </c>
    </row>
    <row r="29" spans="1:31" s="30" customFormat="1" ht="15" customHeight="1">
      <c r="A29" s="35"/>
      <c r="B29" s="35" t="s">
        <v>294</v>
      </c>
      <c r="C29" s="35"/>
      <c r="D29" s="35"/>
      <c r="E29" s="35"/>
      <c r="F29" s="114">
        <v>300</v>
      </c>
      <c r="G29" s="174"/>
      <c r="H29" s="114">
        <v>300</v>
      </c>
      <c r="I29" s="174"/>
      <c r="J29" s="114">
        <v>300</v>
      </c>
      <c r="K29" s="174"/>
      <c r="L29" s="114">
        <v>300</v>
      </c>
      <c r="M29" s="174"/>
      <c r="N29" s="114">
        <v>300</v>
      </c>
      <c r="O29" s="319"/>
      <c r="P29" s="320">
        <v>305</v>
      </c>
      <c r="Q29" s="321"/>
      <c r="R29" s="317">
        <v>32.743362831858406</v>
      </c>
      <c r="S29" s="322"/>
      <c r="T29" s="315" t="s">
        <v>297</v>
      </c>
      <c r="U29" s="314"/>
      <c r="V29" s="320">
        <v>0</v>
      </c>
      <c r="W29" s="319"/>
      <c r="X29" s="320">
        <v>0</v>
      </c>
      <c r="Y29" s="319"/>
      <c r="Z29" s="312">
        <f t="shared" si="0"/>
        <v>0</v>
      </c>
      <c r="AA29" s="313"/>
      <c r="AB29" s="312">
        <f t="shared" si="1"/>
        <v>1.6666666666666667</v>
      </c>
      <c r="AC29" s="272"/>
      <c r="AD29" s="34"/>
      <c r="AE29" s="32" t="s">
        <v>318</v>
      </c>
    </row>
    <row r="30" spans="1:31" s="30" customFormat="1" ht="6" customHeight="1">
      <c r="A30" s="36"/>
      <c r="B30" s="36"/>
      <c r="C30" s="36"/>
      <c r="D30" s="36"/>
      <c r="E30" s="36"/>
      <c r="F30" s="271"/>
      <c r="G30" s="270"/>
      <c r="H30" s="271"/>
      <c r="I30" s="270"/>
      <c r="J30" s="271"/>
      <c r="K30" s="270"/>
      <c r="L30" s="271"/>
      <c r="M30" s="270"/>
      <c r="N30" s="271"/>
      <c r="O30" s="270"/>
      <c r="P30" s="299"/>
      <c r="Q30" s="299"/>
      <c r="R30" s="274"/>
      <c r="S30" s="273"/>
      <c r="T30" s="271"/>
      <c r="U30" s="270"/>
      <c r="V30" s="271"/>
      <c r="W30" s="270"/>
      <c r="X30" s="271"/>
      <c r="Y30" s="270"/>
      <c r="Z30" s="299"/>
      <c r="AA30" s="299"/>
      <c r="AB30" s="271"/>
      <c r="AC30" s="270"/>
      <c r="AD30" s="36"/>
      <c r="AE30" s="36"/>
    </row>
    <row r="31" spans="1:31" s="30" customFormat="1" ht="6" customHeight="1"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/>
      <c r="S31" s="38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1">
      <c r="B32" s="10" t="s">
        <v>295</v>
      </c>
    </row>
    <row r="33" spans="2:2">
      <c r="B33" s="10" t="s">
        <v>296</v>
      </c>
    </row>
  </sheetData>
  <mergeCells count="48">
    <mergeCell ref="N8:O8"/>
    <mergeCell ref="R7:S7"/>
    <mergeCell ref="R8:S8"/>
    <mergeCell ref="X8:Y8"/>
    <mergeCell ref="AB5:AC5"/>
    <mergeCell ref="AB6:AC6"/>
    <mergeCell ref="AB7:AC7"/>
    <mergeCell ref="AB8:AC8"/>
    <mergeCell ref="R5:U5"/>
    <mergeCell ref="R6:U6"/>
    <mergeCell ref="T7:U7"/>
    <mergeCell ref="T8:U8"/>
    <mergeCell ref="V5:W5"/>
    <mergeCell ref="V6:W6"/>
    <mergeCell ref="V7:W7"/>
    <mergeCell ref="V8:W8"/>
    <mergeCell ref="J8:K8"/>
    <mergeCell ref="L5:M5"/>
    <mergeCell ref="L6:M6"/>
    <mergeCell ref="L7:M7"/>
    <mergeCell ref="L8:M8"/>
    <mergeCell ref="F8:G8"/>
    <mergeCell ref="F5:I5"/>
    <mergeCell ref="F6:I6"/>
    <mergeCell ref="H7:I7"/>
    <mergeCell ref="H8:I8"/>
    <mergeCell ref="F4:Q4"/>
    <mergeCell ref="N5:O5"/>
    <mergeCell ref="AE5:AE7"/>
    <mergeCell ref="A5:E7"/>
    <mergeCell ref="J5:K5"/>
    <mergeCell ref="J6:K6"/>
    <mergeCell ref="J7:K7"/>
    <mergeCell ref="X5:Y5"/>
    <mergeCell ref="X6:Y6"/>
    <mergeCell ref="X7:Y7"/>
    <mergeCell ref="N6:O6"/>
    <mergeCell ref="N7:O7"/>
    <mergeCell ref="R4:AC4"/>
    <mergeCell ref="F7:G7"/>
    <mergeCell ref="Z8:AA8"/>
    <mergeCell ref="P7:Q7"/>
    <mergeCell ref="P8:Q8"/>
    <mergeCell ref="P5:Q5"/>
    <mergeCell ref="P6:Q6"/>
    <mergeCell ref="Z5:AA5"/>
    <mergeCell ref="Z6:AA6"/>
    <mergeCell ref="Z7:AA7"/>
  </mergeCells>
  <phoneticPr fontId="3" type="noConversion"/>
  <pageMargins left="0.7480314960629921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2017-09-29T03:23:53Z</cp:lastPrinted>
  <dcterms:created xsi:type="dcterms:W3CDTF">2004-08-16T17:13:42Z</dcterms:created>
  <dcterms:modified xsi:type="dcterms:W3CDTF">2017-10-18T06:52:03Z</dcterms:modified>
</cp:coreProperties>
</file>