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7500" firstSheet="3" activeTab="5"/>
  </bookViews>
  <sheets>
    <sheet name="ตาราง 1" sheetId="8" r:id="rId1"/>
    <sheet name="ตาราง 2" sheetId="9" r:id="rId2"/>
    <sheet name="ตาราง 3" sheetId="7" r:id="rId3"/>
    <sheet name="ตาราง 4" sheetId="6" r:id="rId4"/>
    <sheet name="ตาราง 5" sheetId="4" r:id="rId5"/>
    <sheet name="ตาราง 6" sheetId="1" r:id="rId6"/>
    <sheet name="ตาราง 7" sheetId="5" r:id="rId7"/>
    <sheet name="คาดประมาณประชากร" sheetId="3" r:id="rId8"/>
  </sheets>
  <externalReferences>
    <externalReference r:id="rId9"/>
    <externalReference r:id="rId10"/>
  </externalReferences>
  <definedNames>
    <definedName name="HTML_CodePage" hidden="1">874</definedName>
    <definedName name="HTML_Control" localSheetId="7" hidden="1">{"'ตารางที่17 '!$A$1:$I$26"}</definedName>
    <definedName name="HTML_Control" localSheetId="0" hidden="1">{"'ตารางที่17 '!$A$1:$I$26"}</definedName>
    <definedName name="HTML_Control" localSheetId="1" hidden="1">{"'ตารางที่17 '!$A$1:$I$26"}</definedName>
    <definedName name="HTML_Control" localSheetId="5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SAPBEXdnldView" hidden="1">"3ZY5706QR6UW8T5CLKDTEF6F5"</definedName>
    <definedName name="SAPBEXsysID" hidden="1">"BWP"</definedName>
  </definedNames>
  <calcPr calcId="152511"/>
</workbook>
</file>

<file path=xl/calcChain.xml><?xml version="1.0" encoding="utf-8"?>
<calcChain xmlns="http://schemas.openxmlformats.org/spreadsheetml/2006/main">
  <c r="BA16" i="9" l="1"/>
  <c r="BA12" i="9"/>
  <c r="BA19" i="8"/>
  <c r="BA20" i="8"/>
  <c r="BA21" i="8"/>
  <c r="BA22" i="8"/>
  <c r="BA23" i="8"/>
  <c r="BA24" i="8"/>
  <c r="BA25" i="8"/>
  <c r="BA26" i="8"/>
  <c r="BA27" i="8"/>
  <c r="BA28" i="8"/>
  <c r="BA29" i="8"/>
  <c r="BA30" i="8"/>
  <c r="BA17" i="8"/>
  <c r="Q12" i="9"/>
  <c r="Q30" i="9" s="1"/>
  <c r="W12" i="9"/>
  <c r="W30" i="9" s="1"/>
  <c r="X12" i="9"/>
  <c r="X30" i="9" s="1"/>
  <c r="Q16" i="9"/>
  <c r="Q34" i="9" s="1"/>
  <c r="W16" i="9"/>
  <c r="W34" i="9" s="1"/>
  <c r="X16" i="9"/>
  <c r="X34" i="9" s="1"/>
  <c r="B26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B27" i="9"/>
  <c r="C27" i="9"/>
  <c r="E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B28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B29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B30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R30" i="9"/>
  <c r="S30" i="9"/>
  <c r="T30" i="9"/>
  <c r="U30" i="9"/>
  <c r="V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31" i="9"/>
  <c r="C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B32" i="9"/>
  <c r="C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B34" i="9"/>
  <c r="C34" i="9"/>
  <c r="E34" i="9"/>
  <c r="F34" i="9"/>
  <c r="G34" i="9"/>
  <c r="H34" i="9"/>
  <c r="J34" i="9"/>
  <c r="K34" i="9"/>
  <c r="L34" i="9"/>
  <c r="M34" i="9"/>
  <c r="N34" i="9"/>
  <c r="O34" i="9"/>
  <c r="P34" i="9"/>
  <c r="R34" i="9"/>
  <c r="S34" i="9"/>
  <c r="T34" i="9"/>
  <c r="U34" i="9"/>
  <c r="V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B35" i="9"/>
  <c r="C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B36" i="9"/>
  <c r="C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37" i="9"/>
  <c r="C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B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B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BA39" i="9"/>
  <c r="N6" i="8"/>
  <c r="V9" i="8"/>
  <c r="W9" i="8"/>
  <c r="X9" i="8"/>
  <c r="X22" i="8" s="1"/>
  <c r="Y9" i="8"/>
  <c r="Z9" i="8"/>
  <c r="AA9" i="8"/>
  <c r="AB9" i="8"/>
  <c r="AB22" i="8" s="1"/>
  <c r="AC9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20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21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22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Y22" i="8"/>
  <c r="Z22" i="8"/>
  <c r="AA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23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24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25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26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27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28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29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30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E24" i="9" l="1"/>
  <c r="B24" i="9"/>
  <c r="AZ36" i="6"/>
  <c r="AY57" i="6"/>
  <c r="BA19" i="1"/>
  <c r="BA20" i="1"/>
  <c r="BA21" i="1"/>
  <c r="BA22" i="1"/>
  <c r="BA23" i="1"/>
  <c r="BA24" i="1"/>
  <c r="BA25" i="1"/>
  <c r="BA26" i="1"/>
  <c r="AZ26" i="1" l="1"/>
  <c r="AY26" i="1"/>
  <c r="AX26" i="1"/>
  <c r="AZ25" i="1"/>
  <c r="AY25" i="1"/>
  <c r="AX25" i="1"/>
  <c r="AZ24" i="1"/>
  <c r="AY24" i="1"/>
  <c r="AX24" i="1"/>
  <c r="AZ23" i="1"/>
  <c r="AY23" i="1"/>
  <c r="AX23" i="1"/>
  <c r="AZ22" i="1"/>
  <c r="AY22" i="1"/>
  <c r="AX22" i="1"/>
  <c r="AZ21" i="1"/>
  <c r="AY21" i="1"/>
  <c r="AX21" i="1"/>
  <c r="AZ20" i="1"/>
  <c r="AY20" i="1"/>
  <c r="AX20" i="1"/>
  <c r="AZ19" i="1"/>
  <c r="AY19" i="1"/>
  <c r="AX19" i="1"/>
  <c r="BA21" i="4"/>
  <c r="AZ21" i="4"/>
  <c r="AY21" i="4"/>
  <c r="AX21" i="4"/>
  <c r="BA20" i="4"/>
  <c r="AZ20" i="4"/>
  <c r="AY20" i="4"/>
  <c r="AX20" i="4"/>
  <c r="BA19" i="4"/>
  <c r="AZ19" i="4"/>
  <c r="AY19" i="4"/>
  <c r="AX19" i="4"/>
  <c r="BA18" i="4"/>
  <c r="AZ18" i="4"/>
  <c r="AY18" i="4"/>
  <c r="AX18" i="4"/>
  <c r="BA17" i="4"/>
  <c r="BA15" i="4" s="1"/>
  <c r="AZ17" i="4"/>
  <c r="AZ15" i="4" s="1"/>
  <c r="AY17" i="4"/>
  <c r="AY15" i="4" s="1"/>
  <c r="AX17" i="4"/>
  <c r="AX15" i="4" s="1"/>
  <c r="AY58" i="6"/>
  <c r="AX58" i="6"/>
  <c r="BA57" i="6"/>
  <c r="AX57" i="6"/>
  <c r="BA56" i="6"/>
  <c r="AZ56" i="6"/>
  <c r="AY56" i="6"/>
  <c r="AX56" i="6"/>
  <c r="BA55" i="6"/>
  <c r="AZ55" i="6"/>
  <c r="AY55" i="6"/>
  <c r="AX55" i="6"/>
  <c r="BA54" i="6"/>
  <c r="AZ54" i="6"/>
  <c r="AY54" i="6"/>
  <c r="AX54" i="6"/>
  <c r="BA53" i="6"/>
  <c r="AZ53" i="6"/>
  <c r="AY53" i="6"/>
  <c r="AX53" i="6"/>
  <c r="BA52" i="6"/>
  <c r="AZ52" i="6"/>
  <c r="AY52" i="6"/>
  <c r="AX52" i="6"/>
  <c r="BA51" i="6"/>
  <c r="AZ51" i="6"/>
  <c r="AY51" i="6"/>
  <c r="AX51" i="6"/>
  <c r="BA49" i="6"/>
  <c r="AZ49" i="6"/>
  <c r="AY49" i="6"/>
  <c r="AX49" i="6"/>
  <c r="BA48" i="6"/>
  <c r="AZ48" i="6"/>
  <c r="AY48" i="6"/>
  <c r="AX48" i="6"/>
  <c r="BA47" i="6"/>
  <c r="AZ47" i="6"/>
  <c r="AY47" i="6"/>
  <c r="AX47" i="6"/>
  <c r="BA46" i="6"/>
  <c r="AZ46" i="6"/>
  <c r="AY46" i="6"/>
  <c r="AX46" i="6"/>
  <c r="BA45" i="6"/>
  <c r="AZ45" i="6"/>
  <c r="AY45" i="6"/>
  <c r="AX45" i="6"/>
  <c r="BA44" i="6"/>
  <c r="AZ44" i="6"/>
  <c r="AY44" i="6"/>
  <c r="AX44" i="6"/>
  <c r="BA43" i="6"/>
  <c r="AZ43" i="6"/>
  <c r="AY43" i="6"/>
  <c r="AX43" i="6"/>
  <c r="BA42" i="6"/>
  <c r="AZ42" i="6"/>
  <c r="AY42" i="6"/>
  <c r="AX42" i="6"/>
  <c r="BA40" i="6"/>
  <c r="AZ40" i="6"/>
  <c r="AY40" i="6"/>
  <c r="AX40" i="6"/>
  <c r="BA39" i="6"/>
  <c r="AZ39" i="6"/>
  <c r="AY39" i="6"/>
  <c r="AX39" i="6"/>
  <c r="BA38" i="6"/>
  <c r="AZ38" i="6"/>
  <c r="AY38" i="6"/>
  <c r="AX38" i="6"/>
  <c r="BA37" i="6"/>
  <c r="AZ37" i="6"/>
  <c r="AY37" i="6"/>
  <c r="AX37" i="6"/>
  <c r="AY36" i="6"/>
  <c r="AX36" i="6"/>
  <c r="BA35" i="6"/>
  <c r="AZ35" i="6"/>
  <c r="AY35" i="6"/>
  <c r="AY33" i="6" s="1"/>
  <c r="AX35" i="6"/>
  <c r="BA41" i="7"/>
  <c r="AZ41" i="7"/>
  <c r="AY41" i="7"/>
  <c r="AX41" i="7"/>
  <c r="BA39" i="7"/>
  <c r="AZ39" i="7"/>
  <c r="AY39" i="7"/>
  <c r="AX39" i="7"/>
  <c r="BA37" i="7"/>
  <c r="AZ37" i="7"/>
  <c r="AY37" i="7"/>
  <c r="AX37" i="7"/>
  <c r="BA35" i="7"/>
  <c r="AZ35" i="7"/>
  <c r="AY35" i="7"/>
  <c r="AX35" i="7"/>
  <c r="BA33" i="7"/>
  <c r="AZ33" i="7"/>
  <c r="AY33" i="7"/>
  <c r="AX33" i="7"/>
  <c r="BA32" i="7"/>
  <c r="AZ32" i="7"/>
  <c r="AY32" i="7"/>
  <c r="AX32" i="7"/>
  <c r="BA31" i="7"/>
  <c r="AZ31" i="7"/>
  <c r="AY31" i="7"/>
  <c r="AX31" i="7"/>
  <c r="BA29" i="7"/>
  <c r="AZ29" i="7"/>
  <c r="AY29" i="7"/>
  <c r="AX29" i="7"/>
  <c r="BA28" i="7"/>
  <c r="AZ28" i="7"/>
  <c r="AY28" i="7"/>
  <c r="AX28" i="7"/>
  <c r="BA25" i="7"/>
  <c r="AZ25" i="7"/>
  <c r="AY25" i="7"/>
  <c r="AX25" i="7"/>
  <c r="AX33" i="6" l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C26" i="1"/>
  <c r="B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C25" i="1"/>
  <c r="B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C24" i="1"/>
  <c r="B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B23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B22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B21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B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19" i="1"/>
  <c r="B19" i="1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C22" i="4"/>
  <c r="B22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C21" i="4"/>
  <c r="B21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C19" i="4"/>
  <c r="B19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C18" i="4"/>
  <c r="B18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T17" i="4"/>
  <c r="S17" i="4"/>
  <c r="R17" i="4"/>
  <c r="Q17" i="4"/>
  <c r="P17" i="4"/>
  <c r="O17" i="4"/>
  <c r="N17" i="4"/>
  <c r="M17" i="4"/>
  <c r="M15" i="4" s="1"/>
  <c r="L17" i="4"/>
  <c r="K17" i="4"/>
  <c r="J17" i="4"/>
  <c r="I17" i="4"/>
  <c r="H17" i="4"/>
  <c r="G17" i="4"/>
  <c r="F17" i="4"/>
  <c r="E17" i="4"/>
  <c r="C17" i="4"/>
  <c r="B17" i="4"/>
  <c r="U6" i="4"/>
  <c r="U21" i="4" s="1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C38" i="5"/>
  <c r="B38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C37" i="5"/>
  <c r="B37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C36" i="5"/>
  <c r="B36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B34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C33" i="5"/>
  <c r="B33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C32" i="5"/>
  <c r="B32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C31" i="5"/>
  <c r="B31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I30" i="5"/>
  <c r="H30" i="5"/>
  <c r="G30" i="5"/>
  <c r="F30" i="5"/>
  <c r="E30" i="5"/>
  <c r="C30" i="5"/>
  <c r="B30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G29" i="5"/>
  <c r="F29" i="5"/>
  <c r="E29" i="5"/>
  <c r="C29" i="5"/>
  <c r="B29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K28" i="5"/>
  <c r="J28" i="5"/>
  <c r="H28" i="5"/>
  <c r="G28" i="5"/>
  <c r="F28" i="5"/>
  <c r="E28" i="5"/>
  <c r="C28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C27" i="5"/>
  <c r="B27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C26" i="5"/>
  <c r="B26" i="5"/>
  <c r="I24" i="5"/>
  <c r="H24" i="5"/>
  <c r="AC16" i="5"/>
  <c r="AC34" i="5" s="1"/>
  <c r="AB16" i="5"/>
  <c r="AB34" i="5" s="1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J58" i="6"/>
  <c r="I58" i="6"/>
  <c r="H58" i="6"/>
  <c r="G58" i="6"/>
  <c r="F58" i="6"/>
  <c r="E58" i="6"/>
  <c r="D58" i="6"/>
  <c r="C58" i="6"/>
  <c r="B58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J57" i="6"/>
  <c r="I57" i="6"/>
  <c r="H57" i="6"/>
  <c r="G57" i="6"/>
  <c r="F57" i="6"/>
  <c r="E57" i="6"/>
  <c r="D57" i="6"/>
  <c r="C57" i="6"/>
  <c r="B57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C56" i="6"/>
  <c r="B56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E55" i="6"/>
  <c r="C55" i="6"/>
  <c r="B55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I54" i="6"/>
  <c r="H54" i="6"/>
  <c r="G54" i="6"/>
  <c r="F54" i="6"/>
  <c r="E54" i="6"/>
  <c r="C54" i="6"/>
  <c r="B54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C53" i="6"/>
  <c r="B53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C52" i="6"/>
  <c r="B52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C49" i="6"/>
  <c r="B49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C48" i="6"/>
  <c r="B48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C47" i="6"/>
  <c r="B47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C46" i="6"/>
  <c r="B46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C45" i="6"/>
  <c r="B45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C44" i="6"/>
  <c r="B44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C43" i="6"/>
  <c r="B43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I42" i="6"/>
  <c r="H42" i="6"/>
  <c r="G42" i="6"/>
  <c r="F42" i="6"/>
  <c r="E42" i="6"/>
  <c r="C42" i="6"/>
  <c r="B42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C40" i="6"/>
  <c r="B40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C39" i="6"/>
  <c r="B39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C37" i="6"/>
  <c r="B37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F28" i="6"/>
  <c r="F55" i="6" s="1"/>
  <c r="J27" i="6"/>
  <c r="J54" i="6" s="1"/>
  <c r="J15" i="6"/>
  <c r="J42" i="6" s="1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F42" i="7"/>
  <c r="E42" i="7"/>
  <c r="C42" i="7"/>
  <c r="B42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J41" i="7"/>
  <c r="I41" i="7"/>
  <c r="H41" i="7"/>
  <c r="G41" i="7"/>
  <c r="F41" i="7"/>
  <c r="E41" i="7"/>
  <c r="C41" i="7"/>
  <c r="B41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K39" i="7"/>
  <c r="J39" i="7"/>
  <c r="I39" i="7"/>
  <c r="H39" i="7"/>
  <c r="G39" i="7"/>
  <c r="F39" i="7"/>
  <c r="E39" i="7"/>
  <c r="C39" i="7"/>
  <c r="B39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C37" i="7"/>
  <c r="B37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C33" i="7"/>
  <c r="B33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J32" i="7"/>
  <c r="I32" i="7"/>
  <c r="H32" i="7"/>
  <c r="G32" i="7"/>
  <c r="F32" i="7"/>
  <c r="E32" i="7"/>
  <c r="C32" i="7"/>
  <c r="B32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C31" i="7"/>
  <c r="B31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H29" i="7"/>
  <c r="G29" i="7"/>
  <c r="F29" i="7"/>
  <c r="E29" i="7"/>
  <c r="C29" i="7"/>
  <c r="B29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C28" i="7"/>
  <c r="B28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G23" i="7"/>
  <c r="G42" i="7" s="1"/>
  <c r="K22" i="7"/>
  <c r="K41" i="7" s="1"/>
  <c r="L20" i="7"/>
  <c r="L39" i="7" s="1"/>
  <c r="K13" i="7"/>
  <c r="K32" i="7" s="1"/>
  <c r="I10" i="7"/>
  <c r="I29" i="7" s="1"/>
  <c r="AG15" i="4" l="1"/>
  <c r="AW15" i="4"/>
  <c r="E15" i="4"/>
  <c r="F15" i="4"/>
  <c r="J15" i="4"/>
  <c r="N15" i="4"/>
  <c r="R15" i="4"/>
  <c r="W15" i="4"/>
  <c r="AA15" i="4"/>
  <c r="AE15" i="4"/>
  <c r="AI15" i="4"/>
  <c r="AM15" i="4"/>
  <c r="AQ15" i="4"/>
  <c r="AU15" i="4"/>
  <c r="Y15" i="4"/>
  <c r="AC15" i="4"/>
  <c r="AK15" i="4"/>
  <c r="AO15" i="4"/>
  <c r="AS15" i="4"/>
  <c r="I15" i="4"/>
  <c r="Q15" i="4"/>
  <c r="M33" i="6"/>
  <c r="B15" i="4"/>
  <c r="G15" i="4"/>
  <c r="K15" i="4"/>
  <c r="O15" i="4"/>
  <c r="S15" i="4"/>
  <c r="X15" i="4"/>
  <c r="AB15" i="4"/>
  <c r="AF15" i="4"/>
  <c r="AJ15" i="4"/>
  <c r="AN15" i="4"/>
  <c r="AR15" i="4"/>
  <c r="AV15" i="4"/>
  <c r="U20" i="4"/>
  <c r="C15" i="4"/>
  <c r="H15" i="4"/>
  <c r="L15" i="4"/>
  <c r="P15" i="4"/>
  <c r="T15" i="4"/>
  <c r="V15" i="4"/>
  <c r="Z15" i="4"/>
  <c r="AD15" i="4"/>
  <c r="AH15" i="4"/>
  <c r="AL15" i="4"/>
  <c r="AP15" i="4"/>
  <c r="AT15" i="4"/>
  <c r="U18" i="4"/>
  <c r="U22" i="4"/>
  <c r="U19" i="4"/>
  <c r="U17" i="4"/>
  <c r="AC33" i="6"/>
  <c r="AU33" i="6"/>
  <c r="Q33" i="6"/>
  <c r="AG33" i="6"/>
  <c r="AM33" i="6"/>
  <c r="AQ33" i="6"/>
  <c r="E33" i="6"/>
  <c r="I33" i="6"/>
  <c r="U33" i="6"/>
  <c r="Y33" i="6"/>
  <c r="C33" i="6"/>
  <c r="H33" i="6"/>
  <c r="L33" i="6"/>
  <c r="P33" i="6"/>
  <c r="T33" i="6"/>
  <c r="X33" i="6"/>
  <c r="AB33" i="6"/>
  <c r="AF33" i="6"/>
  <c r="AJ33" i="6"/>
  <c r="AN33" i="6"/>
  <c r="AR33" i="6"/>
  <c r="AV33" i="6"/>
  <c r="F33" i="6"/>
  <c r="N33" i="6"/>
  <c r="R33" i="6"/>
  <c r="V33" i="6"/>
  <c r="Z33" i="6"/>
  <c r="AD33" i="6"/>
  <c r="AK33" i="6"/>
  <c r="AO33" i="6"/>
  <c r="AS33" i="6"/>
  <c r="AW33" i="6"/>
  <c r="AL33" i="6"/>
  <c r="AP33" i="6"/>
  <c r="AT33" i="6"/>
  <c r="B33" i="6"/>
  <c r="G33" i="6"/>
  <c r="K33" i="6"/>
  <c r="O33" i="6"/>
  <c r="S33" i="6"/>
  <c r="W33" i="6"/>
  <c r="AA33" i="6"/>
  <c r="AE33" i="6"/>
  <c r="J33" i="6"/>
  <c r="U15" i="4" l="1"/>
</calcChain>
</file>

<file path=xl/sharedStrings.xml><?xml version="1.0" encoding="utf-8"?>
<sst xmlns="http://schemas.openxmlformats.org/spreadsheetml/2006/main" count="1080" uniqueCount="156">
  <si>
    <t>ตาราง ฉ จำนวนและร้อยละของผู้มีงานทำ  จำแนกตามชั่วโมงการทำงานต่อสัปดาห์</t>
  </si>
  <si>
    <t>ชั่วโมงการทำงาน</t>
  </si>
  <si>
    <t>พ.ศ.2553</t>
  </si>
  <si>
    <t>พ.ศ.2554</t>
  </si>
  <si>
    <t>พ.ศ.2555</t>
  </si>
  <si>
    <t>พ.ศ. 2556</t>
  </si>
  <si>
    <t>พ.ศ. 2557</t>
  </si>
  <si>
    <t>พ.ศ. 2558</t>
  </si>
  <si>
    <t>พ.ศ. 2559</t>
  </si>
  <si>
    <t>พ.ศ. 2560</t>
  </si>
  <si>
    <t>พ.ศ. 2561</t>
  </si>
  <si>
    <t>พ.ศ. 2562</t>
  </si>
  <si>
    <t>พ.ศ. 2563</t>
  </si>
  <si>
    <t>พ.ศ. 2564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</si>
  <si>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</si>
  <si>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</si>
  <si>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</si>
  <si>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</si>
  <si>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</si>
  <si>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ยอดรวม</t>
  </si>
  <si>
    <t xml:space="preserve">              -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</si>
  <si>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</si>
  <si>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</si>
  <si>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</si>
  <si>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</si>
  <si>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</si>
  <si>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</si>
  <si>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</si>
  <si>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</si>
  <si>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</si>
  <si>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0 ชั่วโมง </t>
    </r>
    <r>
      <rPr>
        <u/>
        <vertAlign val="superscript"/>
        <sz val="15"/>
        <rFont val="TH SarabunPSK"/>
        <family val="2"/>
      </rPr>
      <t>1/</t>
    </r>
  </si>
  <si>
    <t xml:space="preserve"> 1/   ผู้ไม่ได้ทำงานในสัปดาห์การสำรวจ  แต่มีงานประจำ</t>
  </si>
  <si>
    <t>-  0.0  น้อยกว่าร้อยละ 0.1</t>
  </si>
  <si>
    <t>พ.ศ. 2555</t>
  </si>
  <si>
    <t>พ.ศ. 2554</t>
  </si>
  <si>
    <t>พ.ศ. 2553</t>
  </si>
  <si>
    <t>60+</t>
  </si>
  <si>
    <t>50-59</t>
  </si>
  <si>
    <t>40-49</t>
  </si>
  <si>
    <t>35-39</t>
  </si>
  <si>
    <t>30-34</t>
  </si>
  <si>
    <t>25-29</t>
  </si>
  <si>
    <t>20-24</t>
  </si>
  <si>
    <t>18-19</t>
  </si>
  <si>
    <t>15-17</t>
  </si>
  <si>
    <t>&lt;15</t>
  </si>
  <si>
    <t>นครราชสีมา</t>
  </si>
  <si>
    <t>หญิง</t>
  </si>
  <si>
    <t>ชาย</t>
  </si>
  <si>
    <t>รวม</t>
  </si>
  <si>
    <t>และหมวดอายุ</t>
  </si>
  <si>
    <t>นอกเขตเทศบาล</t>
  </si>
  <si>
    <t>ในเขตเทศบาล</t>
  </si>
  <si>
    <t>ภาค จังหวัด</t>
  </si>
  <si>
    <t>ตาราง จ  จำนวนและร้อยละของผู้มีงานทำ  จำแนกตามสถานภาพการทำงาน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</si>
  <si>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</si>
  <si>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</si>
  <si>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</si>
  <si>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</si>
  <si>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</si>
  <si>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</si>
  <si>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</si>
  <si>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ช  จำนวนและร้อยละของผู้มีงานทำ  จำแนกตามระดับการศึกษาที่สำเร็จ</t>
  </si>
  <si>
    <t>ระดับการศึกษาที่สำเร็จ</t>
  </si>
  <si>
    <t xml:space="preserve"> -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</si>
  <si>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</si>
  <si>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</si>
  <si>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</si>
  <si>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</si>
  <si>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</si>
  <si>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</si>
  <si>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</si>
  <si>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</si>
  <si>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 xml:space="preserve"> - 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</si>
  <si>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</si>
  <si>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</si>
  <si>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</si>
  <si>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</si>
  <si>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</si>
  <si>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</si>
  <si>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</si>
  <si>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 ง  จำนวนและร้อยละของผู้มีงานทำ  จำแนกตามอุตสาหกรรม </t>
  </si>
  <si>
    <t>อุตสาหกรรม</t>
  </si>
  <si>
    <t>พ.ศ.2556</t>
  </si>
  <si>
    <r>
      <t>ไตรมาสที่ 3</t>
    </r>
    <r>
      <rPr>
        <sz val="10"/>
        <rFont val="Arial"/>
        <family val="2"/>
      </rPr>
      <t/>
    </r>
  </si>
  <si>
    <t>1. เกษตรกรรม การล่าสัตว์และการป่าไม้และการประมง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</si>
  <si>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</si>
  <si>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</si>
  <si>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และการประปา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</si>
  <si>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</si>
  <si>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</si>
  <si>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รถจักรยานยนต์</t>
  </si>
  <si>
    <t xml:space="preserve">  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</si>
  <si>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</si>
  <si>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 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</si>
  <si>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</si>
  <si>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</si>
  <si>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และกิจกรรมทางธุรกิจ</t>
  </si>
  <si>
    <t>13. กิจกรรมทางด้านวิชาชีพและเทคนิค</t>
  </si>
  <si>
    <t>14. การบริหารและการสนับสนุน</t>
  </si>
  <si>
    <t xml:space="preserve">15. การบริหารราชการ และการป้องกันประเทศ </t>
  </si>
  <si>
    <t xml:space="preserve">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</si>
  <si>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</si>
  <si>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</si>
  <si>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ศิลปะความบันเทิงและนันทนาการ</t>
  </si>
  <si>
    <t>19. กิจกรรมด้านบริการชุมชน สังคม และการบริการส่วนบุคคลอื่นๆ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</si>
  <si>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</si>
  <si>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</si>
  <si>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</si>
  <si>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    - </t>
  </si>
  <si>
    <t>7. การขายส่ง การขายปลีก การซ่อมแซมยานยนต์  รถจักรยานยนต์</t>
  </si>
  <si>
    <t xml:space="preserve">    ของใช้ส่วนบุคคล และของใช้ในครัวเรือน</t>
  </si>
  <si>
    <t>12. กิจการด้านอสังหาริมทรัพย์ การให้เช่า  และกิจกรรมทางธุรกิจ</t>
  </si>
  <si>
    <t>อาชีพ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</si>
  <si>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</si>
  <si>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</si>
  <si>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</si>
  <si>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</si>
  <si>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</t>
  </si>
  <si>
    <t xml:space="preserve">   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</si>
  <si>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</si>
  <si>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</si>
  <si>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</si>
  <si>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</si>
  <si>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</si>
  <si>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                                   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</si>
  <si>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</si>
  <si>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</si>
  <si>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</si>
  <si>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</si>
  <si>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</si>
  <si>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</si>
  <si>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ตาราง ค  จำนวนและร้อยละของผู้มีงานทำ  จำแนกตามอาชีพ เป็นรายไตรมาส จังหวัดนครราชสีมา พ.ศ. 2553 - 2564</t>
  </si>
  <si>
    <t>จำนวนประชากร ณ วันที่ 1 กุมภาพันธ์ 2565 จำแนกตามเพศ หมวดอายุ ทั่วราชอาณาจักร เขตการปกครอง และภาค</t>
  </si>
  <si>
    <t>จำนวนประชากร ณ วันที่ 1 พฤษภาคม 2565 จำแนกตามเพศ หมวดอายุ ทั่วราชอาณาจักร เขตการปกครอง และภาค</t>
  </si>
  <si>
    <t>จำนวนประชากร ณ วันที่ 1 สิงหาาคม 2565 จำแนกตามเพศ หมวดอายุ ทั่วราชอาณาจักร เขตการปกครอง และภาค</t>
  </si>
  <si>
    <t>จำนวนประชากร ณ วันที่ 1 พฤศจิกายน 2565 จำแนกตามเพศ หมวดอายุ ทั่วราชอาณาจักร เขตการปกครอง และภาค</t>
  </si>
  <si>
    <t>พ.ศ. 2565</t>
  </si>
  <si>
    <t>…</t>
  </si>
  <si>
    <t xml:space="preserve"> -  น้อยกว่าร้อยละ 0.1</t>
  </si>
  <si>
    <t>ผู้มีอายุต่ำกว่า  15  ปี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</si>
  <si>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</si>
  <si>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</si>
  <si>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</si>
  <si>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</si>
  <si>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</si>
  <si>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</si>
  <si>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</si>
  <si>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</si>
  <si>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</si>
  <si>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</si>
  <si>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 xml:space="preserve">                   -</t>
  </si>
  <si>
    <t>สถานภาพแรงงาน</t>
  </si>
  <si>
    <t>ตาราง ก  จำนวนและร้อยละของประชากร  จำแนกตามสถานภาพแรงงาน</t>
  </si>
  <si>
    <t xml:space="preserve">     5.3  สายวิชาการศึกษา</t>
  </si>
  <si>
    <t>ตาราง ข  จำนวนและร้อยละของประชากรอายุ 15 ปีขึ้นไป จำแนกตามระดับการศึกษาที่สำเร็จ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</si>
</sst>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3" formatCode="_-* #,##0.00_-;\-* #,##0.00_-;_-* &quot;-&quot;??_-;_-@_-"/>
    <numFmt numFmtId="63" formatCode="t&quot;฿&quot;#,##0_);\(t&quot;฿&quot;#,##0\)"/>
    <numFmt numFmtId="187" formatCode="_(&quot;$&quot;* #,##0.00_);_(&quot;$&quot;* \(#,##0.00\);_(&quot;$&quot;* &quot;-&quot;??_);_(@_)"/>
    <numFmt numFmtId="188" formatCode="_-* #,##0_-;\-* #,##0_-;_-* \-??_-;_-@_-"/>
    <numFmt numFmtId="189" formatCode="_-* #,##0.0_-;\-* #,##0.0_-;_-* \-??_-;_-@_-"/>
    <numFmt numFmtId="190" formatCode="0.0"/>
    <numFmt numFmtId="191" formatCode="_(* #,##0.00_);_(* \(#,##0.00\);_(* &quot;-&quot;??_);_(@_)"/>
    <numFmt numFmtId="192" formatCode="_-* #,##0_-;\-* #,##0_-;_-* &quot;-&quot;??_-;_-@_-"/>
    <numFmt numFmtId="193" formatCode="_-* #,##0.0_-;\-* #,##0.0_-;_-* &quot;-&quot;??_-;_-@_-"/>
    <numFmt numFmtId="194" formatCode="_(* #,##0_);_(* \(#,##0\);_(* &quot;-&quot;_);_(@_)"/>
    <numFmt numFmtId="195" formatCode="_(* #,##0_);_(* \(#,##0\);_(* &quot;-&quot;??_);_(@_)"/>
    <numFmt numFmtId="196" formatCode="#,##0.0_);\(#,##0.0\)"/>
    <numFmt numFmtId="197" formatCode="General\ \ "/>
    <numFmt numFmtId="198" formatCode="#,##0.0"/>
    <numFmt numFmtId="199" formatCode="_-* #,##0.00_-;\-* #,##0.00_-;_-* \-??_-;_-@_-"/>
    <numFmt numFmtId="203" formatCode="_-* #,##0.0_-;\-* #,##0.0_-;_-* &quot;-&quot;?_-;_-@_-"/>
  </numFmts>
  <fonts count="4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7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u/>
      <vertAlign val="superscript"/>
      <sz val="15"/>
      <name val="TH SarabunPSK"/>
      <family val="2"/>
    </font>
    <font>
      <sz val="12"/>
      <name val="TH SarabunPSK"/>
      <family val="2"/>
    </font>
    <font>
      <sz val="8"/>
      <name val="Arial "/>
    </font>
    <font>
      <sz val="14"/>
      <name val="AngsanaUPC"/>
      <family val="1"/>
      <charset val="222"/>
    </font>
    <font>
      <sz val="14"/>
      <name val="DilleniaUPC"/>
      <family val="1"/>
    </font>
    <font>
      <b/>
      <sz val="14"/>
      <name val="DilleniaUPC"/>
      <family val="1"/>
    </font>
    <font>
      <b/>
      <sz val="14"/>
      <name val="DilleniaUPC"/>
      <family val="1"/>
      <charset val="222"/>
    </font>
    <font>
      <sz val="5"/>
      <name val="DilleniaUPC"/>
      <family val="1"/>
      <charset val="222"/>
    </font>
    <font>
      <b/>
      <sz val="13"/>
      <name val="TH SarabunPSK"/>
      <family val="2"/>
    </font>
    <font>
      <b/>
      <sz val="11.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5"/>
      <name val="Angsana New"/>
      <family val="1"/>
      <charset val="222"/>
    </font>
    <font>
      <sz val="14"/>
      <color indexed="8"/>
      <name val="TH SarabunPSK"/>
      <family val="2"/>
    </font>
    <font>
      <sz val="17"/>
      <name val="TH SarabunPSK"/>
      <family val="2"/>
    </font>
    <font>
      <b/>
      <sz val="13.5"/>
      <name val="TH SarabunPSK"/>
      <family val="2"/>
    </font>
    <font>
      <sz val="10"/>
      <name val="Arial"/>
      <family val="2"/>
    </font>
    <font>
      <b/>
      <sz val="12.5"/>
      <name val="TH SarabunPSK"/>
      <family val="2"/>
    </font>
    <font>
      <b/>
      <sz val="12"/>
      <name val="TH SarabunPSK"/>
      <family val="2"/>
    </font>
    <font>
      <b/>
      <sz val="8"/>
      <name val="Arial"/>
      <family val="2"/>
    </font>
    <font>
      <sz val="12.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8"/>
      <name val="Arial"/>
      <family val="2"/>
    </font>
    <font>
      <b/>
      <sz val="8"/>
      <name val="Arial "/>
    </font>
    <font>
      <sz val="15"/>
      <name val="Calibri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4"/>
      <name val="AngsanaUPC"/>
    </font>
    <font>
      <sz val="14"/>
      <name val="AngsanaUPC"/>
      <family val="1"/>
    </font>
    <font>
      <sz val="11"/>
      <color theme="1"/>
      <name val="Tahoma"/>
      <family val="2"/>
      <charset val="222"/>
      <scheme val="minor"/>
    </font>
    <font>
      <b/>
      <sz val="13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5">
    <xf numFmtId="0" fontId="0" fillId="0" borderId="0"/>
    <xf numFmtId="191" fontId="14" fillId="0" borderId="0" applyFont="0" applyFill="0" applyBorder="0" applyAlignment="0" applyProtection="0"/>
    <xf numFmtId="191" fontId="8" fillId="0" borderId="0" applyFill="0" applyBorder="0" applyAlignment="0" applyProtection="0"/>
    <xf numFmtId="0" fontId="8" fillId="0" borderId="0" applyFill="0" applyBorder="0" applyAlignment="0" applyProtection="0"/>
    <xf numFmtId="199" fontId="8" fillId="0" borderId="0" applyFill="0" applyBorder="0" applyAlignment="0" applyProtection="0"/>
    <xf numFmtId="43" fontId="1" fillId="0" borderId="0" applyFont="0" applyFill="0" applyBorder="0" applyAlignment="0" applyProtection="0"/>
    <xf numFmtId="199" fontId="8" fillId="0" borderId="0" applyFill="0" applyBorder="0" applyAlignment="0" applyProtection="0"/>
    <xf numFmtId="193" fontId="8" fillId="0" borderId="0" applyFill="0" applyBorder="0" applyAlignment="0" applyProtection="0"/>
    <xf numFmtId="191" fontId="8" fillId="0" borderId="0" applyFill="0" applyBorder="0" applyAlignment="0" applyProtection="0"/>
    <xf numFmtId="192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0" fillId="0" borderId="0"/>
    <xf numFmtId="43" fontId="14" fillId="0" borderId="0" applyFont="0" applyFill="0" applyBorder="0" applyAlignment="0" applyProtection="0"/>
    <xf numFmtId="0" fontId="41" fillId="0" borderId="0"/>
    <xf numFmtId="63" fontId="8" fillId="0" borderId="0" applyFill="0" applyBorder="0" applyAlignment="0" applyProtection="0"/>
    <xf numFmtId="43" fontId="42" fillId="0" borderId="0" applyFont="0" applyFill="0" applyBorder="0" applyAlignment="0" applyProtection="0"/>
    <xf numFmtId="0" fontId="8" fillId="0" borderId="0"/>
  </cellStyleXfs>
  <cellXfs count="360">
    <xf numFmtId="0" fontId="0" fillId="0" borderId="0" xfId="0"/>
    <xf numFmtId="0" fontId="2" fillId="0" borderId="0" xfId="18" applyFont="1" applyAlignment="1"/>
    <xf numFmtId="0" fontId="3" fillId="0" borderId="0" xfId="18" applyFont="1" applyAlignment="1"/>
    <xf numFmtId="0" fontId="3" fillId="0" borderId="0" xfId="18" applyFont="1"/>
    <xf numFmtId="0" fontId="4" fillId="0" borderId="0" xfId="18" applyFont="1" applyAlignment="1"/>
    <xf numFmtId="0" fontId="5" fillId="0" borderId="0" xfId="18" applyFont="1" applyAlignment="1"/>
    <xf numFmtId="0" fontId="5" fillId="0" borderId="0" xfId="18" applyFont="1" applyBorder="1" applyAlignment="1"/>
    <xf numFmtId="0" fontId="5" fillId="0" borderId="0" xfId="18" applyFont="1" applyAlignment="1">
      <alignment vertical="top"/>
    </xf>
    <xf numFmtId="0" fontId="6" fillId="0" borderId="0" xfId="18" applyFont="1" applyAlignment="1"/>
    <xf numFmtId="0" fontId="7" fillId="0" borderId="1" xfId="18" applyFont="1" applyBorder="1" applyAlignment="1">
      <alignment horizontal="right"/>
    </xf>
    <xf numFmtId="0" fontId="7" fillId="0" borderId="2" xfId="18" applyFont="1" applyBorder="1" applyAlignment="1">
      <alignment horizontal="center"/>
    </xf>
    <xf numFmtId="0" fontId="7" fillId="0" borderId="1" xfId="18" applyFont="1" applyBorder="1" applyAlignment="1">
      <alignment horizontal="right" vertical="center"/>
    </xf>
    <xf numFmtId="0" fontId="7" fillId="0" borderId="0" xfId="18" applyFont="1" applyAlignment="1"/>
    <xf numFmtId="0" fontId="6" fillId="0" borderId="0" xfId="18" applyFont="1" applyBorder="1" applyAlignment="1">
      <alignment horizontal="center" vertical="center"/>
    </xf>
    <xf numFmtId="0" fontId="6" fillId="0" borderId="0" xfId="18" applyFont="1" applyAlignment="1">
      <alignment horizontal="center"/>
    </xf>
    <xf numFmtId="188" fontId="7" fillId="0" borderId="0" xfId="10" applyNumberFormat="1" applyFont="1" applyFill="1" applyBorder="1" applyAlignment="1" applyProtection="1">
      <alignment horizontal="right"/>
    </xf>
    <xf numFmtId="3" fontId="7" fillId="0" borderId="0" xfId="18" applyNumberFormat="1" applyFont="1" applyAlignment="1"/>
    <xf numFmtId="188" fontId="6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>
      <alignment horizontal="left" vertical="center"/>
    </xf>
    <xf numFmtId="188" fontId="4" fillId="0" borderId="0" xfId="10" applyNumberFormat="1" applyFont="1" applyFill="1" applyBorder="1" applyAlignment="1" applyProtection="1">
      <alignment horizontal="right"/>
    </xf>
    <xf numFmtId="3" fontId="4" fillId="0" borderId="0" xfId="18" applyNumberFormat="1" applyFont="1" applyAlignment="1"/>
    <xf numFmtId="188" fontId="9" fillId="0" borderId="0" xfId="10" applyNumberFormat="1" applyFont="1" applyFill="1" applyBorder="1" applyAlignment="1" applyProtection="1">
      <alignment horizontal="right" vertical="center"/>
    </xf>
    <xf numFmtId="188" fontId="9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/>
    <xf numFmtId="0" fontId="9" fillId="0" borderId="0" xfId="18" applyFont="1" applyAlignment="1">
      <alignment horizontal="left"/>
    </xf>
    <xf numFmtId="17" fontId="9" fillId="0" borderId="0" xfId="18" applyNumberFormat="1" applyFont="1" applyAlignment="1">
      <alignment horizontal="left"/>
    </xf>
    <xf numFmtId="0" fontId="9" fillId="0" borderId="0" xfId="18" applyFont="1" applyBorder="1" applyAlignment="1">
      <alignment horizontal="left"/>
    </xf>
    <xf numFmtId="189" fontId="7" fillId="0" borderId="0" xfId="10" applyNumberFormat="1" applyFont="1" applyFill="1" applyBorder="1" applyAlignment="1" applyProtection="1">
      <alignment horizontal="right"/>
    </xf>
    <xf numFmtId="190" fontId="7" fillId="0" borderId="0" xfId="18" applyNumberFormat="1" applyFont="1" applyAlignment="1">
      <alignment horizontal="right"/>
    </xf>
    <xf numFmtId="190" fontId="9" fillId="0" borderId="0" xfId="18" applyNumberFormat="1" applyFont="1" applyAlignment="1"/>
    <xf numFmtId="189" fontId="4" fillId="0" borderId="0" xfId="10" applyNumberFormat="1" applyFont="1" applyFill="1" applyBorder="1" applyAlignment="1" applyProtection="1">
      <alignment horizontal="right"/>
    </xf>
    <xf numFmtId="0" fontId="5" fillId="0" borderId="1" xfId="18" applyFont="1" applyBorder="1" applyAlignment="1"/>
    <xf numFmtId="0" fontId="4" fillId="0" borderId="1" xfId="18" applyFont="1" applyBorder="1" applyAlignment="1"/>
    <xf numFmtId="0" fontId="5" fillId="0" borderId="2" xfId="18" applyFont="1" applyBorder="1" applyAlignment="1"/>
    <xf numFmtId="0" fontId="12" fillId="0" borderId="0" xfId="18" applyFont="1"/>
    <xf numFmtId="0" fontId="4" fillId="0" borderId="0" xfId="18" applyFont="1"/>
    <xf numFmtId="189" fontId="9" fillId="0" borderId="0" xfId="18" applyNumberFormat="1" applyFont="1"/>
    <xf numFmtId="0" fontId="9" fillId="0" borderId="0" xfId="18" applyFont="1"/>
    <xf numFmtId="0" fontId="1" fillId="0" borderId="0" xfId="14"/>
    <xf numFmtId="0" fontId="38" fillId="0" borderId="0" xfId="14" applyFont="1"/>
    <xf numFmtId="195" fontId="15" fillId="0" borderId="0" xfId="1" applyNumberFormat="1" applyFont="1"/>
    <xf numFmtId="0" fontId="39" fillId="0" borderId="0" xfId="14" applyFont="1"/>
    <xf numFmtId="0" fontId="39" fillId="0" borderId="6" xfId="14" applyFont="1" applyBorder="1" applyAlignment="1">
      <alignment horizontal="center" vertical="center"/>
    </xf>
    <xf numFmtId="0" fontId="39" fillId="0" borderId="9" xfId="14" applyFont="1" applyBorder="1" applyAlignment="1">
      <alignment horizontal="center" vertical="center"/>
    </xf>
    <xf numFmtId="0" fontId="15" fillId="0" borderId="0" xfId="14" applyFont="1"/>
    <xf numFmtId="0" fontId="16" fillId="0" borderId="0" xfId="14" applyFont="1"/>
    <xf numFmtId="195" fontId="16" fillId="0" borderId="4" xfId="1" applyNumberFormat="1" applyFont="1" applyBorder="1" applyAlignment="1">
      <alignment horizontal="center"/>
    </xf>
    <xf numFmtId="195" fontId="16" fillId="0" borderId="10" xfId="1" applyNumberFormat="1" applyFont="1" applyBorder="1" applyAlignment="1">
      <alignment horizontal="center"/>
    </xf>
    <xf numFmtId="195" fontId="16" fillId="0" borderId="11" xfId="1" applyNumberFormat="1" applyFont="1" applyBorder="1" applyAlignment="1">
      <alignment horizontal="center"/>
    </xf>
    <xf numFmtId="0" fontId="17" fillId="0" borderId="2" xfId="14" applyFont="1" applyBorder="1" applyAlignment="1">
      <alignment horizontal="center"/>
    </xf>
    <xf numFmtId="195" fontId="16" fillId="0" borderId="12" xfId="1" applyNumberFormat="1" applyFont="1" applyBorder="1" applyAlignment="1">
      <alignment horizontal="centerContinuous"/>
    </xf>
    <xf numFmtId="195" fontId="14" fillId="0" borderId="12" xfId="1" applyNumberFormat="1" applyFont="1" applyBorder="1" applyAlignment="1">
      <alignment horizontal="centerContinuous"/>
    </xf>
    <xf numFmtId="195" fontId="16" fillId="0" borderId="13" xfId="1" applyNumberFormat="1" applyFont="1" applyBorder="1" applyAlignment="1">
      <alignment horizontal="centerContinuous"/>
    </xf>
    <xf numFmtId="195" fontId="16" fillId="0" borderId="14" xfId="1" applyNumberFormat="1" applyFont="1" applyBorder="1" applyAlignment="1">
      <alignment horizontal="centerContinuous"/>
    </xf>
    <xf numFmtId="0" fontId="17" fillId="0" borderId="12" xfId="14" applyFont="1" applyBorder="1" applyAlignment="1">
      <alignment horizontal="center"/>
    </xf>
    <xf numFmtId="0" fontId="18" fillId="0" borderId="0" xfId="14" applyFont="1"/>
    <xf numFmtId="195" fontId="18" fillId="0" borderId="0" xfId="1" applyNumberFormat="1" applyFont="1"/>
    <xf numFmtId="3" fontId="18" fillId="0" borderId="0" xfId="14" applyNumberFormat="1" applyFont="1" applyAlignment="1">
      <alignment horizontal="center"/>
    </xf>
    <xf numFmtId="3" fontId="17" fillId="0" borderId="0" xfId="14" quotePrefix="1" applyNumberFormat="1" applyFont="1" applyFill="1" applyAlignment="1">
      <alignment horizontal="left"/>
    </xf>
    <xf numFmtId="0" fontId="3" fillId="0" borderId="0" xfId="18" applyFont="1" applyAlignment="1">
      <alignment horizontal="center"/>
    </xf>
    <xf numFmtId="0" fontId="3" fillId="0" borderId="0" xfId="18" applyFont="1" applyBorder="1" applyAlignment="1"/>
    <xf numFmtId="0" fontId="19" fillId="0" borderId="3" xfId="18" applyFont="1" applyBorder="1" applyAlignment="1">
      <alignment horizontal="center"/>
    </xf>
    <xf numFmtId="0" fontId="19" fillId="0" borderId="1" xfId="18" applyFont="1" applyBorder="1" applyAlignment="1">
      <alignment horizontal="right"/>
    </xf>
    <xf numFmtId="0" fontId="19" fillId="0" borderId="1" xfId="18" applyFont="1" applyBorder="1" applyAlignment="1">
      <alignment horizontal="center"/>
    </xf>
    <xf numFmtId="188" fontId="19" fillId="0" borderId="0" xfId="11" applyNumberFormat="1" applyFont="1" applyFill="1" applyBorder="1" applyAlignment="1" applyProtection="1"/>
    <xf numFmtId="189" fontId="19" fillId="0" borderId="0" xfId="11" applyNumberFormat="1" applyFont="1" applyFill="1" applyBorder="1" applyAlignment="1" applyProtection="1">
      <alignment horizontal="right"/>
    </xf>
    <xf numFmtId="192" fontId="20" fillId="0" borderId="0" xfId="5" applyNumberFormat="1" applyFont="1" applyBorder="1"/>
    <xf numFmtId="188" fontId="19" fillId="0" borderId="0" xfId="11" applyNumberFormat="1" applyFont="1" applyFill="1" applyBorder="1" applyAlignment="1" applyProtection="1">
      <alignment horizontal="right"/>
    </xf>
    <xf numFmtId="0" fontId="19" fillId="0" borderId="0" xfId="18" applyFont="1" applyAlignment="1"/>
    <xf numFmtId="0" fontId="21" fillId="0" borderId="0" xfId="18" applyFont="1" applyAlignment="1"/>
    <xf numFmtId="188" fontId="22" fillId="0" borderId="0" xfId="11" applyNumberFormat="1" applyFont="1" applyFill="1" applyBorder="1" applyAlignment="1" applyProtection="1"/>
    <xf numFmtId="189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/>
    <xf numFmtId="0" fontId="21" fillId="0" borderId="0" xfId="18" applyFont="1" applyBorder="1" applyAlignment="1"/>
    <xf numFmtId="188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 applyAlignment="1">
      <alignment horizontal="right"/>
    </xf>
    <xf numFmtId="189" fontId="4" fillId="0" borderId="0" xfId="18" applyNumberFormat="1" applyFont="1" applyAlignment="1"/>
    <xf numFmtId="0" fontId="22" fillId="0" borderId="0" xfId="11" applyNumberFormat="1" applyFont="1" applyFill="1" applyBorder="1" applyAlignment="1" applyProtection="1">
      <alignment horizontal="right"/>
    </xf>
    <xf numFmtId="0" fontId="21" fillId="0" borderId="1" xfId="18" applyFont="1" applyBorder="1" applyAlignment="1"/>
    <xf numFmtId="0" fontId="3" fillId="0" borderId="0" xfId="17" applyFont="1" applyAlignment="1"/>
    <xf numFmtId="0" fontId="3" fillId="0" borderId="0" xfId="17" applyFont="1" applyAlignment="1">
      <alignment vertical="top"/>
    </xf>
    <xf numFmtId="0" fontId="4" fillId="0" borderId="0" xfId="17" applyFont="1" applyAlignment="1"/>
    <xf numFmtId="0" fontId="5" fillId="0" borderId="0" xfId="17" applyFont="1" applyBorder="1" applyAlignment="1"/>
    <xf numFmtId="0" fontId="5" fillId="0" borderId="0" xfId="17" applyFont="1" applyAlignment="1"/>
    <xf numFmtId="0" fontId="5" fillId="0" borderId="0" xfId="17" applyFont="1"/>
    <xf numFmtId="0" fontId="7" fillId="0" borderId="3" xfId="17" applyFont="1" applyBorder="1" applyAlignment="1">
      <alignment horizontal="right"/>
    </xf>
    <xf numFmtId="0" fontId="7" fillId="0" borderId="0" xfId="17" applyFont="1" applyAlignment="1"/>
    <xf numFmtId="0" fontId="7" fillId="0" borderId="1" xfId="17" applyFont="1" applyBorder="1" applyAlignment="1">
      <alignment horizontal="right"/>
    </xf>
    <xf numFmtId="0" fontId="7" fillId="0" borderId="2" xfId="17" applyFont="1" applyBorder="1" applyAlignment="1">
      <alignment horizontal="center"/>
    </xf>
    <xf numFmtId="0" fontId="6" fillId="0" borderId="0" xfId="17" applyFont="1" applyBorder="1" applyAlignment="1">
      <alignment horizontal="center"/>
    </xf>
    <xf numFmtId="0" fontId="7" fillId="0" borderId="0" xfId="17" applyFont="1" applyBorder="1" applyAlignment="1">
      <alignment horizontal="center"/>
    </xf>
    <xf numFmtId="0" fontId="7" fillId="0" borderId="0" xfId="17" applyFont="1" applyAlignment="1">
      <alignment horizontal="center"/>
    </xf>
    <xf numFmtId="188" fontId="19" fillId="0" borderId="0" xfId="8" applyNumberFormat="1" applyFont="1" applyFill="1" applyBorder="1" applyAlignment="1" applyProtection="1">
      <alignment horizontal="right"/>
    </xf>
    <xf numFmtId="3" fontId="19" fillId="0" borderId="0" xfId="17" applyNumberFormat="1" applyFont="1" applyAlignment="1"/>
    <xf numFmtId="3" fontId="19" fillId="0" borderId="0" xfId="17" applyNumberFormat="1" applyFont="1" applyAlignment="1">
      <alignment horizontal="right"/>
    </xf>
    <xf numFmtId="188" fontId="22" fillId="0" borderId="0" xfId="8" applyNumberFormat="1" applyFont="1" applyFill="1" applyBorder="1" applyAlignment="1" applyProtection="1">
      <alignment horizontal="right"/>
    </xf>
    <xf numFmtId="188" fontId="19" fillId="0" borderId="0" xfId="8" applyNumberFormat="1" applyFont="1" applyFill="1" applyBorder="1" applyAlignment="1" applyProtection="1"/>
    <xf numFmtId="0" fontId="22" fillId="0" borderId="0" xfId="17" applyFont="1" applyAlignment="1">
      <alignment horizontal="right"/>
    </xf>
    <xf numFmtId="188" fontId="24" fillId="0" borderId="0" xfId="8" applyNumberFormat="1" applyFont="1" applyFill="1" applyBorder="1" applyAlignment="1" applyProtection="1">
      <alignment horizontal="right" vertical="center"/>
    </xf>
    <xf numFmtId="0" fontId="25" fillId="0" borderId="0" xfId="17" applyFont="1" applyBorder="1" applyAlignment="1"/>
    <xf numFmtId="188" fontId="22" fillId="0" borderId="0" xfId="8" applyNumberFormat="1" applyFont="1" applyFill="1" applyBorder="1" applyAlignment="1" applyProtection="1"/>
    <xf numFmtId="3" fontId="22" fillId="0" borderId="0" xfId="17" applyNumberFormat="1" applyFont="1" applyAlignment="1">
      <alignment horizontal="right"/>
    </xf>
    <xf numFmtId="0" fontId="4" fillId="0" borderId="0" xfId="17" applyFont="1" applyAlignment="1" applyProtection="1">
      <alignment horizontal="left"/>
    </xf>
    <xf numFmtId="0" fontId="4" fillId="0" borderId="0" xfId="17" applyFont="1" applyBorder="1" applyAlignment="1" applyProtection="1">
      <alignment horizontal="left"/>
    </xf>
    <xf numFmtId="198" fontId="4" fillId="0" borderId="0" xfId="17" applyNumberFormat="1" applyFont="1" applyBorder="1" applyAlignment="1" applyProtection="1">
      <alignment horizontal="left"/>
    </xf>
    <xf numFmtId="189" fontId="22" fillId="0" borderId="0" xfId="8" applyNumberFormat="1" applyFont="1" applyFill="1" applyBorder="1" applyAlignment="1" applyProtection="1">
      <alignment horizontal="right"/>
    </xf>
    <xf numFmtId="43" fontId="4" fillId="0" borderId="0" xfId="17" applyNumberFormat="1" applyFont="1" applyAlignment="1"/>
    <xf numFmtId="0" fontId="19" fillId="0" borderId="0" xfId="17" applyFont="1" applyAlignment="1">
      <alignment horizontal="center"/>
    </xf>
    <xf numFmtId="0" fontId="19" fillId="0" borderId="0" xfId="17" applyFont="1" applyAlignment="1">
      <alignment horizontal="right"/>
    </xf>
    <xf numFmtId="0" fontId="22" fillId="0" borderId="0" xfId="17" applyFont="1" applyAlignment="1"/>
    <xf numFmtId="189" fontId="19" fillId="0" borderId="0" xfId="8" applyNumberFormat="1" applyFont="1" applyFill="1" applyBorder="1" applyAlignment="1" applyProtection="1">
      <alignment horizontal="right"/>
    </xf>
    <xf numFmtId="190" fontId="19" fillId="0" borderId="0" xfId="17" applyNumberFormat="1" applyFont="1" applyAlignment="1"/>
    <xf numFmtId="190" fontId="19" fillId="0" borderId="0" xfId="17" applyNumberFormat="1" applyFont="1" applyBorder="1" applyAlignment="1">
      <alignment horizontal="right"/>
    </xf>
    <xf numFmtId="0" fontId="4" fillId="0" borderId="0" xfId="17" applyFont="1" applyBorder="1" applyAlignment="1"/>
    <xf numFmtId="0" fontId="5" fillId="0" borderId="1" xfId="17" applyFont="1" applyBorder="1" applyAlignment="1"/>
    <xf numFmtId="0" fontId="5" fillId="0" borderId="2" xfId="17" applyFont="1" applyBorder="1" applyAlignment="1"/>
    <xf numFmtId="0" fontId="5" fillId="0" borderId="2" xfId="17" applyFont="1" applyBorder="1" applyAlignment="1">
      <alignment horizontal="right"/>
    </xf>
    <xf numFmtId="0" fontId="9" fillId="0" borderId="0" xfId="17" applyFont="1"/>
    <xf numFmtId="189" fontId="9" fillId="0" borderId="0" xfId="17" applyNumberFormat="1" applyFont="1"/>
    <xf numFmtId="0" fontId="2" fillId="0" borderId="0" xfId="13" applyFont="1" applyAlignment="1"/>
    <xf numFmtId="0" fontId="7" fillId="0" borderId="0" xfId="13" applyFont="1" applyAlignment="1"/>
    <xf numFmtId="0" fontId="26" fillId="0" borderId="0" xfId="13" applyFont="1" applyAlignment="1"/>
    <xf numFmtId="0" fontId="4" fillId="0" borderId="0" xfId="13" applyFont="1" applyAlignment="1"/>
    <xf numFmtId="0" fontId="3" fillId="0" borderId="0" xfId="13" applyFont="1" applyAlignment="1"/>
    <xf numFmtId="0" fontId="9" fillId="0" borderId="0" xfId="13" applyFont="1" applyAlignment="1">
      <alignment vertical="top"/>
    </xf>
    <xf numFmtId="0" fontId="27" fillId="0" borderId="1" xfId="13" applyFont="1" applyBorder="1" applyAlignment="1">
      <alignment horizontal="right"/>
    </xf>
    <xf numFmtId="0" fontId="27" fillId="0" borderId="3" xfId="13" applyFont="1" applyBorder="1" applyAlignment="1">
      <alignment horizontal="right"/>
    </xf>
    <xf numFmtId="0" fontId="7" fillId="0" borderId="1" xfId="13" applyFont="1" applyBorder="1" applyAlignment="1">
      <alignment horizontal="right" vertical="center"/>
    </xf>
    <xf numFmtId="0" fontId="6" fillId="0" borderId="0" xfId="13" applyFont="1" applyBorder="1" applyAlignment="1">
      <alignment horizontal="center"/>
    </xf>
    <xf numFmtId="3" fontId="29" fillId="0" borderId="0" xfId="13" applyNumberFormat="1" applyFont="1" applyAlignment="1"/>
    <xf numFmtId="0" fontId="7" fillId="0" borderId="0" xfId="13" applyFont="1" applyAlignment="1">
      <alignment horizontal="center"/>
    </xf>
    <xf numFmtId="188" fontId="30" fillId="0" borderId="0" xfId="3" applyNumberFormat="1" applyFont="1" applyFill="1" applyBorder="1" applyAlignment="1" applyProtection="1">
      <alignment horizontal="right"/>
    </xf>
    <xf numFmtId="188" fontId="30" fillId="0" borderId="0" xfId="3" applyNumberFormat="1" applyFont="1" applyAlignment="1"/>
    <xf numFmtId="188" fontId="12" fillId="0" borderId="0" xfId="3" applyNumberFormat="1" applyFont="1" applyAlignment="1">
      <alignment horizontal="right"/>
    </xf>
    <xf numFmtId="188" fontId="12" fillId="0" borderId="0" xfId="3" applyNumberFormat="1" applyFont="1" applyFill="1" applyBorder="1" applyAlignment="1" applyProtection="1">
      <alignment horizontal="right"/>
    </xf>
    <xf numFmtId="188" fontId="12" fillId="0" borderId="0" xfId="3" applyNumberFormat="1" applyFont="1" applyAlignment="1"/>
    <xf numFmtId="188" fontId="12" fillId="0" borderId="0" xfId="3" applyNumberFormat="1" applyFont="1" applyFill="1" applyBorder="1" applyAlignment="1" applyProtection="1"/>
    <xf numFmtId="0" fontId="22" fillId="0" borderId="0" xfId="13" applyFont="1" applyAlignment="1" applyProtection="1">
      <alignment horizontal="left"/>
    </xf>
    <xf numFmtId="188" fontId="12" fillId="0" borderId="0" xfId="3" applyNumberFormat="1" applyFont="1" applyAlignment="1">
      <alignment horizontal="right" vertical="center"/>
    </xf>
    <xf numFmtId="0" fontId="22" fillId="0" borderId="0" xfId="13" applyFont="1" applyBorder="1" applyAlignment="1" applyProtection="1">
      <alignment horizontal="left"/>
    </xf>
    <xf numFmtId="0" fontId="22" fillId="0" borderId="0" xfId="13" applyFont="1" applyBorder="1" applyAlignment="1"/>
    <xf numFmtId="0" fontId="22" fillId="0" borderId="0" xfId="13" applyFont="1" applyAlignment="1"/>
    <xf numFmtId="0" fontId="4" fillId="0" borderId="0" xfId="13" applyFont="1" applyAlignment="1">
      <alignment horizontal="right"/>
    </xf>
    <xf numFmtId="0" fontId="31" fillId="0" borderId="0" xfId="16" applyFont="1" applyFill="1" applyBorder="1"/>
    <xf numFmtId="0" fontId="19" fillId="0" borderId="0" xfId="13" applyFont="1" applyAlignment="1">
      <alignment horizontal="center"/>
    </xf>
    <xf numFmtId="198" fontId="29" fillId="0" borderId="0" xfId="13" applyNumberFormat="1" applyFont="1" applyAlignment="1">
      <alignment horizontal="right"/>
    </xf>
    <xf numFmtId="0" fontId="29" fillId="0" borderId="0" xfId="13" applyFont="1" applyAlignment="1"/>
    <xf numFmtId="189" fontId="32" fillId="0" borderId="0" xfId="3" applyNumberFormat="1" applyFont="1" applyFill="1" applyBorder="1" applyAlignment="1" applyProtection="1">
      <alignment horizontal="right"/>
    </xf>
    <xf numFmtId="3" fontId="29" fillId="0" borderId="0" xfId="3" applyNumberFormat="1" applyFont="1" applyFill="1" applyBorder="1" applyAlignment="1" applyProtection="1">
      <alignment horizontal="right"/>
    </xf>
    <xf numFmtId="0" fontId="22" fillId="0" borderId="0" xfId="13" applyFont="1" applyAlignment="1" applyProtection="1"/>
    <xf numFmtId="189" fontId="29" fillId="0" borderId="0" xfId="3" applyNumberFormat="1" applyFont="1" applyFill="1" applyBorder="1" applyAlignment="1" applyProtection="1">
      <alignment horizontal="right"/>
    </xf>
    <xf numFmtId="0" fontId="22" fillId="0" borderId="1" xfId="13" applyFont="1" applyBorder="1" applyAlignment="1"/>
    <xf numFmtId="189" fontId="32" fillId="0" borderId="2" xfId="3" applyNumberFormat="1" applyFont="1" applyFill="1" applyBorder="1" applyAlignment="1" applyProtection="1">
      <alignment horizontal="right"/>
    </xf>
    <xf numFmtId="0" fontId="9" fillId="0" borderId="0" xfId="13" applyFont="1" applyBorder="1" applyAlignment="1"/>
    <xf numFmtId="190" fontId="4" fillId="0" borderId="0" xfId="13" applyNumberFormat="1" applyFont="1" applyAlignment="1"/>
    <xf numFmtId="0" fontId="9" fillId="0" borderId="0" xfId="13" applyFont="1" applyAlignment="1"/>
    <xf numFmtId="189" fontId="9" fillId="0" borderId="0" xfId="13" applyNumberFormat="1" applyFont="1" applyAlignment="1"/>
    <xf numFmtId="189" fontId="9" fillId="0" borderId="0" xfId="13" applyNumberFormat="1" applyFont="1" applyAlignment="1">
      <alignment vertical="center"/>
    </xf>
    <xf numFmtId="0" fontId="9" fillId="0" borderId="0" xfId="13" applyFont="1" applyAlignment="1">
      <alignment vertical="center"/>
    </xf>
    <xf numFmtId="0" fontId="33" fillId="0" borderId="0" xfId="18" applyFont="1" applyAlignment="1"/>
    <xf numFmtId="0" fontId="34" fillId="0" borderId="0" xfId="18" applyFont="1" applyAlignment="1"/>
    <xf numFmtId="0" fontId="34" fillId="0" borderId="0" xfId="18" applyFont="1" applyBorder="1" applyAlignment="1"/>
    <xf numFmtId="194" fontId="31" fillId="2" borderId="0" xfId="18" applyNumberFormat="1" applyFont="1" applyFill="1" applyBorder="1"/>
    <xf numFmtId="194" fontId="35" fillId="2" borderId="0" xfId="18" applyNumberFormat="1" applyFont="1" applyFill="1" applyBorder="1"/>
    <xf numFmtId="194" fontId="35" fillId="2" borderId="0" xfId="18" applyNumberFormat="1" applyFont="1" applyFill="1" applyBorder="1" applyAlignment="1">
      <alignment horizontal="center"/>
    </xf>
    <xf numFmtId="0" fontId="30" fillId="0" borderId="0" xfId="18" applyFont="1" applyAlignment="1">
      <alignment horizontal="center"/>
    </xf>
    <xf numFmtId="0" fontId="30" fillId="0" borderId="0" xfId="18" applyFont="1" applyAlignment="1"/>
    <xf numFmtId="0" fontId="30" fillId="0" borderId="0" xfId="18" applyFont="1" applyBorder="1" applyAlignment="1"/>
    <xf numFmtId="0" fontId="9" fillId="0" borderId="0" xfId="18" applyFont="1" applyAlignment="1">
      <alignment vertical="top"/>
    </xf>
    <xf numFmtId="0" fontId="4" fillId="0" borderId="0" xfId="18" applyFont="1" applyBorder="1" applyAlignment="1"/>
    <xf numFmtId="0" fontId="4" fillId="0" borderId="3" xfId="18" applyFont="1" applyBorder="1" applyAlignment="1"/>
    <xf numFmtId="0" fontId="29" fillId="0" borderId="1" xfId="18" applyFont="1" applyBorder="1" applyAlignment="1">
      <alignment horizontal="right"/>
    </xf>
    <xf numFmtId="0" fontId="29" fillId="0" borderId="1" xfId="18" applyFont="1" applyBorder="1" applyAlignment="1">
      <alignment horizontal="left"/>
    </xf>
    <xf numFmtId="0" fontId="29" fillId="0" borderId="3" xfId="18" applyFont="1" applyBorder="1" applyAlignment="1">
      <alignment horizontal="right"/>
    </xf>
    <xf numFmtId="0" fontId="29" fillId="0" borderId="1" xfId="18" applyFont="1" applyBorder="1" applyAlignment="1">
      <alignment horizontal="center"/>
    </xf>
    <xf numFmtId="0" fontId="7" fillId="0" borderId="0" xfId="18" applyFont="1" applyBorder="1" applyAlignment="1"/>
    <xf numFmtId="194" fontId="35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right" vertical="center"/>
    </xf>
    <xf numFmtId="188" fontId="19" fillId="0" borderId="0" xfId="4" applyNumberFormat="1" applyFont="1" applyFill="1" applyBorder="1" applyAlignment="1" applyProtection="1">
      <alignment horizontal="left"/>
    </xf>
    <xf numFmtId="188" fontId="19" fillId="0" borderId="0" xfId="4" applyNumberFormat="1" applyFont="1" applyFill="1" applyBorder="1" applyAlignment="1" applyProtection="1"/>
    <xf numFmtId="189" fontId="22" fillId="0" borderId="0" xfId="4" applyNumberFormat="1" applyFont="1" applyFill="1" applyBorder="1" applyAlignment="1" applyProtection="1">
      <alignment horizontal="right"/>
    </xf>
    <xf numFmtId="188" fontId="19" fillId="0" borderId="0" xfId="4" applyNumberFormat="1" applyFont="1" applyFill="1" applyBorder="1" applyAlignment="1" applyProtection="1">
      <alignment horizontal="right"/>
    </xf>
    <xf numFmtId="0" fontId="7" fillId="0" borderId="0" xfId="18" applyFont="1" applyAlignment="1">
      <alignment horizontal="center"/>
    </xf>
    <xf numFmtId="0" fontId="22" fillId="0" borderId="0" xfId="18" applyFont="1" applyAlignment="1"/>
    <xf numFmtId="0" fontId="22" fillId="0" borderId="0" xfId="18" applyFont="1" applyAlignment="1">
      <alignment horizontal="right"/>
    </xf>
    <xf numFmtId="3" fontId="31" fillId="0" borderId="0" xfId="18" applyNumberFormat="1" applyFont="1" applyFill="1" applyBorder="1" applyAlignment="1">
      <alignment horizontal="right" vertical="center"/>
    </xf>
    <xf numFmtId="0" fontId="9" fillId="0" borderId="0" xfId="18" applyFont="1" applyAlignment="1" applyProtection="1">
      <alignment horizontal="left" vertical="center"/>
    </xf>
    <xf numFmtId="188" fontId="22" fillId="0" borderId="0" xfId="4" applyNumberFormat="1" applyFont="1" applyFill="1" applyBorder="1" applyAlignment="1" applyProtection="1"/>
    <xf numFmtId="188" fontId="22" fillId="0" borderId="0" xfId="4" applyNumberFormat="1" applyFont="1" applyFill="1" applyBorder="1" applyAlignment="1" applyProtection="1">
      <alignment horizontal="right"/>
    </xf>
    <xf numFmtId="3" fontId="9" fillId="0" borderId="0" xfId="18" applyNumberFormat="1" applyFont="1" applyAlignment="1">
      <alignment horizontal="right"/>
    </xf>
    <xf numFmtId="0" fontId="37" fillId="0" borderId="0" xfId="18" applyFont="1" applyAlignment="1">
      <alignment horizontal="right"/>
    </xf>
    <xf numFmtId="0" fontId="9" fillId="0" borderId="0" xfId="18" applyFont="1" applyAlignment="1" applyProtection="1">
      <alignment vertical="center"/>
    </xf>
    <xf numFmtId="0" fontId="4" fillId="0" borderId="0" xfId="18" applyFont="1" applyAlignment="1">
      <alignment horizontal="right"/>
    </xf>
    <xf numFmtId="0" fontId="9" fillId="0" borderId="0" xfId="18" applyFont="1" applyBorder="1" applyAlignment="1" applyProtection="1">
      <alignment horizontal="left" vertical="center"/>
    </xf>
    <xf numFmtId="0" fontId="6" fillId="0" borderId="0" xfId="18" applyFont="1" applyBorder="1" applyAlignment="1"/>
    <xf numFmtId="194" fontId="36" fillId="0" borderId="0" xfId="18" applyNumberFormat="1" applyFont="1" applyFill="1" applyBorder="1" applyAlignment="1">
      <alignment horizontal="center" vertical="center"/>
    </xf>
    <xf numFmtId="189" fontId="19" fillId="0" borderId="0" xfId="4" applyNumberFormat="1" applyFont="1" applyFill="1" applyBorder="1" applyAlignment="1" applyProtection="1">
      <alignment horizontal="right"/>
    </xf>
    <xf numFmtId="190" fontId="19" fillId="0" borderId="0" xfId="18" applyNumberFormat="1" applyFont="1" applyAlignment="1">
      <alignment horizontal="right"/>
    </xf>
    <xf numFmtId="189" fontId="22" fillId="0" borderId="0" xfId="4" applyNumberFormat="1" applyFont="1" applyFill="1" applyBorder="1" applyAlignment="1" applyProtection="1"/>
    <xf numFmtId="189" fontId="9" fillId="0" borderId="1" xfId="4" applyNumberFormat="1" applyFont="1" applyFill="1" applyBorder="1" applyAlignment="1" applyProtection="1">
      <alignment horizontal="right"/>
    </xf>
    <xf numFmtId="0" fontId="4" fillId="0" borderId="2" xfId="18" applyFont="1" applyBorder="1" applyAlignment="1"/>
    <xf numFmtId="0" fontId="9" fillId="0" borderId="1" xfId="18" applyFont="1" applyBorder="1"/>
    <xf numFmtId="3" fontId="35" fillId="0" borderId="2" xfId="18" applyNumberFormat="1" applyFont="1" applyFill="1" applyBorder="1" applyAlignment="1">
      <alignment horizontal="right" vertical="center"/>
    </xf>
    <xf numFmtId="194" fontId="13" fillId="0" borderId="0" xfId="18" applyNumberFormat="1" applyFont="1" applyFill="1" applyBorder="1" applyAlignment="1">
      <alignment vertical="center"/>
    </xf>
    <xf numFmtId="3" fontId="35" fillId="0" borderId="0" xfId="18" applyNumberFormat="1" applyFont="1" applyFill="1" applyBorder="1" applyAlignment="1">
      <alignment horizontal="right" vertical="center"/>
    </xf>
    <xf numFmtId="0" fontId="35" fillId="0" borderId="0" xfId="18" applyFont="1" applyFill="1" applyBorder="1"/>
    <xf numFmtId="0" fontId="35" fillId="0" borderId="0" xfId="18" applyFont="1" applyFill="1" applyBorder="1" applyAlignment="1">
      <alignment horizontal="right"/>
    </xf>
    <xf numFmtId="0" fontId="35" fillId="0" borderId="0" xfId="18" applyFont="1" applyBorder="1" applyAlignment="1">
      <alignment horizontal="right"/>
    </xf>
    <xf numFmtId="0" fontId="7" fillId="0" borderId="12" xfId="19" applyFont="1" applyBorder="1" applyAlignment="1">
      <alignment horizontal="center"/>
    </xf>
    <xf numFmtId="195" fontId="7" fillId="0" borderId="9" xfId="20" applyNumberFormat="1" applyFont="1" applyBorder="1"/>
    <xf numFmtId="197" fontId="4" fillId="0" borderId="0" xfId="19" applyNumberFormat="1" applyFont="1" applyBorder="1" applyAlignment="1" applyProtection="1">
      <alignment horizontal="center"/>
    </xf>
    <xf numFmtId="195" fontId="4" fillId="0" borderId="8" xfId="20" applyNumberFormat="1" applyFont="1" applyBorder="1"/>
    <xf numFmtId="195" fontId="4" fillId="0" borderId="7" xfId="20" applyNumberFormat="1" applyFont="1" applyBorder="1"/>
    <xf numFmtId="3" fontId="4" fillId="0" borderId="7" xfId="20" applyNumberFormat="1" applyFont="1" applyBorder="1"/>
    <xf numFmtId="197" fontId="4" fillId="0" borderId="0" xfId="19" quotePrefix="1" applyNumberFormat="1" applyFont="1" applyBorder="1" applyAlignment="1" applyProtection="1">
      <alignment horizontal="center"/>
    </xf>
    <xf numFmtId="196" fontId="4" fillId="0" borderId="0" xfId="19" applyNumberFormat="1" applyFont="1" applyBorder="1" applyAlignment="1" applyProtection="1">
      <alignment horizontal="center"/>
    </xf>
    <xf numFmtId="196" fontId="4" fillId="0" borderId="2" xfId="19" applyNumberFormat="1" applyFont="1" applyBorder="1" applyAlignment="1" applyProtection="1">
      <alignment horizontal="center"/>
    </xf>
    <xf numFmtId="195" fontId="4" fillId="0" borderId="6" xfId="20" applyNumberFormat="1" applyFont="1" applyBorder="1"/>
    <xf numFmtId="195" fontId="4" fillId="0" borderId="5" xfId="20" applyNumberFormat="1" applyFont="1" applyBorder="1"/>
    <xf numFmtId="3" fontId="4" fillId="0" borderId="5" xfId="20" applyNumberFormat="1" applyFont="1" applyBorder="1"/>
    <xf numFmtId="0" fontId="7" fillId="0" borderId="0" xfId="19" applyFont="1" applyAlignment="1">
      <alignment horizontal="center"/>
    </xf>
    <xf numFmtId="195" fontId="7" fillId="0" borderId="8" xfId="20" applyNumberFormat="1" applyFont="1" applyBorder="1"/>
    <xf numFmtId="197" fontId="4" fillId="0" borderId="0" xfId="19" applyNumberFormat="1" applyFont="1" applyAlignment="1" applyProtection="1">
      <alignment horizontal="center"/>
    </xf>
    <xf numFmtId="197" fontId="4" fillId="0" borderId="0" xfId="19" quotePrefix="1" applyNumberFormat="1" applyFont="1" applyAlignment="1" applyProtection="1">
      <alignment horizontal="center"/>
    </xf>
    <xf numFmtId="196" fontId="4" fillId="0" borderId="0" xfId="19" applyNumberFormat="1" applyFont="1" applyAlignment="1" applyProtection="1">
      <alignment horizontal="center"/>
    </xf>
    <xf numFmtId="0" fontId="7" fillId="0" borderId="0" xfId="21" applyFont="1" applyAlignment="1">
      <alignment horizontal="center"/>
    </xf>
    <xf numFmtId="197" fontId="4" fillId="0" borderId="0" xfId="21" applyNumberFormat="1" applyFont="1" applyAlignment="1" applyProtection="1">
      <alignment horizontal="center"/>
    </xf>
    <xf numFmtId="197" fontId="4" fillId="0" borderId="0" xfId="21" quotePrefix="1" applyNumberFormat="1" applyFont="1" applyAlignment="1" applyProtection="1">
      <alignment horizontal="center"/>
    </xf>
    <xf numFmtId="196" fontId="4" fillId="0" borderId="0" xfId="21" applyNumberFormat="1" applyFont="1" applyAlignment="1" applyProtection="1">
      <alignment horizontal="center"/>
    </xf>
    <xf numFmtId="192" fontId="20" fillId="0" borderId="0" xfId="5" applyNumberFormat="1" applyFont="1" applyBorder="1" applyAlignment="1">
      <alignment horizontal="right"/>
    </xf>
    <xf numFmtId="0" fontId="3" fillId="0" borderId="0" xfId="18" applyFont="1" applyBorder="1" applyAlignment="1">
      <alignment horizontal="right"/>
    </xf>
    <xf numFmtId="0" fontId="7" fillId="0" borderId="4" xfId="18" applyFont="1" applyBorder="1" applyAlignment="1">
      <alignment horizontal="center"/>
    </xf>
    <xf numFmtId="0" fontId="3" fillId="0" borderId="15" xfId="18" applyFont="1" applyBorder="1" applyAlignment="1">
      <alignment horizontal="center"/>
    </xf>
    <xf numFmtId="0" fontId="3" fillId="0" borderId="0" xfId="18" applyFont="1" applyBorder="1" applyAlignment="1">
      <alignment horizontal="center"/>
    </xf>
    <xf numFmtId="0" fontId="7" fillId="0" borderId="15" xfId="18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7" fillId="0" borderId="3" xfId="18" applyFont="1" applyBorder="1" applyAlignment="1">
      <alignment horizontal="center"/>
    </xf>
    <xf numFmtId="0" fontId="7" fillId="0" borderId="4" xfId="13" applyFont="1" applyBorder="1" applyAlignment="1">
      <alignment horizontal="center"/>
    </xf>
    <xf numFmtId="0" fontId="3" fillId="0" borderId="15" xfId="13" applyFont="1" applyBorder="1" applyAlignment="1">
      <alignment horizontal="center"/>
    </xf>
    <xf numFmtId="0" fontId="3" fillId="0" borderId="0" xfId="13" applyFont="1" applyBorder="1" applyAlignment="1">
      <alignment horizontal="center"/>
    </xf>
    <xf numFmtId="0" fontId="7" fillId="0" borderId="15" xfId="13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7" fillId="0" borderId="3" xfId="13" applyFont="1" applyBorder="1" applyAlignment="1">
      <alignment horizontal="center"/>
    </xf>
    <xf numFmtId="0" fontId="6" fillId="0" borderId="15" xfId="18" applyFont="1" applyBorder="1" applyAlignment="1">
      <alignment horizontal="center" vertical="center"/>
    </xf>
    <xf numFmtId="0" fontId="6" fillId="0" borderId="1" xfId="18" applyFont="1" applyBorder="1" applyAlignment="1">
      <alignment horizontal="center" vertical="center"/>
    </xf>
    <xf numFmtId="0" fontId="7" fillId="0" borderId="4" xfId="17" applyFont="1" applyBorder="1" applyAlignment="1">
      <alignment horizontal="center"/>
    </xf>
    <xf numFmtId="0" fontId="3" fillId="0" borderId="15" xfId="17" applyFont="1" applyBorder="1" applyAlignment="1">
      <alignment horizontal="center"/>
    </xf>
    <xf numFmtId="0" fontId="3" fillId="0" borderId="0" xfId="17" applyFont="1" applyBorder="1" applyAlignment="1">
      <alignment horizontal="center"/>
    </xf>
    <xf numFmtId="0" fontId="7" fillId="0" borderId="15" xfId="17" applyFont="1" applyBorder="1" applyAlignment="1">
      <alignment horizontal="center" vertical="center"/>
    </xf>
    <xf numFmtId="0" fontId="7" fillId="0" borderId="1" xfId="17" applyFont="1" applyBorder="1" applyAlignment="1">
      <alignment horizontal="center" vertical="center"/>
    </xf>
    <xf numFmtId="0" fontId="7" fillId="0" borderId="3" xfId="17" applyFont="1" applyBorder="1" applyAlignment="1">
      <alignment horizontal="center"/>
    </xf>
    <xf numFmtId="0" fontId="39" fillId="0" borderId="11" xfId="14" applyFont="1" applyBorder="1" applyAlignment="1">
      <alignment horizontal="center"/>
    </xf>
    <xf numFmtId="197" fontId="4" fillId="0" borderId="0" xfId="19" applyNumberFormat="1" applyFont="1" applyBorder="1" applyAlignment="1">
      <alignment horizontal="center"/>
    </xf>
    <xf numFmtId="197" fontId="4" fillId="0" borderId="0" xfId="19" quotePrefix="1" applyNumberFormat="1" applyFont="1" applyBorder="1" applyAlignment="1">
      <alignment horizontal="center"/>
    </xf>
    <xf numFmtId="196" fontId="4" fillId="0" borderId="0" xfId="19" applyNumberFormat="1" applyFont="1" applyBorder="1" applyAlignment="1">
      <alignment horizontal="center"/>
    </xf>
    <xf numFmtId="196" fontId="4" fillId="0" borderId="2" xfId="19" applyNumberFormat="1" applyFont="1" applyBorder="1" applyAlignment="1">
      <alignment horizontal="center"/>
    </xf>
    <xf numFmtId="196" fontId="4" fillId="0" borderId="0" xfId="21" applyNumberFormat="1" applyFont="1" applyBorder="1" applyAlignment="1" applyProtection="1">
      <alignment horizontal="center"/>
    </xf>
    <xf numFmtId="196" fontId="4" fillId="0" borderId="2" xfId="21" applyNumberFormat="1" applyFont="1" applyBorder="1" applyAlignment="1" applyProtection="1">
      <alignment horizontal="center"/>
    </xf>
    <xf numFmtId="0" fontId="4" fillId="0" borderId="0" xfId="24" applyFont="1" applyAlignment="1"/>
    <xf numFmtId="0" fontId="9" fillId="0" borderId="0" xfId="24" applyFont="1"/>
    <xf numFmtId="0" fontId="4" fillId="0" borderId="0" xfId="12" quotePrefix="1" applyFont="1"/>
    <xf numFmtId="190" fontId="5" fillId="0" borderId="2" xfId="24" applyNumberFormat="1" applyFont="1" applyBorder="1" applyAlignment="1">
      <alignment horizontal="right"/>
    </xf>
    <xf numFmtId="190" fontId="3" fillId="0" borderId="2" xfId="24" applyNumberFormat="1" applyFont="1" applyBorder="1" applyAlignment="1">
      <alignment horizontal="right"/>
    </xf>
    <xf numFmtId="192" fontId="3" fillId="0" borderId="2" xfId="2" applyNumberFormat="1" applyFont="1" applyBorder="1" applyAlignment="1">
      <alignment vertical="center"/>
    </xf>
    <xf numFmtId="0" fontId="6" fillId="0" borderId="2" xfId="12" applyFont="1" applyBorder="1" applyAlignment="1">
      <alignment vertical="center"/>
    </xf>
    <xf numFmtId="190" fontId="5" fillId="0" borderId="0" xfId="24" applyNumberFormat="1" applyFont="1" applyBorder="1" applyAlignment="1">
      <alignment horizontal="right"/>
    </xf>
    <xf numFmtId="192" fontId="3" fillId="0" borderId="0" xfId="2" applyNumberFormat="1" applyFont="1" applyBorder="1" applyAlignment="1">
      <alignment vertical="center"/>
    </xf>
    <xf numFmtId="0" fontId="9" fillId="0" borderId="0" xfId="12" applyFont="1" applyBorder="1" applyAlignment="1">
      <alignment vertical="center"/>
    </xf>
    <xf numFmtId="0" fontId="9" fillId="0" borderId="0" xfId="12" applyFont="1" applyAlignment="1">
      <alignment vertical="center"/>
    </xf>
    <xf numFmtId="190" fontId="3" fillId="0" borderId="0" xfId="24" applyNumberFormat="1" applyFont="1" applyBorder="1" applyAlignment="1">
      <alignment horizontal="right"/>
    </xf>
    <xf numFmtId="0" fontId="6" fillId="0" borderId="0" xfId="12" applyFont="1" applyAlignment="1">
      <alignment vertical="center"/>
    </xf>
    <xf numFmtId="193" fontId="3" fillId="0" borderId="0" xfId="2" applyNumberFormat="1" applyFont="1" applyBorder="1" applyAlignment="1">
      <alignment vertical="center"/>
    </xf>
    <xf numFmtId="190" fontId="3" fillId="0" borderId="0" xfId="24" applyNumberFormat="1" applyFont="1" applyBorder="1" applyAlignment="1">
      <alignment horizontal="right" vertical="center"/>
    </xf>
    <xf numFmtId="0" fontId="3" fillId="0" borderId="0" xfId="24" applyFont="1" applyBorder="1" applyAlignment="1">
      <alignment horizontal="center" vertical="center"/>
    </xf>
    <xf numFmtId="0" fontId="7" fillId="0" borderId="0" xfId="24" applyFont="1" applyAlignment="1"/>
    <xf numFmtId="194" fontId="13" fillId="2" borderId="0" xfId="24" applyNumberFormat="1" applyFont="1" applyFill="1" applyBorder="1" applyAlignment="1">
      <alignment horizontal="left" vertical="center"/>
    </xf>
    <xf numFmtId="0" fontId="7" fillId="0" borderId="0" xfId="24" applyFont="1" applyBorder="1" applyAlignment="1"/>
    <xf numFmtId="190" fontId="4" fillId="0" borderId="0" xfId="24" applyNumberFormat="1" applyFont="1" applyAlignment="1"/>
    <xf numFmtId="0" fontId="3" fillId="0" borderId="0" xfId="24" applyFont="1" applyBorder="1" applyAlignment="1">
      <alignment horizontal="center"/>
    </xf>
    <xf numFmtId="0" fontId="3" fillId="0" borderId="0" xfId="24" applyFont="1" applyBorder="1" applyAlignment="1">
      <alignment vertical="center"/>
    </xf>
    <xf numFmtId="192" fontId="5" fillId="0" borderId="0" xfId="2" applyNumberFormat="1" applyFont="1" applyBorder="1" applyAlignment="1">
      <alignment vertical="center"/>
    </xf>
    <xf numFmtId="3" fontId="9" fillId="0" borderId="0" xfId="24" applyNumberFormat="1" applyFont="1"/>
    <xf numFmtId="0" fontId="4" fillId="0" borderId="0" xfId="24" applyFont="1" applyBorder="1" applyAlignment="1"/>
    <xf numFmtId="192" fontId="6" fillId="0" borderId="0" xfId="2" applyNumberFormat="1" applyFont="1" applyBorder="1" applyAlignment="1">
      <alignment vertical="center"/>
    </xf>
    <xf numFmtId="0" fontId="6" fillId="0" borderId="0" xfId="24" applyFont="1" applyBorder="1" applyAlignment="1">
      <alignment horizontal="center"/>
    </xf>
    <xf numFmtId="0" fontId="3" fillId="0" borderId="15" xfId="24" applyFont="1" applyBorder="1" applyAlignment="1">
      <alignment horizontal="center"/>
    </xf>
    <xf numFmtId="0" fontId="7" fillId="0" borderId="1" xfId="24" applyFont="1" applyBorder="1" applyAlignment="1">
      <alignment horizontal="right" vertical="center"/>
    </xf>
    <xf numFmtId="0" fontId="7" fillId="0" borderId="3" xfId="24" applyFont="1" applyBorder="1" applyAlignment="1">
      <alignment horizontal="right" vertical="center"/>
    </xf>
    <xf numFmtId="0" fontId="7" fillId="0" borderId="1" xfId="24" applyFont="1" applyBorder="1" applyAlignment="1">
      <alignment horizontal="center" vertical="center"/>
    </xf>
    <xf numFmtId="0" fontId="7" fillId="0" borderId="4" xfId="24" applyFont="1" applyBorder="1" applyAlignment="1">
      <alignment horizontal="center"/>
    </xf>
    <xf numFmtId="0" fontId="7" fillId="0" borderId="4" xfId="24" applyFont="1" applyBorder="1" applyAlignment="1"/>
    <xf numFmtId="0" fontId="7" fillId="0" borderId="4" xfId="24" applyFont="1" applyBorder="1" applyAlignment="1">
      <alignment horizontal="center" vertical="center"/>
    </xf>
    <xf numFmtId="0" fontId="7" fillId="0" borderId="3" xfId="24" applyFont="1" applyBorder="1" applyAlignment="1">
      <alignment horizontal="center" vertical="center"/>
    </xf>
    <xf numFmtId="0" fontId="7" fillId="0" borderId="3" xfId="24" applyFont="1" applyBorder="1" applyAlignment="1">
      <alignment vertical="center"/>
    </xf>
    <xf numFmtId="0" fontId="7" fillId="0" borderId="15" xfId="24" applyFont="1" applyBorder="1" applyAlignment="1">
      <alignment horizontal="center" vertical="center"/>
    </xf>
    <xf numFmtId="0" fontId="6" fillId="0" borderId="0" xfId="24" applyFont="1" applyAlignment="1">
      <alignment horizontal="center"/>
    </xf>
    <xf numFmtId="0" fontId="4" fillId="0" borderId="1" xfId="24" applyFont="1" applyBorder="1" applyAlignment="1"/>
    <xf numFmtId="0" fontId="7" fillId="0" borderId="0" xfId="24" applyFont="1" applyAlignment="1">
      <alignment horizontal="center"/>
    </xf>
    <xf numFmtId="0" fontId="5" fillId="0" borderId="0" xfId="24" applyFont="1"/>
    <xf numFmtId="0" fontId="3" fillId="0" borderId="0" xfId="24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/>
    <xf numFmtId="0" fontId="3" fillId="0" borderId="0" xfId="0" applyFont="1" applyAlignment="1"/>
    <xf numFmtId="0" fontId="9" fillId="0" borderId="0" xfId="0" applyFont="1" applyAlignment="1">
      <alignment vertical="center"/>
    </xf>
    <xf numFmtId="189" fontId="5" fillId="0" borderId="0" xfId="0" applyNumberFormat="1" applyFont="1" applyAlignment="1"/>
    <xf numFmtId="0" fontId="5" fillId="0" borderId="0" xfId="12" applyFont="1" applyAlignment="1">
      <alignment vertical="center"/>
    </xf>
    <xf numFmtId="0" fontId="4" fillId="0" borderId="0" xfId="12" quotePrefix="1" applyFont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2" xfId="0" applyFont="1" applyBorder="1" applyAlignment="1"/>
    <xf numFmtId="189" fontId="4" fillId="0" borderId="1" xfId="6" applyNumberFormat="1" applyFont="1" applyFill="1" applyBorder="1" applyAlignment="1" applyProtection="1">
      <alignment horizontal="right"/>
    </xf>
    <xf numFmtId="0" fontId="5" fillId="0" borderId="1" xfId="0" applyFont="1" applyBorder="1" applyAlignment="1"/>
    <xf numFmtId="189" fontId="22" fillId="0" borderId="0" xfId="6" applyNumberFormat="1" applyFont="1" applyFill="1" applyBorder="1" applyAlignment="1" applyProtection="1">
      <alignment horizontal="right"/>
    </xf>
    <xf numFmtId="188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198" fontId="4" fillId="0" borderId="0" xfId="0" applyNumberFormat="1" applyFont="1" applyBorder="1" applyAlignment="1" applyProtection="1">
      <alignment horizontal="left"/>
    </xf>
    <xf numFmtId="199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5" fillId="0" borderId="0" xfId="0" applyFont="1" applyBorder="1" applyAlignment="1"/>
    <xf numFmtId="189" fontId="6" fillId="0" borderId="0" xfId="6" applyNumberFormat="1" applyFont="1" applyFill="1" applyBorder="1" applyAlignment="1" applyProtection="1">
      <alignment horizontal="right" vertical="center"/>
    </xf>
    <xf numFmtId="190" fontId="19" fillId="0" borderId="0" xfId="0" applyNumberFormat="1" applyFont="1" applyBorder="1" applyAlignment="1">
      <alignment horizontal="right"/>
    </xf>
    <xf numFmtId="189" fontId="19" fillId="0" borderId="0" xfId="6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189" fontId="6" fillId="0" borderId="0" xfId="9" applyNumberFormat="1" applyFont="1" applyFill="1" applyBorder="1" applyAlignment="1" applyProtection="1">
      <alignment horizontal="right"/>
    </xf>
    <xf numFmtId="189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>
      <alignment horizontal="right"/>
    </xf>
    <xf numFmtId="203" fontId="4" fillId="0" borderId="0" xfId="0" applyNumberFormat="1" applyFont="1" applyAlignment="1"/>
    <xf numFmtId="0" fontId="22" fillId="0" borderId="0" xfId="0" applyFont="1" applyAlignment="1"/>
    <xf numFmtId="0" fontId="3" fillId="0" borderId="0" xfId="0" applyFont="1" applyBorder="1" applyAlignment="1">
      <alignment horizontal="center"/>
    </xf>
    <xf numFmtId="0" fontId="6" fillId="0" borderId="0" xfId="15" applyFont="1" applyBorder="1" applyAlignment="1"/>
    <xf numFmtId="3" fontId="22" fillId="0" borderId="0" xfId="0" applyNumberFormat="1" applyFont="1" applyAlignment="1">
      <alignment horizontal="right"/>
    </xf>
    <xf numFmtId="192" fontId="9" fillId="0" borderId="0" xfId="23" applyNumberFormat="1" applyFont="1" applyAlignment="1">
      <alignment horizontal="right"/>
    </xf>
    <xf numFmtId="192" fontId="4" fillId="0" borderId="0" xfId="23" applyNumberFormat="1" applyFont="1" applyBorder="1" applyAlignment="1">
      <alignment horizontal="right"/>
    </xf>
    <xf numFmtId="188" fontId="22" fillId="0" borderId="0" xfId="6" applyNumberFormat="1" applyFont="1" applyFill="1" applyBorder="1" applyAlignment="1" applyProtection="1"/>
    <xf numFmtId="41" fontId="4" fillId="0" borderId="0" xfId="0" applyNumberFormat="1" applyFont="1" applyAlignment="1">
      <alignment horizontal="right"/>
    </xf>
    <xf numFmtId="192" fontId="9" fillId="0" borderId="0" xfId="23" applyNumberFormat="1" applyFont="1" applyFill="1" applyBorder="1" applyAlignment="1" applyProtection="1">
      <alignment horizontal="right"/>
    </xf>
    <xf numFmtId="192" fontId="6" fillId="0" borderId="0" xfId="23" applyNumberFormat="1" applyFont="1" applyFill="1" applyBorder="1" applyAlignment="1" applyProtection="1">
      <alignment horizontal="right"/>
    </xf>
    <xf numFmtId="188" fontId="6" fillId="0" borderId="0" xfId="6" applyNumberFormat="1" applyFont="1" applyFill="1" applyBorder="1" applyAlignment="1" applyProtection="1">
      <alignment horizontal="right" vertical="center"/>
    </xf>
    <xf numFmtId="188" fontId="6" fillId="0" borderId="0" xfId="6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192" fontId="6" fillId="0" borderId="0" xfId="23" applyNumberFormat="1" applyFont="1" applyAlignment="1">
      <alignment horizontal="right"/>
    </xf>
    <xf numFmtId="188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>
      <alignment horizontal="right"/>
    </xf>
    <xf numFmtId="0" fontId="7" fillId="0" borderId="0" xfId="0" applyFont="1" applyAlignment="1"/>
    <xf numFmtId="0" fontId="6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/>
    <xf numFmtId="0" fontId="3" fillId="0" borderId="1" xfId="0" applyFont="1" applyBorder="1" applyAlignment="1"/>
  </cellXfs>
  <cellStyles count="25">
    <cellStyle name="เครื่องหมายจุลภาค" xfId="23" builtinId="3"/>
    <cellStyle name="เครื่องหมายจุลภาค 11 9" xfId="1"/>
    <cellStyle name="เครื่องหมายจุลภาค 2" xfId="20"/>
    <cellStyle name="เครื่องหมายจุลภาค 2 3" xfId="2"/>
    <cellStyle name="เครื่องหมายจุลภาค 2 3 2" xfId="3"/>
    <cellStyle name="เครื่องหมายจุลภาค 2 4 2" xfId="4"/>
    <cellStyle name="เครื่องหมายจุลภาค 2 5 2" xfId="5"/>
    <cellStyle name="เครื่องหมายจุลภาค 8" xfId="6"/>
    <cellStyle name="เครื่องหมายจุลภาค 8 11" xfId="7"/>
    <cellStyle name="เครื่องหมายจุลภาค 8 12" xfId="8"/>
    <cellStyle name="เครื่องหมายจุลภาค 8 2" xfId="9"/>
    <cellStyle name="เครื่องหมายจุลภาค 8 6 2" xfId="10"/>
    <cellStyle name="เครื่องหมายจุลภาค 8 7 7" xfId="11"/>
    <cellStyle name="เครื่องหมายจุลภาค 9" xfId="22"/>
    <cellStyle name="ปกติ" xfId="0" builtinId="0"/>
    <cellStyle name="ปกติ 2" xfId="19"/>
    <cellStyle name="ปกติ 2 2" xfId="12"/>
    <cellStyle name="ปกติ 2 2 2" xfId="13"/>
    <cellStyle name="ปกติ 2 7" xfId="14"/>
    <cellStyle name="ปกติ 2 7 2" xfId="24"/>
    <cellStyle name="ปกติ 3" xfId="15"/>
    <cellStyle name="ปกติ 4" xfId="21"/>
    <cellStyle name="ปกติ 6 2" xfId="16"/>
    <cellStyle name="ปกติ 6 3" xfId="17"/>
    <cellStyle name="ปกติ 6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07;&#3637;&#3656;&#3592;&#3632;&#3605;&#3657;&#3629;&#3591;&#3607;&#3635;%202554/&#3626;&#3619;&#3591;/&#3619;&#3634;&#3618;&#3591;&#3634;&#3609;%20&#3626;&#3619;&#3591;%202%2053%20&#3586;&#3629;&#3629;&#3609;&#3640;&#3617;&#3633;&#3605;&#3636;/8.&#3605;&#3634;&#3619;&#3634;&#3591;&#3586;&#3657;&#3629;&#3617;&#3641;&#3621;&#3626;&#3606;&#3636;&#3605;&#3636;&#3607;&#3637;&#3656;&#3626;&#3635;&#3588;&#3633;&#35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9;&#3591;%201%2054%20&#3586;&#3629;&#3629;&#3609;&#3640;&#3617;&#3633;&#3605;&#3636;&#3626;&#3617;&#3610;&#3619;&#3641;&#3603;&#3660;%20&#3593;&#3610;&#3633;&#3610;&#3648;&#3612;&#3618;&#3649;&#3614;&#3619;&#3656;/New%20Folder/8.&#3605;&#3634;&#3619;&#3634;&#3591;&#3586;&#3657;&#3629;&#3617;&#3641;&#3621;&#3626;&#3606;&#3636;&#3605;&#3636;&#3607;&#3637;&#3656;&#3626;&#3635;&#3588;&#3633;&#35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"/>
  <sheetViews>
    <sheetView zoomScale="90" zoomScaleNormal="90" workbookViewId="0">
      <pane xSplit="14625" ySplit="1755" topLeftCell="BB1" activePane="bottomLeft"/>
      <selection activeCell="BB1" sqref="BB1:BE1048576"/>
      <selection pane="topRight" activeCell="BC1" sqref="BC1:BD1048576"/>
      <selection pane="bottomLeft" activeCell="BA6" sqref="BA6"/>
      <selection pane="bottomRight" activeCell="BB24" sqref="BB24"/>
    </sheetView>
  </sheetViews>
  <sheetFormatPr defaultColWidth="6.875" defaultRowHeight="24" customHeight="1"/>
  <cols>
    <col min="1" max="1" width="27.625" style="259" customWidth="1"/>
    <col min="2" max="15" width="12.5" style="259" hidden="1" customWidth="1"/>
    <col min="16" max="16" width="12.5" style="260" hidden="1" customWidth="1"/>
    <col min="17" max="33" width="12.5" style="259" hidden="1" customWidth="1"/>
    <col min="34" max="37" width="10" style="259" hidden="1" customWidth="1"/>
    <col min="38" max="38" width="10.125" style="259" hidden="1" customWidth="1"/>
    <col min="39" max="39" width="11" style="259" hidden="1" customWidth="1"/>
    <col min="40" max="42" width="10.125" style="259" hidden="1" customWidth="1"/>
    <col min="43" max="43" width="11" style="259" hidden="1" customWidth="1"/>
    <col min="44" max="46" width="10.125" style="259" hidden="1" customWidth="1"/>
    <col min="47" max="47" width="11" style="259" hidden="1" customWidth="1"/>
    <col min="48" max="48" width="10.25" style="259" customWidth="1"/>
    <col min="49" max="49" width="11.75" style="259" customWidth="1"/>
    <col min="50" max="50" width="10.125" style="259" customWidth="1"/>
    <col min="51" max="51" width="11" style="259" customWidth="1"/>
    <col min="52" max="52" width="10.25" style="259" customWidth="1"/>
    <col min="53" max="53" width="11.75" style="259" customWidth="1"/>
    <col min="54" max="16384" width="6.875" style="259"/>
  </cols>
  <sheetData>
    <row r="1" spans="1:53" ht="25.5" customHeight="1">
      <c r="A1" s="300" t="s">
        <v>153</v>
      </c>
      <c r="P1" s="299"/>
    </row>
    <row r="2" spans="1:53" ht="3.75" customHeight="1">
      <c r="A2" s="298"/>
      <c r="D2" s="283"/>
      <c r="G2" s="297"/>
      <c r="H2" s="283"/>
      <c r="K2" s="283"/>
      <c r="O2" s="283"/>
      <c r="P2" s="296"/>
    </row>
    <row r="3" spans="1:53" s="275" customFormat="1" ht="26.25" customHeight="1">
      <c r="A3" s="295" t="s">
        <v>152</v>
      </c>
      <c r="B3" s="294"/>
      <c r="C3" s="293" t="s">
        <v>35</v>
      </c>
      <c r="D3" s="293"/>
      <c r="E3" s="293"/>
      <c r="F3" s="293" t="s">
        <v>34</v>
      </c>
      <c r="G3" s="293"/>
      <c r="H3" s="293"/>
      <c r="I3" s="293"/>
      <c r="J3" s="292" t="s">
        <v>33</v>
      </c>
      <c r="K3" s="292"/>
      <c r="L3" s="292"/>
      <c r="M3" s="291"/>
      <c r="N3" s="290" t="s">
        <v>5</v>
      </c>
      <c r="O3" s="290"/>
      <c r="P3" s="290"/>
      <c r="Q3" s="290"/>
      <c r="R3" s="290" t="s">
        <v>6</v>
      </c>
      <c r="S3" s="290"/>
      <c r="T3" s="290"/>
      <c r="U3" s="290"/>
      <c r="V3" s="290" t="s">
        <v>7</v>
      </c>
      <c r="W3" s="290"/>
      <c r="X3" s="290"/>
      <c r="Y3" s="290"/>
      <c r="Z3" s="290" t="s">
        <v>8</v>
      </c>
      <c r="AA3" s="290"/>
      <c r="AB3" s="290"/>
      <c r="AC3" s="290"/>
      <c r="AD3" s="290" t="s">
        <v>9</v>
      </c>
      <c r="AE3" s="290"/>
      <c r="AF3" s="290"/>
      <c r="AG3" s="290"/>
      <c r="AH3" s="290" t="s">
        <v>10</v>
      </c>
      <c r="AI3" s="290"/>
      <c r="AJ3" s="290"/>
      <c r="AK3" s="290"/>
      <c r="AL3" s="290" t="s">
        <v>11</v>
      </c>
      <c r="AM3" s="290"/>
      <c r="AN3" s="290"/>
      <c r="AO3" s="290"/>
      <c r="AP3" s="290" t="s">
        <v>12</v>
      </c>
      <c r="AQ3" s="290"/>
      <c r="AR3" s="290"/>
      <c r="AS3" s="290"/>
      <c r="AT3" s="290" t="s">
        <v>13</v>
      </c>
      <c r="AU3" s="290"/>
      <c r="AV3" s="290"/>
      <c r="AW3" s="290"/>
      <c r="AX3" s="290" t="s">
        <v>137</v>
      </c>
      <c r="AY3" s="290"/>
      <c r="AZ3" s="290"/>
      <c r="BA3" s="290"/>
    </row>
    <row r="4" spans="1:53" s="275" customFormat="1" ht="26.25" customHeight="1">
      <c r="A4" s="289"/>
      <c r="B4" s="288" t="s">
        <v>14</v>
      </c>
      <c r="C4" s="288" t="s">
        <v>15</v>
      </c>
      <c r="D4" s="288" t="s">
        <v>16</v>
      </c>
      <c r="E4" s="288" t="s">
        <v>17</v>
      </c>
      <c r="F4" s="288" t="s">
        <v>14</v>
      </c>
      <c r="G4" s="288" t="s">
        <v>15</v>
      </c>
      <c r="H4" s="288" t="s">
        <v>16</v>
      </c>
      <c r="I4" s="288" t="s">
        <v>17</v>
      </c>
      <c r="J4" s="287" t="s">
        <v>14</v>
      </c>
      <c r="K4" s="287" t="s">
        <v>15</v>
      </c>
      <c r="L4" s="287" t="s">
        <v>16</v>
      </c>
      <c r="M4" s="287" t="s">
        <v>17</v>
      </c>
      <c r="N4" s="287" t="s">
        <v>14</v>
      </c>
      <c r="O4" s="287" t="s">
        <v>15</v>
      </c>
      <c r="P4" s="287" t="s">
        <v>16</v>
      </c>
      <c r="Q4" s="287" t="s">
        <v>17</v>
      </c>
      <c r="R4" s="287" t="s">
        <v>14</v>
      </c>
      <c r="S4" s="287" t="s">
        <v>15</v>
      </c>
      <c r="T4" s="287" t="s">
        <v>16</v>
      </c>
      <c r="U4" s="287" t="s">
        <v>17</v>
      </c>
      <c r="V4" s="287" t="s">
        <v>14</v>
      </c>
      <c r="W4" s="287" t="s">
        <v>15</v>
      </c>
      <c r="X4" s="287" t="s">
        <v>16</v>
      </c>
      <c r="Y4" s="287" t="s">
        <v>17</v>
      </c>
      <c r="Z4" s="287" t="s">
        <v>14</v>
      </c>
      <c r="AA4" s="287" t="s">
        <v>15</v>
      </c>
      <c r="AB4" s="287" t="s">
        <v>16</v>
      </c>
      <c r="AC4" s="287" t="s">
        <v>17</v>
      </c>
      <c r="AD4" s="287" t="s">
        <v>14</v>
      </c>
      <c r="AE4" s="287" t="s">
        <v>15</v>
      </c>
      <c r="AF4" s="287" t="s">
        <v>16</v>
      </c>
      <c r="AG4" s="287" t="s">
        <v>17</v>
      </c>
      <c r="AH4" s="287" t="s">
        <v>14</v>
      </c>
      <c r="AI4" s="287" t="s">
        <v>15</v>
      </c>
      <c r="AJ4" s="287" t="s">
        <v>16</v>
      </c>
      <c r="AK4" s="287" t="s">
        <v>17</v>
      </c>
      <c r="AL4" s="287" t="s">
        <v>14</v>
      </c>
      <c r="AM4" s="287" t="s">
        <v>15</v>
      </c>
      <c r="AN4" s="287" t="s">
        <v>16</v>
      </c>
      <c r="AO4" s="287" t="s">
        <v>17</v>
      </c>
      <c r="AP4" s="287" t="s">
        <v>14</v>
      </c>
      <c r="AQ4" s="287" t="s">
        <v>15</v>
      </c>
      <c r="AR4" s="287" t="s">
        <v>16</v>
      </c>
      <c r="AS4" s="287" t="s">
        <v>17</v>
      </c>
      <c r="AT4" s="287" t="s">
        <v>14</v>
      </c>
      <c r="AU4" s="287" t="s">
        <v>15</v>
      </c>
      <c r="AV4" s="287" t="s">
        <v>16</v>
      </c>
      <c r="AW4" s="287" t="s">
        <v>17</v>
      </c>
      <c r="AX4" s="287" t="s">
        <v>14</v>
      </c>
      <c r="AY4" s="287" t="s">
        <v>15</v>
      </c>
      <c r="AZ4" s="287" t="s">
        <v>16</v>
      </c>
      <c r="BA4" s="287" t="s">
        <v>17</v>
      </c>
    </row>
    <row r="5" spans="1:53" s="275" customFormat="1" ht="24" customHeight="1">
      <c r="A5" s="286" t="s">
        <v>18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P5" s="285"/>
    </row>
    <row r="6" spans="1:53" s="275" customFormat="1" ht="24" customHeight="1">
      <c r="A6" s="274" t="s">
        <v>19</v>
      </c>
      <c r="B6" s="284">
        <v>2813227</v>
      </c>
      <c r="C6" s="284">
        <v>2816830</v>
      </c>
      <c r="D6" s="284">
        <v>0</v>
      </c>
      <c r="E6" s="284">
        <v>2822406</v>
      </c>
      <c r="F6" s="284">
        <v>2824842</v>
      </c>
      <c r="G6" s="284">
        <v>2827380</v>
      </c>
      <c r="H6" s="284">
        <v>2830011</v>
      </c>
      <c r="I6" s="284">
        <v>2832750</v>
      </c>
      <c r="J6" s="284">
        <v>2835578</v>
      </c>
      <c r="K6" s="284">
        <v>2838488</v>
      </c>
      <c r="L6" s="284">
        <v>2827922</v>
      </c>
      <c r="M6" s="284">
        <v>2808574</v>
      </c>
      <c r="N6" s="284">
        <f>SUM(N7:N16)</f>
        <v>8102021.7699999996</v>
      </c>
      <c r="O6" s="284">
        <v>2783485</v>
      </c>
      <c r="P6" s="284">
        <v>2781365</v>
      </c>
      <c r="Q6" s="284">
        <v>2798379</v>
      </c>
      <c r="R6" s="284">
        <v>2505143</v>
      </c>
      <c r="S6" s="284">
        <v>2504279</v>
      </c>
      <c r="T6" s="284">
        <v>2503406</v>
      </c>
      <c r="U6" s="284">
        <v>2502233</v>
      </c>
      <c r="V6" s="284">
        <v>2501249</v>
      </c>
      <c r="W6" s="284">
        <v>2500474</v>
      </c>
      <c r="X6" s="284">
        <v>2499593</v>
      </c>
      <c r="Y6" s="284">
        <v>2498336</v>
      </c>
      <c r="Z6" s="284">
        <v>2497293</v>
      </c>
      <c r="AA6" s="284">
        <v>2496462</v>
      </c>
      <c r="AB6" s="284">
        <v>2495622</v>
      </c>
      <c r="AC6" s="284">
        <v>2494550</v>
      </c>
      <c r="AD6" s="284">
        <v>2493683</v>
      </c>
      <c r="AE6" s="284">
        <v>2493021</v>
      </c>
      <c r="AF6" s="284">
        <v>2492157</v>
      </c>
      <c r="AG6" s="284">
        <v>2490702</v>
      </c>
      <c r="AH6" s="284">
        <v>2489461</v>
      </c>
      <c r="AI6" s="284">
        <v>2488457</v>
      </c>
      <c r="AJ6" s="284">
        <v>2487366</v>
      </c>
      <c r="AK6" s="284">
        <v>2485916</v>
      </c>
      <c r="AL6" s="284">
        <v>2484703</v>
      </c>
      <c r="AM6" s="284">
        <v>2483736</v>
      </c>
      <c r="AN6" s="284">
        <v>2482612</v>
      </c>
      <c r="AO6" s="284">
        <v>2480899</v>
      </c>
      <c r="AP6" s="284">
        <v>2479379</v>
      </c>
      <c r="AQ6" s="284">
        <v>2478039</v>
      </c>
      <c r="AR6" s="284">
        <v>2476634</v>
      </c>
      <c r="AS6" s="284">
        <v>2474936</v>
      </c>
      <c r="AT6" s="284">
        <v>2473434</v>
      </c>
      <c r="AU6" s="284">
        <v>2472126</v>
      </c>
      <c r="AV6" s="284">
        <v>2470725</v>
      </c>
      <c r="AW6" s="284">
        <v>2468927</v>
      </c>
      <c r="AX6" s="284">
        <v>2498943</v>
      </c>
      <c r="AY6" s="284">
        <v>2497842</v>
      </c>
      <c r="AZ6" s="284">
        <v>2496627</v>
      </c>
      <c r="BA6" s="284">
        <v>2495010</v>
      </c>
    </row>
    <row r="7" spans="1:53" ht="24" customHeight="1">
      <c r="A7" s="275" t="s">
        <v>150</v>
      </c>
      <c r="B7" s="284">
        <v>2188698</v>
      </c>
      <c r="C7" s="284">
        <v>2195143</v>
      </c>
      <c r="D7" s="284">
        <v>0</v>
      </c>
      <c r="E7" s="284">
        <v>2206189</v>
      </c>
      <c r="F7" s="284">
        <v>2211286</v>
      </c>
      <c r="G7" s="284">
        <v>2216461</v>
      </c>
      <c r="H7" s="284">
        <v>2221532</v>
      </c>
      <c r="I7" s="284">
        <v>2226350</v>
      </c>
      <c r="J7" s="284">
        <v>2231241</v>
      </c>
      <c r="K7" s="284">
        <v>2236201</v>
      </c>
      <c r="L7" s="284">
        <v>2226720</v>
      </c>
      <c r="M7" s="284">
        <v>2206530.9900000002</v>
      </c>
      <c r="N7" s="284">
        <v>2192585</v>
      </c>
      <c r="O7" s="284">
        <v>2179550</v>
      </c>
      <c r="P7" s="284">
        <v>2178229</v>
      </c>
      <c r="Q7" s="284">
        <v>2199606</v>
      </c>
      <c r="R7" s="284">
        <v>2011469</v>
      </c>
      <c r="S7" s="284">
        <v>2014282</v>
      </c>
      <c r="T7" s="284">
        <v>2017213</v>
      </c>
      <c r="U7" s="284">
        <v>2019156</v>
      </c>
      <c r="V7" s="284">
        <v>2021364</v>
      </c>
      <c r="W7" s="284">
        <v>2023741</v>
      </c>
      <c r="X7" s="284">
        <v>2025910</v>
      </c>
      <c r="Y7" s="284">
        <v>2027645</v>
      </c>
      <c r="Z7" s="284">
        <v>2029679</v>
      </c>
      <c r="AA7" s="284">
        <v>2031873</v>
      </c>
      <c r="AB7" s="284">
        <v>2033816</v>
      </c>
      <c r="AC7" s="284">
        <v>2035816</v>
      </c>
      <c r="AD7" s="284">
        <v>2037730</v>
      </c>
      <c r="AE7" s="284">
        <v>2039805</v>
      </c>
      <c r="AF7" s="284">
        <v>2041594</v>
      </c>
      <c r="AG7" s="284">
        <v>2043022</v>
      </c>
      <c r="AH7" s="284">
        <v>2044122</v>
      </c>
      <c r="AI7" s="284">
        <v>2045917</v>
      </c>
      <c r="AJ7" s="284">
        <v>2047509</v>
      </c>
      <c r="AK7" s="284">
        <v>2048551</v>
      </c>
      <c r="AL7" s="284">
        <v>2049836</v>
      </c>
      <c r="AM7" s="284">
        <v>2051355</v>
      </c>
      <c r="AN7" s="284">
        <v>2052652</v>
      </c>
      <c r="AO7" s="284">
        <v>2053245</v>
      </c>
      <c r="AP7" s="284">
        <v>2054008</v>
      </c>
      <c r="AQ7" s="284">
        <v>2054924</v>
      </c>
      <c r="AR7" s="284">
        <v>2055690</v>
      </c>
      <c r="AS7" s="284">
        <v>2056013</v>
      </c>
      <c r="AT7" s="284">
        <v>2056507</v>
      </c>
      <c r="AU7" s="284">
        <v>2057188</v>
      </c>
      <c r="AV7" s="284">
        <v>2057676</v>
      </c>
      <c r="AW7" s="284">
        <v>2057614</v>
      </c>
      <c r="AX7" s="284">
        <v>2047978</v>
      </c>
      <c r="AY7" s="284">
        <v>2049090</v>
      </c>
      <c r="AZ7" s="284">
        <v>2050034</v>
      </c>
      <c r="BA7" s="284">
        <v>2050495</v>
      </c>
    </row>
    <row r="8" spans="1:53" ht="24" customHeight="1">
      <c r="A8" s="259" t="s">
        <v>149</v>
      </c>
      <c r="B8" s="281">
        <v>1505335</v>
      </c>
      <c r="C8" s="281">
        <v>1535059</v>
      </c>
      <c r="D8" s="281">
        <v>0</v>
      </c>
      <c r="E8" s="281">
        <v>1563389</v>
      </c>
      <c r="F8" s="281">
        <v>1502603.69</v>
      </c>
      <c r="G8" s="281">
        <v>1545275.34</v>
      </c>
      <c r="H8" s="281">
        <v>1578967</v>
      </c>
      <c r="I8" s="281">
        <v>1620814</v>
      </c>
      <c r="J8" s="281">
        <v>1545098.37</v>
      </c>
      <c r="K8" s="281">
        <v>1601429</v>
      </c>
      <c r="L8" s="281">
        <v>1617704.64</v>
      </c>
      <c r="M8" s="281">
        <v>1632423.74</v>
      </c>
      <c r="N8" s="281">
        <v>1545564.5</v>
      </c>
      <c r="O8" s="281">
        <v>1535867</v>
      </c>
      <c r="P8" s="281">
        <v>1618443</v>
      </c>
      <c r="Q8" s="281">
        <v>1605386</v>
      </c>
      <c r="R8" s="281">
        <v>1406148</v>
      </c>
      <c r="S8" s="281">
        <v>1431328.7</v>
      </c>
      <c r="T8" s="281">
        <v>1436349.34</v>
      </c>
      <c r="U8" s="282">
        <v>1423198</v>
      </c>
      <c r="V8" s="281">
        <v>1393671.52</v>
      </c>
      <c r="W8" s="281">
        <v>1394825.33</v>
      </c>
      <c r="X8" s="281">
        <v>1397695.68</v>
      </c>
      <c r="Y8" s="281">
        <v>1410249</v>
      </c>
      <c r="Z8" s="281">
        <v>1311076.8500000001</v>
      </c>
      <c r="AA8" s="281">
        <v>1326644.72</v>
      </c>
      <c r="AB8" s="281">
        <v>1348183.1</v>
      </c>
      <c r="AC8" s="281">
        <v>1349536.11</v>
      </c>
      <c r="AD8" s="281">
        <v>1302016</v>
      </c>
      <c r="AE8" s="281">
        <v>1307880</v>
      </c>
      <c r="AF8" s="281">
        <v>1385879</v>
      </c>
      <c r="AG8" s="281">
        <v>1343211</v>
      </c>
      <c r="AH8" s="281">
        <v>1293967</v>
      </c>
      <c r="AI8" s="281">
        <v>1287096</v>
      </c>
      <c r="AJ8" s="281">
        <v>1311683</v>
      </c>
      <c r="AK8" s="281">
        <v>1319743</v>
      </c>
      <c r="AL8" s="281">
        <v>1268832</v>
      </c>
      <c r="AM8" s="281">
        <v>1245867</v>
      </c>
      <c r="AN8" s="281">
        <v>1201981</v>
      </c>
      <c r="AO8" s="281">
        <v>1244690</v>
      </c>
      <c r="AP8" s="281">
        <v>1264052</v>
      </c>
      <c r="AQ8" s="281">
        <v>1331745</v>
      </c>
      <c r="AR8" s="281">
        <v>1340769</v>
      </c>
      <c r="AS8" s="281">
        <v>1379330</v>
      </c>
      <c r="AT8" s="281">
        <v>1221201</v>
      </c>
      <c r="AU8" s="281">
        <v>1243399</v>
      </c>
      <c r="AV8" s="281">
        <v>1298981</v>
      </c>
      <c r="AW8" s="281">
        <v>1207438</v>
      </c>
      <c r="AX8" s="281">
        <v>1247269</v>
      </c>
      <c r="AY8" s="281">
        <v>1263922</v>
      </c>
      <c r="AZ8" s="281">
        <v>1289749</v>
      </c>
      <c r="BA8" s="281">
        <v>1183527</v>
      </c>
    </row>
    <row r="9" spans="1:53" ht="24" customHeight="1">
      <c r="A9" s="259" t="s">
        <v>148</v>
      </c>
      <c r="B9" s="281">
        <v>1471271</v>
      </c>
      <c r="C9" s="281">
        <v>1512043</v>
      </c>
      <c r="D9" s="281">
        <v>0</v>
      </c>
      <c r="E9" s="281">
        <v>1563389</v>
      </c>
      <c r="F9" s="281">
        <v>1456537.76</v>
      </c>
      <c r="G9" s="281">
        <v>1508248.16</v>
      </c>
      <c r="H9" s="281">
        <v>1578967</v>
      </c>
      <c r="I9" s="281">
        <v>1605569</v>
      </c>
      <c r="J9" s="281">
        <v>1486068.45</v>
      </c>
      <c r="K9" s="281">
        <v>1576883.56</v>
      </c>
      <c r="L9" s="281">
        <v>1617704.64</v>
      </c>
      <c r="M9" s="281">
        <v>1632423.74</v>
      </c>
      <c r="N9" s="281">
        <v>1524267.77</v>
      </c>
      <c r="O9" s="281">
        <v>1512113</v>
      </c>
      <c r="P9" s="281">
        <v>1618443</v>
      </c>
      <c r="Q9" s="281">
        <v>1605386</v>
      </c>
      <c r="R9" s="281">
        <v>1374672</v>
      </c>
      <c r="S9" s="281">
        <v>1423509.89</v>
      </c>
      <c r="T9" s="281">
        <v>1434596.82</v>
      </c>
      <c r="U9" s="282">
        <v>1422981</v>
      </c>
      <c r="V9" s="281">
        <f>SUM(V10:V11)</f>
        <v>1386729.5999999999</v>
      </c>
      <c r="W9" s="281">
        <f>SUM(W10:W11)</f>
        <v>1388766.43</v>
      </c>
      <c r="X9" s="281">
        <f>SUM(X10:X11)</f>
        <v>1394966.22</v>
      </c>
      <c r="Y9" s="281">
        <f>SUM(Y10:Y11)</f>
        <v>1410065.89</v>
      </c>
      <c r="Z9" s="281">
        <f>SUM(Z10:Z11)</f>
        <v>1300059.04</v>
      </c>
      <c r="AA9" s="281">
        <f>SUM(AA10:AA11)</f>
        <v>1307036.4400000002</v>
      </c>
      <c r="AB9" s="281">
        <f>SUM(AB10:AB11)</f>
        <v>1348183.1099999999</v>
      </c>
      <c r="AC9" s="281">
        <f>SUM(AC10:AC11)</f>
        <v>1348275.74</v>
      </c>
      <c r="AD9" s="281">
        <v>1278764</v>
      </c>
      <c r="AE9" s="281">
        <v>1288137</v>
      </c>
      <c r="AF9" s="281">
        <v>1385879</v>
      </c>
      <c r="AG9" s="281">
        <v>1335607</v>
      </c>
      <c r="AH9" s="281">
        <v>1261602</v>
      </c>
      <c r="AI9" s="281">
        <v>1275923</v>
      </c>
      <c r="AJ9" s="281">
        <v>1310835</v>
      </c>
      <c r="AK9" s="281">
        <v>1289383</v>
      </c>
      <c r="AL9" s="281">
        <v>1197845.3400000001</v>
      </c>
      <c r="AM9" s="281">
        <v>1197067</v>
      </c>
      <c r="AN9" s="281">
        <v>1178865</v>
      </c>
      <c r="AO9" s="281">
        <v>1224882</v>
      </c>
      <c r="AP9" s="281">
        <v>1141244</v>
      </c>
      <c r="AQ9" s="281">
        <v>1287643</v>
      </c>
      <c r="AR9" s="281">
        <v>1335269</v>
      </c>
      <c r="AS9" s="281">
        <v>1364796</v>
      </c>
      <c r="AT9" s="281">
        <v>1119818</v>
      </c>
      <c r="AU9" s="281">
        <v>1195093</v>
      </c>
      <c r="AV9" s="281">
        <v>1287036</v>
      </c>
      <c r="AW9" s="281">
        <v>1182231</v>
      </c>
      <c r="AX9" s="281">
        <v>1239910</v>
      </c>
      <c r="AY9" s="281">
        <v>1232472</v>
      </c>
      <c r="AZ9" s="281">
        <v>1286560</v>
      </c>
      <c r="BA9" s="281">
        <v>1175542</v>
      </c>
    </row>
    <row r="10" spans="1:53" ht="24" customHeight="1">
      <c r="A10" s="259" t="s">
        <v>147</v>
      </c>
      <c r="B10" s="281">
        <v>1463504</v>
      </c>
      <c r="C10" s="281">
        <v>1497011</v>
      </c>
      <c r="D10" s="281">
        <v>0</v>
      </c>
      <c r="E10" s="281">
        <v>1554713</v>
      </c>
      <c r="F10" s="281">
        <v>1444247</v>
      </c>
      <c r="G10" s="281">
        <v>1502082.64</v>
      </c>
      <c r="H10" s="281">
        <v>1568700</v>
      </c>
      <c r="I10" s="281">
        <v>1596453</v>
      </c>
      <c r="J10" s="281">
        <v>1473724.65</v>
      </c>
      <c r="K10" s="281">
        <v>1558329.53</v>
      </c>
      <c r="L10" s="281">
        <v>1603167.91</v>
      </c>
      <c r="M10" s="281">
        <v>1616084.41</v>
      </c>
      <c r="N10" s="281">
        <v>1503381.22</v>
      </c>
      <c r="O10" s="281">
        <v>1501983</v>
      </c>
      <c r="P10" s="281">
        <v>1599586</v>
      </c>
      <c r="Q10" s="281">
        <v>1588286</v>
      </c>
      <c r="R10" s="281">
        <v>1349508</v>
      </c>
      <c r="S10" s="281">
        <v>1397340.87</v>
      </c>
      <c r="T10" s="281">
        <v>1405156.22</v>
      </c>
      <c r="U10" s="282">
        <v>1416408</v>
      </c>
      <c r="V10" s="281">
        <v>1362575.88</v>
      </c>
      <c r="W10" s="281">
        <v>1368351.78</v>
      </c>
      <c r="X10" s="281">
        <v>1366251.5</v>
      </c>
      <c r="Y10" s="281">
        <v>1389717.13</v>
      </c>
      <c r="Z10" s="281">
        <v>1280208.7</v>
      </c>
      <c r="AA10" s="281">
        <v>1281017.6100000001</v>
      </c>
      <c r="AB10" s="281">
        <v>1332622.46</v>
      </c>
      <c r="AC10" s="281">
        <v>1315215.74</v>
      </c>
      <c r="AD10" s="281">
        <v>1244459</v>
      </c>
      <c r="AE10" s="281">
        <v>1264250</v>
      </c>
      <c r="AF10" s="281">
        <v>1361389</v>
      </c>
      <c r="AG10" s="281">
        <v>1306823</v>
      </c>
      <c r="AH10" s="281">
        <v>1236358</v>
      </c>
      <c r="AI10" s="281">
        <v>1252549</v>
      </c>
      <c r="AJ10" s="281">
        <v>1299811</v>
      </c>
      <c r="AK10" s="281">
        <v>1263081</v>
      </c>
      <c r="AL10" s="281">
        <v>1184151</v>
      </c>
      <c r="AM10" s="281">
        <v>1171095</v>
      </c>
      <c r="AN10" s="281">
        <v>1164344</v>
      </c>
      <c r="AO10" s="281">
        <v>1198717</v>
      </c>
      <c r="AP10" s="281">
        <v>1123034</v>
      </c>
      <c r="AQ10" s="281">
        <v>1235110</v>
      </c>
      <c r="AR10" s="281">
        <v>1289307</v>
      </c>
      <c r="AS10" s="281">
        <v>1347607</v>
      </c>
      <c r="AT10" s="281">
        <v>1098034</v>
      </c>
      <c r="AU10" s="281">
        <v>1173778</v>
      </c>
      <c r="AV10" s="281">
        <v>1259323</v>
      </c>
      <c r="AW10" s="281">
        <v>1153205</v>
      </c>
      <c r="AX10" s="281">
        <v>1226447</v>
      </c>
      <c r="AY10" s="281">
        <v>1208730</v>
      </c>
      <c r="AZ10" s="281">
        <v>1269837</v>
      </c>
      <c r="BA10" s="281">
        <v>1166199</v>
      </c>
    </row>
    <row r="11" spans="1:53" ht="24" customHeight="1">
      <c r="A11" s="259" t="s">
        <v>146</v>
      </c>
      <c r="B11" s="281">
        <v>7767</v>
      </c>
      <c r="C11" s="281">
        <v>15032</v>
      </c>
      <c r="D11" s="281">
        <v>0</v>
      </c>
      <c r="E11" s="281">
        <v>8675</v>
      </c>
      <c r="F11" s="281">
        <v>12290.76</v>
      </c>
      <c r="G11" s="281">
        <v>6165.52</v>
      </c>
      <c r="H11" s="281">
        <v>10267</v>
      </c>
      <c r="I11" s="281">
        <v>9116</v>
      </c>
      <c r="J11" s="281">
        <v>12343</v>
      </c>
      <c r="K11" s="281">
        <v>18554.03</v>
      </c>
      <c r="L11" s="281">
        <v>14536.73</v>
      </c>
      <c r="M11" s="281">
        <v>16340</v>
      </c>
      <c r="N11" s="281">
        <v>20886.55</v>
      </c>
      <c r="O11" s="281">
        <v>10130</v>
      </c>
      <c r="P11" s="281">
        <v>18857</v>
      </c>
      <c r="Q11" s="281">
        <v>17100</v>
      </c>
      <c r="R11" s="281">
        <v>25164</v>
      </c>
      <c r="S11" s="281">
        <v>26169.03</v>
      </c>
      <c r="T11" s="281">
        <v>29440.6</v>
      </c>
      <c r="U11" s="282">
        <v>6573</v>
      </c>
      <c r="V11" s="281">
        <v>24153.72</v>
      </c>
      <c r="W11" s="281">
        <v>20414.650000000001</v>
      </c>
      <c r="X11" s="281">
        <v>28714.720000000001</v>
      </c>
      <c r="Y11" s="281">
        <v>20348.759999999998</v>
      </c>
      <c r="Z11" s="281">
        <v>19850.34</v>
      </c>
      <c r="AA11" s="281">
        <v>26018.83</v>
      </c>
      <c r="AB11" s="281">
        <v>15560.65</v>
      </c>
      <c r="AC11" s="281">
        <v>33060</v>
      </c>
      <c r="AD11" s="281">
        <v>34305</v>
      </c>
      <c r="AE11" s="281">
        <v>23887</v>
      </c>
      <c r="AF11" s="281">
        <v>24490</v>
      </c>
      <c r="AG11" s="281">
        <v>28784</v>
      </c>
      <c r="AH11" s="281">
        <v>25244</v>
      </c>
      <c r="AI11" s="281">
        <v>23374</v>
      </c>
      <c r="AJ11" s="281">
        <v>11024</v>
      </c>
      <c r="AK11" s="281">
        <v>26302</v>
      </c>
      <c r="AL11" s="281">
        <v>13694</v>
      </c>
      <c r="AM11" s="281">
        <v>25972</v>
      </c>
      <c r="AN11" s="281">
        <v>14521</v>
      </c>
      <c r="AO11" s="281">
        <v>26165</v>
      </c>
      <c r="AP11" s="281">
        <v>18210</v>
      </c>
      <c r="AQ11" s="281">
        <v>52533</v>
      </c>
      <c r="AR11" s="281">
        <v>45962</v>
      </c>
      <c r="AS11" s="281">
        <v>17189</v>
      </c>
      <c r="AT11" s="281">
        <v>21784</v>
      </c>
      <c r="AU11" s="281">
        <v>21315</v>
      </c>
      <c r="AV11" s="281">
        <v>27713</v>
      </c>
      <c r="AW11" s="281">
        <v>29026</v>
      </c>
      <c r="AX11" s="281">
        <v>13463</v>
      </c>
      <c r="AY11" s="281">
        <v>23742</v>
      </c>
      <c r="AZ11" s="281">
        <v>16723</v>
      </c>
      <c r="BA11" s="281">
        <v>9343</v>
      </c>
    </row>
    <row r="12" spans="1:53" ht="24" customHeight="1">
      <c r="A12" s="259" t="s">
        <v>145</v>
      </c>
      <c r="B12" s="281">
        <v>34064</v>
      </c>
      <c r="C12" s="281">
        <v>23016</v>
      </c>
      <c r="D12" s="281">
        <v>0</v>
      </c>
      <c r="E12" s="281">
        <v>0</v>
      </c>
      <c r="F12" s="281">
        <v>46065.93</v>
      </c>
      <c r="G12" s="281">
        <v>37027.18</v>
      </c>
      <c r="H12" s="281">
        <v>0</v>
      </c>
      <c r="I12" s="281">
        <v>15245</v>
      </c>
      <c r="J12" s="281">
        <v>59029.919999999998</v>
      </c>
      <c r="K12" s="281">
        <v>24545.439999999999</v>
      </c>
      <c r="L12" s="281">
        <v>0</v>
      </c>
      <c r="M12" s="281">
        <v>0</v>
      </c>
      <c r="N12" s="281">
        <v>21296.73</v>
      </c>
      <c r="O12" s="281">
        <v>23754</v>
      </c>
      <c r="P12" s="281">
        <v>0</v>
      </c>
      <c r="Q12" s="281">
        <v>0</v>
      </c>
      <c r="R12" s="281">
        <v>31476</v>
      </c>
      <c r="S12" s="281">
        <v>7818.8</v>
      </c>
      <c r="T12" s="281">
        <v>1752.52</v>
      </c>
      <c r="U12" s="260">
        <v>217</v>
      </c>
      <c r="V12" s="281">
        <v>6941.91</v>
      </c>
      <c r="W12" s="281">
        <v>6058.9</v>
      </c>
      <c r="X12" s="281">
        <v>2729.46</v>
      </c>
      <c r="Y12" s="281">
        <v>183.11</v>
      </c>
      <c r="Z12" s="281">
        <v>11017.81</v>
      </c>
      <c r="AA12" s="281">
        <v>19608.28</v>
      </c>
      <c r="AB12" s="281">
        <v>0</v>
      </c>
      <c r="AC12" s="281">
        <v>1259.8699999999999</v>
      </c>
      <c r="AD12" s="281">
        <v>23252</v>
      </c>
      <c r="AE12" s="281">
        <v>19743</v>
      </c>
      <c r="AF12" s="281">
        <v>0</v>
      </c>
      <c r="AG12" s="281">
        <v>7604</v>
      </c>
      <c r="AH12" s="281">
        <v>32365</v>
      </c>
      <c r="AI12" s="281">
        <v>11173</v>
      </c>
      <c r="AJ12" s="281">
        <v>848</v>
      </c>
      <c r="AK12" s="281">
        <v>30360</v>
      </c>
      <c r="AL12" s="281">
        <v>70987</v>
      </c>
      <c r="AM12" s="281">
        <v>48800</v>
      </c>
      <c r="AN12" s="281">
        <v>23116</v>
      </c>
      <c r="AO12" s="281">
        <v>19808</v>
      </c>
      <c r="AP12" s="281">
        <v>122808</v>
      </c>
      <c r="AQ12" s="281">
        <v>44102</v>
      </c>
      <c r="AR12" s="281">
        <v>5501</v>
      </c>
      <c r="AS12" s="281">
        <v>14534</v>
      </c>
      <c r="AT12" s="281">
        <v>101383</v>
      </c>
      <c r="AU12" s="281">
        <v>48306</v>
      </c>
      <c r="AV12" s="281">
        <v>11945</v>
      </c>
      <c r="AW12" s="281">
        <v>25207</v>
      </c>
      <c r="AX12" s="281">
        <v>7359</v>
      </c>
      <c r="AY12" s="281">
        <v>31450</v>
      </c>
      <c r="AZ12" s="281">
        <v>3189</v>
      </c>
      <c r="BA12" s="281">
        <v>7985</v>
      </c>
    </row>
    <row r="13" spans="1:53" ht="24" customHeight="1">
      <c r="A13" s="259" t="s">
        <v>144</v>
      </c>
      <c r="B13" s="281">
        <v>683363</v>
      </c>
      <c r="C13" s="281">
        <v>660083</v>
      </c>
      <c r="D13" s="281">
        <v>0</v>
      </c>
      <c r="E13" s="281">
        <v>642800</v>
      </c>
      <c r="F13" s="281">
        <v>708682.31</v>
      </c>
      <c r="G13" s="281">
        <v>671185.66</v>
      </c>
      <c r="H13" s="281">
        <v>642565</v>
      </c>
      <c r="I13" s="281">
        <v>605536</v>
      </c>
      <c r="J13" s="281">
        <v>686142.63</v>
      </c>
      <c r="K13" s="281">
        <v>634772</v>
      </c>
      <c r="L13" s="281">
        <v>609015.36</v>
      </c>
      <c r="M13" s="281">
        <v>574107.25</v>
      </c>
      <c r="N13" s="281">
        <v>647020</v>
      </c>
      <c r="O13" s="281">
        <v>643683</v>
      </c>
      <c r="P13" s="281">
        <v>559786</v>
      </c>
      <c r="Q13" s="281">
        <v>594220</v>
      </c>
      <c r="R13" s="281">
        <v>605321</v>
      </c>
      <c r="S13" s="281">
        <v>582953.31000000006</v>
      </c>
      <c r="T13" s="281">
        <v>580863.66</v>
      </c>
      <c r="U13" s="282">
        <v>595958</v>
      </c>
      <c r="V13" s="281">
        <v>627692.48</v>
      </c>
      <c r="W13" s="281">
        <v>628915</v>
      </c>
      <c r="X13" s="281">
        <v>628214.31999999995</v>
      </c>
      <c r="Y13" s="281">
        <v>617396</v>
      </c>
      <c r="Z13" s="281">
        <v>718602</v>
      </c>
      <c r="AA13" s="281">
        <v>705228.28</v>
      </c>
      <c r="AB13" s="281">
        <v>685632.9</v>
      </c>
      <c r="AC13" s="281">
        <v>686279.89</v>
      </c>
      <c r="AD13" s="281">
        <v>735714</v>
      </c>
      <c r="AE13" s="281">
        <v>731924</v>
      </c>
      <c r="AF13" s="281">
        <v>655715</v>
      </c>
      <c r="AG13" s="281">
        <v>699811</v>
      </c>
      <c r="AH13" s="281">
        <v>750155</v>
      </c>
      <c r="AI13" s="281">
        <v>758821</v>
      </c>
      <c r="AJ13" s="281">
        <v>735826</v>
      </c>
      <c r="AK13" s="281">
        <v>728808</v>
      </c>
      <c r="AL13" s="281">
        <v>781004</v>
      </c>
      <c r="AM13" s="281">
        <v>805488</v>
      </c>
      <c r="AN13" s="281">
        <v>850671</v>
      </c>
      <c r="AO13" s="281">
        <v>808555</v>
      </c>
      <c r="AP13" s="281">
        <v>789956</v>
      </c>
      <c r="AQ13" s="281">
        <v>723179</v>
      </c>
      <c r="AR13" s="281">
        <v>714921</v>
      </c>
      <c r="AS13" s="281">
        <v>676683</v>
      </c>
      <c r="AT13" s="281">
        <v>835306</v>
      </c>
      <c r="AU13" s="281">
        <v>813789</v>
      </c>
      <c r="AV13" s="281">
        <v>758695</v>
      </c>
      <c r="AW13" s="281">
        <v>850176</v>
      </c>
      <c r="AX13" s="281">
        <v>800709</v>
      </c>
      <c r="AY13" s="281">
        <v>785168</v>
      </c>
      <c r="AZ13" s="281">
        <v>760285</v>
      </c>
      <c r="BA13" s="281">
        <v>866968</v>
      </c>
    </row>
    <row r="14" spans="1:53" ht="24" customHeight="1">
      <c r="A14" s="259" t="s">
        <v>143</v>
      </c>
      <c r="B14" s="281">
        <v>208913</v>
      </c>
      <c r="C14" s="281">
        <v>201112</v>
      </c>
      <c r="D14" s="281">
        <v>0</v>
      </c>
      <c r="E14" s="281">
        <v>140723</v>
      </c>
      <c r="F14" s="281">
        <v>182252.23</v>
      </c>
      <c r="G14" s="281">
        <v>188434.23</v>
      </c>
      <c r="H14" s="281">
        <v>164644</v>
      </c>
      <c r="I14" s="281">
        <v>123080</v>
      </c>
      <c r="J14" s="281">
        <v>182035.07</v>
      </c>
      <c r="K14" s="281">
        <v>154532.07</v>
      </c>
      <c r="L14" s="281">
        <v>111498.86</v>
      </c>
      <c r="M14" s="281">
        <v>105861.19</v>
      </c>
      <c r="N14" s="281">
        <v>170922</v>
      </c>
      <c r="O14" s="281">
        <v>158805</v>
      </c>
      <c r="P14" s="281">
        <v>114091</v>
      </c>
      <c r="Q14" s="281">
        <v>132557</v>
      </c>
      <c r="R14" s="281">
        <v>133436</v>
      </c>
      <c r="S14" s="281">
        <v>124425.07</v>
      </c>
      <c r="T14" s="281">
        <v>139422.79</v>
      </c>
      <c r="U14" s="282">
        <v>129657</v>
      </c>
      <c r="V14" s="281">
        <v>146230.32</v>
      </c>
      <c r="W14" s="281">
        <v>137003.28</v>
      </c>
      <c r="X14" s="281">
        <v>143045</v>
      </c>
      <c r="Y14" s="281">
        <v>132986</v>
      </c>
      <c r="Z14" s="281">
        <v>153713</v>
      </c>
      <c r="AA14" s="281">
        <v>158874.64000000001</v>
      </c>
      <c r="AB14" s="281">
        <v>148910.26</v>
      </c>
      <c r="AC14" s="281">
        <v>144552</v>
      </c>
      <c r="AD14" s="281">
        <v>171545</v>
      </c>
      <c r="AE14" s="281">
        <v>169984</v>
      </c>
      <c r="AF14" s="281">
        <v>124602</v>
      </c>
      <c r="AG14" s="281">
        <v>160442</v>
      </c>
      <c r="AH14" s="281">
        <v>188581</v>
      </c>
      <c r="AI14" s="281">
        <v>206694</v>
      </c>
      <c r="AJ14" s="281">
        <v>201254</v>
      </c>
      <c r="AK14" s="281">
        <v>177775</v>
      </c>
      <c r="AL14" s="281">
        <v>189898</v>
      </c>
      <c r="AM14" s="281">
        <v>190458</v>
      </c>
      <c r="AN14" s="281">
        <v>231399</v>
      </c>
      <c r="AO14" s="281">
        <v>189374</v>
      </c>
      <c r="AP14" s="281">
        <v>200436</v>
      </c>
      <c r="AQ14" s="281">
        <v>176780</v>
      </c>
      <c r="AR14" s="281">
        <v>188941</v>
      </c>
      <c r="AS14" s="281">
        <v>167894</v>
      </c>
      <c r="AT14" s="281">
        <v>211205</v>
      </c>
      <c r="AU14" s="281">
        <v>237161</v>
      </c>
      <c r="AV14" s="281">
        <v>221763</v>
      </c>
      <c r="AW14" s="281">
        <v>233522</v>
      </c>
      <c r="AX14" s="281">
        <v>210324</v>
      </c>
      <c r="AY14" s="281">
        <v>207862</v>
      </c>
      <c r="AZ14" s="281">
        <v>171690</v>
      </c>
      <c r="BA14" s="281">
        <v>209349</v>
      </c>
    </row>
    <row r="15" spans="1:53" ht="24" customHeight="1">
      <c r="A15" s="259" t="s">
        <v>142</v>
      </c>
      <c r="B15" s="281">
        <v>193512</v>
      </c>
      <c r="C15" s="281">
        <v>141671</v>
      </c>
      <c r="D15" s="281">
        <v>0</v>
      </c>
      <c r="E15" s="281">
        <v>174219</v>
      </c>
      <c r="F15" s="281">
        <v>200056.25</v>
      </c>
      <c r="G15" s="281">
        <v>193428.5</v>
      </c>
      <c r="H15" s="281">
        <v>184031</v>
      </c>
      <c r="I15" s="281">
        <v>201126</v>
      </c>
      <c r="J15" s="281">
        <v>162074.07</v>
      </c>
      <c r="K15" s="281">
        <v>98885.42</v>
      </c>
      <c r="L15" s="281">
        <v>181215.71</v>
      </c>
      <c r="M15" s="281">
        <v>162067.22</v>
      </c>
      <c r="N15" s="281">
        <v>174123</v>
      </c>
      <c r="O15" s="281">
        <v>143024</v>
      </c>
      <c r="P15" s="281">
        <v>160731</v>
      </c>
      <c r="Q15" s="281">
        <v>173462</v>
      </c>
      <c r="R15" s="281">
        <v>157080</v>
      </c>
      <c r="S15" s="281">
        <v>139982.38</v>
      </c>
      <c r="T15" s="281">
        <v>148813.85999999999</v>
      </c>
      <c r="U15" s="282">
        <v>161087</v>
      </c>
      <c r="V15" s="281">
        <v>185051.26</v>
      </c>
      <c r="W15" s="281">
        <v>165750.10999999999</v>
      </c>
      <c r="X15" s="281">
        <v>162832.78</v>
      </c>
      <c r="Y15" s="281">
        <v>168633</v>
      </c>
      <c r="Z15" s="281">
        <v>197812</v>
      </c>
      <c r="AA15" s="281">
        <v>161038.28</v>
      </c>
      <c r="AB15" s="281">
        <v>177871.09</v>
      </c>
      <c r="AC15" s="281">
        <v>174288.38</v>
      </c>
      <c r="AD15" s="281">
        <v>166278</v>
      </c>
      <c r="AE15" s="281">
        <v>153574</v>
      </c>
      <c r="AF15" s="281">
        <v>169469</v>
      </c>
      <c r="AG15" s="281">
        <v>159828</v>
      </c>
      <c r="AH15" s="281">
        <v>184542</v>
      </c>
      <c r="AI15" s="281">
        <v>158171</v>
      </c>
      <c r="AJ15" s="281">
        <v>168598</v>
      </c>
      <c r="AK15" s="281">
        <v>162902</v>
      </c>
      <c r="AL15" s="281">
        <v>174365</v>
      </c>
      <c r="AM15" s="281">
        <v>164015</v>
      </c>
      <c r="AN15" s="281">
        <v>178910</v>
      </c>
      <c r="AO15" s="281">
        <v>150770</v>
      </c>
      <c r="AP15" s="281">
        <v>166868</v>
      </c>
      <c r="AQ15" s="281">
        <v>167388</v>
      </c>
      <c r="AR15" s="281">
        <v>168196</v>
      </c>
      <c r="AS15" s="281">
        <v>156802</v>
      </c>
      <c r="AT15" s="281">
        <v>167355</v>
      </c>
      <c r="AU15" s="281">
        <v>169990</v>
      </c>
      <c r="AV15" s="281">
        <v>163800</v>
      </c>
      <c r="AW15" s="281">
        <v>172949</v>
      </c>
      <c r="AX15" s="281">
        <v>187135</v>
      </c>
      <c r="AY15" s="281">
        <v>181862</v>
      </c>
      <c r="AZ15" s="281">
        <v>183347</v>
      </c>
      <c r="BA15" s="281">
        <v>193252</v>
      </c>
    </row>
    <row r="16" spans="1:53" ht="24" customHeight="1">
      <c r="A16" s="283" t="s">
        <v>141</v>
      </c>
      <c r="B16" s="281">
        <v>280938</v>
      </c>
      <c r="C16" s="281">
        <v>317300</v>
      </c>
      <c r="D16" s="281">
        <v>0</v>
      </c>
      <c r="E16" s="281">
        <v>327858</v>
      </c>
      <c r="F16" s="281">
        <v>326373.83</v>
      </c>
      <c r="G16" s="281">
        <v>289322.93</v>
      </c>
      <c r="H16" s="281">
        <v>293890</v>
      </c>
      <c r="I16" s="281">
        <v>281330</v>
      </c>
      <c r="J16" s="281">
        <v>342034</v>
      </c>
      <c r="K16" s="281">
        <v>381354.5</v>
      </c>
      <c r="L16" s="281">
        <v>316300.79999999999</v>
      </c>
      <c r="M16" s="281">
        <v>306178</v>
      </c>
      <c r="N16" s="281">
        <v>301975</v>
      </c>
      <c r="O16" s="281">
        <v>341854</v>
      </c>
      <c r="P16" s="281">
        <v>284964</v>
      </c>
      <c r="Q16" s="281">
        <v>288201</v>
      </c>
      <c r="R16" s="281">
        <v>314805</v>
      </c>
      <c r="S16" s="281">
        <v>318545.84999999998</v>
      </c>
      <c r="T16" s="281">
        <v>292627.01</v>
      </c>
      <c r="U16" s="282">
        <v>305214</v>
      </c>
      <c r="V16" s="281">
        <v>296410.90000000002</v>
      </c>
      <c r="W16" s="281">
        <v>326162.27</v>
      </c>
      <c r="X16" s="281">
        <v>322335.86</v>
      </c>
      <c r="Y16" s="281">
        <v>315777</v>
      </c>
      <c r="Z16" s="281">
        <v>367077</v>
      </c>
      <c r="AA16" s="281">
        <v>385315.36</v>
      </c>
      <c r="AB16" s="281">
        <v>358851.56</v>
      </c>
      <c r="AC16" s="281">
        <v>367440.13</v>
      </c>
      <c r="AD16" s="281">
        <v>397891</v>
      </c>
      <c r="AE16" s="281">
        <v>408366</v>
      </c>
      <c r="AF16" s="281">
        <v>361644</v>
      </c>
      <c r="AG16" s="281">
        <v>379541</v>
      </c>
      <c r="AH16" s="281">
        <v>377032</v>
      </c>
      <c r="AI16" s="281">
        <v>393956</v>
      </c>
      <c r="AJ16" s="281">
        <v>365974</v>
      </c>
      <c r="AK16" s="281">
        <v>388131</v>
      </c>
      <c r="AL16" s="281">
        <v>416741</v>
      </c>
      <c r="AM16" s="281">
        <v>451015</v>
      </c>
      <c r="AN16" s="281">
        <v>440362</v>
      </c>
      <c r="AO16" s="281">
        <v>468411</v>
      </c>
      <c r="AP16" s="281">
        <v>422652</v>
      </c>
      <c r="AQ16" s="281">
        <v>379011</v>
      </c>
      <c r="AR16" s="281">
        <v>357784</v>
      </c>
      <c r="AS16" s="281">
        <v>351987</v>
      </c>
      <c r="AT16" s="281">
        <v>456746</v>
      </c>
      <c r="AU16" s="281">
        <v>406638</v>
      </c>
      <c r="AV16" s="281">
        <v>373132</v>
      </c>
      <c r="AW16" s="281">
        <v>443705</v>
      </c>
      <c r="AX16" s="281">
        <v>403250</v>
      </c>
      <c r="AY16" s="281">
        <v>395444</v>
      </c>
      <c r="AZ16" s="281">
        <v>405248</v>
      </c>
      <c r="BA16" s="281">
        <v>464367</v>
      </c>
    </row>
    <row r="17" spans="1:53" s="275" customFormat="1" ht="24" customHeight="1">
      <c r="A17" s="280" t="s">
        <v>140</v>
      </c>
      <c r="B17" s="267">
        <v>624529</v>
      </c>
      <c r="C17" s="267">
        <v>621686</v>
      </c>
      <c r="D17" s="267" t="s">
        <v>151</v>
      </c>
      <c r="E17" s="267">
        <v>616217</v>
      </c>
      <c r="F17" s="267">
        <v>613556</v>
      </c>
      <c r="G17" s="267">
        <v>610919</v>
      </c>
      <c r="H17" s="267">
        <v>608479</v>
      </c>
      <c r="I17" s="267">
        <v>606400</v>
      </c>
      <c r="J17" s="267">
        <v>604337</v>
      </c>
      <c r="K17" s="267">
        <v>602287</v>
      </c>
      <c r="L17" s="267">
        <v>601202</v>
      </c>
      <c r="M17" s="267">
        <v>602043</v>
      </c>
      <c r="N17" s="267">
        <f>N6-N7</f>
        <v>5909436.7699999996</v>
      </c>
      <c r="O17" s="267">
        <f>O6-O7</f>
        <v>603935</v>
      </c>
      <c r="P17" s="267">
        <f>P6-P7</f>
        <v>603136</v>
      </c>
      <c r="Q17" s="267">
        <f>Q6-Q7</f>
        <v>598773</v>
      </c>
      <c r="R17" s="267">
        <f>R6-R7</f>
        <v>493674</v>
      </c>
      <c r="S17" s="267">
        <f>S6-S7</f>
        <v>489997</v>
      </c>
      <c r="T17" s="267">
        <f>T6-T7</f>
        <v>486193</v>
      </c>
      <c r="U17" s="267">
        <f>U6-U7</f>
        <v>483077</v>
      </c>
      <c r="V17" s="267">
        <f>V6-V7</f>
        <v>479885</v>
      </c>
      <c r="W17" s="267">
        <f>W6-W7</f>
        <v>476733</v>
      </c>
      <c r="X17" s="267">
        <f>X6-X7</f>
        <v>473683</v>
      </c>
      <c r="Y17" s="267">
        <f>Y6-Y7</f>
        <v>470691</v>
      </c>
      <c r="Z17" s="267">
        <f>Z6-Z7</f>
        <v>467614</v>
      </c>
      <c r="AA17" s="267">
        <f>AA6-AA7</f>
        <v>464589</v>
      </c>
      <c r="AB17" s="267">
        <f>AB6-AB7</f>
        <v>461806</v>
      </c>
      <c r="AC17" s="267">
        <f>AC6-AC7</f>
        <v>458734</v>
      </c>
      <c r="AD17" s="267">
        <f>AD6-AD7</f>
        <v>455953</v>
      </c>
      <c r="AE17" s="267">
        <f>AE6-AE7</f>
        <v>453216</v>
      </c>
      <c r="AF17" s="267">
        <f>AF6-AF7</f>
        <v>450563</v>
      </c>
      <c r="AG17" s="267">
        <f>AG6-AG7</f>
        <v>447680</v>
      </c>
      <c r="AH17" s="267">
        <f>AH6-AH7</f>
        <v>445339</v>
      </c>
      <c r="AI17" s="267">
        <f>AI6-AI7</f>
        <v>442540</v>
      </c>
      <c r="AJ17" s="267">
        <f>AJ6-AJ7</f>
        <v>439857</v>
      </c>
      <c r="AK17" s="267">
        <f>AK6-AK7</f>
        <v>437365</v>
      </c>
      <c r="AL17" s="267">
        <f>AL6-AL7</f>
        <v>434867</v>
      </c>
      <c r="AM17" s="267">
        <f>AM6-AM7</f>
        <v>432381</v>
      </c>
      <c r="AN17" s="267">
        <f>AN6-AN7</f>
        <v>429960</v>
      </c>
      <c r="AO17" s="267">
        <f>AO6-AO7</f>
        <v>427654</v>
      </c>
      <c r="AP17" s="267">
        <f>AP6-AP7</f>
        <v>425371</v>
      </c>
      <c r="AQ17" s="267">
        <f>AQ6-AQ7</f>
        <v>423115</v>
      </c>
      <c r="AR17" s="267">
        <f>AR6-AR7</f>
        <v>420944</v>
      </c>
      <c r="AS17" s="267">
        <f>AS6-AS7</f>
        <v>418923</v>
      </c>
      <c r="AT17" s="267">
        <f>AT6-AT7</f>
        <v>416927</v>
      </c>
      <c r="AU17" s="267">
        <f>AU6-AU7</f>
        <v>414938</v>
      </c>
      <c r="AV17" s="267">
        <f>AV6-AV7</f>
        <v>413049</v>
      </c>
      <c r="AW17" s="267">
        <f>AW6-AW7</f>
        <v>411313</v>
      </c>
      <c r="AX17" s="267">
        <f>AX6-AX7</f>
        <v>450965</v>
      </c>
      <c r="AY17" s="267">
        <f>AY6-AY7</f>
        <v>448752</v>
      </c>
      <c r="AZ17" s="267">
        <f>AZ6-AZ7</f>
        <v>446593</v>
      </c>
      <c r="BA17" s="267">
        <f>BA6-BA7</f>
        <v>444515</v>
      </c>
    </row>
    <row r="18" spans="1:53" s="275" customFormat="1" ht="29.25" customHeight="1">
      <c r="A18" s="279" t="s">
        <v>29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AB18" s="277"/>
      <c r="AC18" s="276"/>
    </row>
    <row r="19" spans="1:53" ht="24" customHeight="1">
      <c r="A19" s="274" t="s">
        <v>19</v>
      </c>
      <c r="B19" s="273">
        <v>100</v>
      </c>
      <c r="C19" s="273">
        <v>100</v>
      </c>
      <c r="D19" s="267">
        <v>0</v>
      </c>
      <c r="E19" s="273">
        <f>E7*100/E$7</f>
        <v>100</v>
      </c>
      <c r="F19" s="273">
        <f>F6*100/F$6</f>
        <v>100</v>
      </c>
      <c r="G19" s="273">
        <f>G6*100/G$6</f>
        <v>100</v>
      </c>
      <c r="H19" s="273">
        <f>H6*100/H$6</f>
        <v>100</v>
      </c>
      <c r="I19" s="273">
        <f>I6*100/I$6</f>
        <v>100</v>
      </c>
      <c r="J19" s="273">
        <f>J6*100/J$6</f>
        <v>100</v>
      </c>
      <c r="K19" s="273">
        <f>K6*100/K$6</f>
        <v>100</v>
      </c>
      <c r="L19" s="273">
        <f>L6*100/L$6</f>
        <v>100</v>
      </c>
      <c r="M19" s="272">
        <f>M6*100/M$6</f>
        <v>100</v>
      </c>
      <c r="N19" s="272">
        <f>N6*100/N$6</f>
        <v>100</v>
      </c>
      <c r="O19" s="272">
        <f>O6*100/O$6</f>
        <v>100</v>
      </c>
      <c r="P19" s="272">
        <f>P6*100/P$6</f>
        <v>100</v>
      </c>
      <c r="Q19" s="272">
        <f>Q6*100/Q$6</f>
        <v>100</v>
      </c>
      <c r="R19" s="272">
        <f>R6*100/R$6</f>
        <v>100</v>
      </c>
      <c r="S19" s="272">
        <f>S6*100/S$6</f>
        <v>100</v>
      </c>
      <c r="T19" s="272">
        <f>T6*100/T$6</f>
        <v>100</v>
      </c>
      <c r="U19" s="272">
        <f>U6*100/U$6</f>
        <v>100</v>
      </c>
      <c r="V19" s="272">
        <f>V6*100/V$6</f>
        <v>100</v>
      </c>
      <c r="W19" s="272">
        <f>W6*100/W$6</f>
        <v>100</v>
      </c>
      <c r="X19" s="272">
        <f>X6*100/X$6</f>
        <v>100</v>
      </c>
      <c r="Y19" s="272">
        <f>Y6*100/Y$6</f>
        <v>100</v>
      </c>
      <c r="Z19" s="272">
        <f>Z6*100/Z$6</f>
        <v>100</v>
      </c>
      <c r="AA19" s="272">
        <f>AA6*100/AA$6</f>
        <v>100</v>
      </c>
      <c r="AB19" s="272">
        <f>AB6*100/AB$6</f>
        <v>100</v>
      </c>
      <c r="AC19" s="272">
        <f>AC6*100/AC$6</f>
        <v>100</v>
      </c>
      <c r="AD19" s="272">
        <f>AD6*100/AD$6</f>
        <v>100</v>
      </c>
      <c r="AE19" s="272">
        <f>AE6*100/AE$6</f>
        <v>100</v>
      </c>
      <c r="AF19" s="272">
        <f>AF6*100/AF$6</f>
        <v>100</v>
      </c>
      <c r="AG19" s="272">
        <f>AG6*100/AG$6</f>
        <v>100</v>
      </c>
      <c r="AH19" s="272">
        <f>AH6*100/AH$6</f>
        <v>100</v>
      </c>
      <c r="AI19" s="272">
        <f>AI6*100/AI$6</f>
        <v>100</v>
      </c>
      <c r="AJ19" s="272">
        <f>AJ6*100/AJ$6</f>
        <v>100</v>
      </c>
      <c r="AK19" s="272">
        <f>AK6*100/AK$6</f>
        <v>100</v>
      </c>
      <c r="AL19" s="272">
        <f>AL6*100/AL$6</f>
        <v>100</v>
      </c>
      <c r="AM19" s="272">
        <f>AM6*100/AM$6</f>
        <v>100</v>
      </c>
      <c r="AN19" s="272">
        <f>AN6*100/AN$6</f>
        <v>100</v>
      </c>
      <c r="AO19" s="272">
        <f>AO6*100/AO$6</f>
        <v>100</v>
      </c>
      <c r="AP19" s="272">
        <f>AP6*100/AP$6</f>
        <v>100</v>
      </c>
      <c r="AQ19" s="272">
        <f>AQ6*100/AQ$6</f>
        <v>100</v>
      </c>
      <c r="AR19" s="272">
        <f>AR6*100/AR$6</f>
        <v>100</v>
      </c>
      <c r="AS19" s="272">
        <f>AS6*100/AS$6</f>
        <v>100</v>
      </c>
      <c r="AT19" s="272">
        <f>AT6*100/AT$6</f>
        <v>100</v>
      </c>
      <c r="AU19" s="272">
        <f>AU6*100/AU$6</f>
        <v>100</v>
      </c>
      <c r="AV19" s="272">
        <f>AV6*100/AV$6</f>
        <v>100</v>
      </c>
      <c r="AW19" s="272">
        <f>AW6*100/AW$6</f>
        <v>100</v>
      </c>
      <c r="AX19" s="272">
        <f>AX6*100/AX$6</f>
        <v>100</v>
      </c>
      <c r="AY19" s="272">
        <f>AY6*100/AY$6</f>
        <v>100</v>
      </c>
      <c r="AZ19" s="272">
        <f>AZ6*100/AZ$6</f>
        <v>100</v>
      </c>
      <c r="BA19" s="272">
        <f>BA6*100/BA$6</f>
        <v>100</v>
      </c>
    </row>
    <row r="20" spans="1:53" ht="24" customHeight="1">
      <c r="A20" s="271" t="s">
        <v>150</v>
      </c>
      <c r="B20" s="270">
        <f>(B7/B6)*100</f>
        <v>77.800262829839184</v>
      </c>
      <c r="C20" s="270">
        <f>(C7/C6)*100</f>
        <v>77.929552014143553</v>
      </c>
      <c r="D20" s="267">
        <v>0</v>
      </c>
      <c r="E20" s="270">
        <f>(E7/E6)*100</f>
        <v>78.16696109631286</v>
      </c>
      <c r="F20" s="270">
        <f>(F7/F6)*100</f>
        <v>78.279988756893303</v>
      </c>
      <c r="G20" s="270">
        <f>(G7/G6)*100</f>
        <v>78.392752300716566</v>
      </c>
      <c r="H20" s="270">
        <f>(H7/H6)*100</f>
        <v>78.499058837580492</v>
      </c>
      <c r="I20" s="270">
        <f>(I7/I6)*100</f>
        <v>78.593239784661549</v>
      </c>
      <c r="J20" s="270">
        <f>(J7/J6)*100</f>
        <v>78.687343462250027</v>
      </c>
      <c r="K20" s="270">
        <f>(K7/K6)*100</f>
        <v>78.78141461228654</v>
      </c>
      <c r="L20" s="270">
        <f>(L7/L6)*100</f>
        <v>78.740502743710749</v>
      </c>
      <c r="M20" s="270">
        <f>(M7/M6)*100</f>
        <v>78.564103705296716</v>
      </c>
      <c r="N20" s="270">
        <f>(N7/N6)*100</f>
        <v>27.062195859787231</v>
      </c>
      <c r="O20" s="270">
        <f>(O7/O6)*100</f>
        <v>78.302918822986285</v>
      </c>
      <c r="P20" s="270">
        <f>(P7/P6)*100</f>
        <v>78.315107869697073</v>
      </c>
      <c r="Q20" s="270">
        <f>(Q7/Q6)*100</f>
        <v>78.602862585804132</v>
      </c>
      <c r="R20" s="270">
        <f>(R7/R6)*100</f>
        <v>80.293580047127051</v>
      </c>
      <c r="S20" s="270">
        <f>(S7/S6)*100</f>
        <v>80.433609833409136</v>
      </c>
      <c r="T20" s="270">
        <f>(T7/T6)*100</f>
        <v>80.578739525270777</v>
      </c>
      <c r="U20" s="270">
        <f>(U7/U6)*100</f>
        <v>80.694163972739545</v>
      </c>
      <c r="V20" s="270">
        <f>(V7/V6)*100</f>
        <v>80.814185233057572</v>
      </c>
      <c r="W20" s="270">
        <f>(W7/W6)*100</f>
        <v>80.934294857694979</v>
      </c>
      <c r="X20" s="270">
        <f>(X7/X6)*100</f>
        <v>81.049594874045496</v>
      </c>
      <c r="Y20" s="270">
        <f>(Y7/Y6)*100</f>
        <v>81.159819976176138</v>
      </c>
      <c r="Z20" s="270">
        <f>(Z7/Z6)*100</f>
        <v>81.275164748389557</v>
      </c>
      <c r="AA20" s="270">
        <f>(AA7/AA6)*100</f>
        <v>81.390103274153574</v>
      </c>
      <c r="AB20" s="270">
        <f>(AB7/AB6)*100</f>
        <v>81.495354665089508</v>
      </c>
      <c r="AC20" s="270">
        <f>(AC7/AC6)*100</f>
        <v>81.610551001182571</v>
      </c>
      <c r="AD20" s="270">
        <f>(AD7/AD6)*100</f>
        <v>81.71567917814734</v>
      </c>
      <c r="AE20" s="270">
        <f>(AE7/AE6)*100</f>
        <v>81.820610416037411</v>
      </c>
      <c r="AF20" s="270">
        <f>(AF7/AF6)*100</f>
        <v>81.920761813962756</v>
      </c>
      <c r="AG20" s="270">
        <f>(AG7/AG6)*100</f>
        <v>82.025950916649208</v>
      </c>
      <c r="AH20" s="270">
        <f>(AH7/AH6)*100</f>
        <v>82.111027246460182</v>
      </c>
      <c r="AI20" s="270">
        <f>(AI7/AI6)*100</f>
        <v>82.216289049800736</v>
      </c>
      <c r="AJ20" s="270">
        <f>(AJ7/AJ6)*100</f>
        <v>82.316353926201444</v>
      </c>
      <c r="AK20" s="270">
        <f>(AK7/AK6)*100</f>
        <v>82.406284041777752</v>
      </c>
      <c r="AL20" s="270">
        <f>(AL7/AL6)*100</f>
        <v>82.498230170768906</v>
      </c>
      <c r="AM20" s="270">
        <f>(AM7/AM6)*100</f>
        <v>82.591507309955645</v>
      </c>
      <c r="AN20" s="270">
        <f>(AN7/AN6)*100</f>
        <v>82.681143891997621</v>
      </c>
      <c r="AO20" s="270">
        <f>(AO7/AO6)*100</f>
        <v>82.762135822538525</v>
      </c>
      <c r="AP20" s="270">
        <f>(AP7/AP6)*100</f>
        <v>82.843647542388638</v>
      </c>
      <c r="AQ20" s="270">
        <f>(AQ7/AQ6)*100</f>
        <v>82.925409971352352</v>
      </c>
      <c r="AR20" s="270">
        <f>(AR7/AR6)*100</f>
        <v>83.003382817162333</v>
      </c>
      <c r="AS20" s="270">
        <f>(AS7/AS6)*100</f>
        <v>83.073380483374109</v>
      </c>
      <c r="AT20" s="270">
        <f>(AT7/AT6)*100</f>
        <v>83.143799268547298</v>
      </c>
      <c r="AU20" s="270">
        <f>(AU7/AU6)*100</f>
        <v>83.21533772954939</v>
      </c>
      <c r="AV20" s="270">
        <f>(AV7/AV6)*100</f>
        <v>83.282275445466411</v>
      </c>
      <c r="AW20" s="270">
        <f>(AW7/AW6)*100</f>
        <v>83.340414682167591</v>
      </c>
      <c r="AX20" s="270">
        <f>(AX7/AX6)*100</f>
        <v>81.953770053978829</v>
      </c>
      <c r="AY20" s="270">
        <f>(AY7/AY6)*100</f>
        <v>82.034412104528627</v>
      </c>
      <c r="AZ20" s="270">
        <f>(AZ7/AZ6)*100</f>
        <v>82.112145706987874</v>
      </c>
      <c r="BA20" s="270">
        <f>(BA7/BA6)*100</f>
        <v>82.183838942529292</v>
      </c>
    </row>
    <row r="21" spans="1:53" ht="24" customHeight="1">
      <c r="A21" s="269" t="s">
        <v>149</v>
      </c>
      <c r="B21" s="266">
        <f>(B8/B6)*100</f>
        <v>53.509190690975174</v>
      </c>
      <c r="C21" s="266">
        <f>(C8/C6)*100</f>
        <v>54.495975972990919</v>
      </c>
      <c r="D21" s="267">
        <v>0</v>
      </c>
      <c r="E21" s="266">
        <f>(E8/E6)*100</f>
        <v>55.39206620167333</v>
      </c>
      <c r="F21" s="266">
        <f>(F8/F6)*100</f>
        <v>53.192486163827922</v>
      </c>
      <c r="G21" s="266">
        <f>(G8/G6)*100</f>
        <v>54.653967277125822</v>
      </c>
      <c r="H21" s="266">
        <f>(H8/H6)*100</f>
        <v>55.793670059939693</v>
      </c>
      <c r="I21" s="266">
        <f>(I8/I6)*100</f>
        <v>57.21697996646369</v>
      </c>
      <c r="J21" s="266">
        <f>(J8/J6)*100</f>
        <v>54.489714971691839</v>
      </c>
      <c r="K21" s="266">
        <f>(K8/K6)*100</f>
        <v>56.418381899095571</v>
      </c>
      <c r="L21" s="266">
        <f>(L8/L6)*100</f>
        <v>57.204712152598269</v>
      </c>
      <c r="M21" s="266">
        <f>(M8/M6)*100</f>
        <v>58.122867334099084</v>
      </c>
      <c r="N21" s="266">
        <f>(N8/N6)*100</f>
        <v>19.076281746401676</v>
      </c>
      <c r="O21" s="266">
        <f>(O8/O6)*100</f>
        <v>55.177843602534239</v>
      </c>
      <c r="P21" s="266">
        <f>(P8/P6)*100</f>
        <v>58.188802979831841</v>
      </c>
      <c r="Q21" s="266">
        <f>(Q8/Q6)*100</f>
        <v>57.368426506917039</v>
      </c>
      <c r="R21" s="266">
        <f>(R8/R6)*100</f>
        <v>56.130448441466221</v>
      </c>
      <c r="S21" s="266">
        <f>(S8/S6)*100</f>
        <v>57.155320952657426</v>
      </c>
      <c r="T21" s="266">
        <f>(T8/T6)*100</f>
        <v>57.375804803535665</v>
      </c>
      <c r="U21" s="266">
        <f>(U8/U6)*100</f>
        <v>56.877117358775145</v>
      </c>
      <c r="V21" s="266">
        <f>(V8/V6)*100</f>
        <v>55.719023575821524</v>
      </c>
      <c r="W21" s="266">
        <f>(W8/W6)*100</f>
        <v>55.782436849973251</v>
      </c>
      <c r="X21" s="266">
        <f>(X8/X6)*100</f>
        <v>55.916930476281536</v>
      </c>
      <c r="Y21" s="266">
        <f>(Y8/Y6)*100</f>
        <v>56.447531476951063</v>
      </c>
      <c r="Z21" s="266">
        <f>(Z8/Z6)*100</f>
        <v>52.499920914366086</v>
      </c>
      <c r="AA21" s="266">
        <f>(AA8/AA6)*100</f>
        <v>53.140993934616262</v>
      </c>
      <c r="AB21" s="266">
        <f>(AB8/AB6)*100</f>
        <v>54.021927198910738</v>
      </c>
      <c r="AC21" s="266">
        <f>(AC8/AC6)*100</f>
        <v>54.099381050690511</v>
      </c>
      <c r="AD21" s="266">
        <f>(AD8/AD6)*100</f>
        <v>52.212570723704651</v>
      </c>
      <c r="AE21" s="266">
        <f>(AE8/AE6)*100</f>
        <v>52.461651947576861</v>
      </c>
      <c r="AF21" s="266">
        <f>(AF8/AF6)*100</f>
        <v>55.609618495142968</v>
      </c>
      <c r="AG21" s="266">
        <f>(AG8/AG6)*100</f>
        <v>53.929012784347542</v>
      </c>
      <c r="AH21" s="266">
        <f>(AH8/AH6)*100</f>
        <v>51.977797603577649</v>
      </c>
      <c r="AI21" s="266">
        <f>(AI8/AI6)*100</f>
        <v>51.722653837297571</v>
      </c>
      <c r="AJ21" s="266">
        <f>(AJ8/AJ6)*100</f>
        <v>52.733815610569579</v>
      </c>
      <c r="AK21" s="266">
        <f>(AK8/AK6)*100</f>
        <v>53.088801069706292</v>
      </c>
      <c r="AL21" s="266">
        <f>(AL8/AL6)*100</f>
        <v>51.065741056375757</v>
      </c>
      <c r="AM21" s="266">
        <f>(AM8/AM6)*100</f>
        <v>50.161007450067153</v>
      </c>
      <c r="AN21" s="266">
        <f>(AN8/AN6)*100</f>
        <v>48.415982843875724</v>
      </c>
      <c r="AO21" s="266">
        <f>(AO8/AO6)*100</f>
        <v>50.170925942571621</v>
      </c>
      <c r="AP21" s="266">
        <f>(AP8/AP6)*100</f>
        <v>50.982604918409002</v>
      </c>
      <c r="AQ21" s="266">
        <f>(AQ8/AQ6)*100</f>
        <v>53.741890260807033</v>
      </c>
      <c r="AR21" s="266">
        <f>(AR8/AR6)*100</f>
        <v>54.136743660952725</v>
      </c>
      <c r="AS21" s="266">
        <f>(AS8/AS6)*100</f>
        <v>55.731946199820925</v>
      </c>
      <c r="AT21" s="266">
        <f>(AT8/AT6)*100</f>
        <v>49.372693995473497</v>
      </c>
      <c r="AU21" s="266">
        <f>(AU8/AU6)*100</f>
        <v>50.296748628508411</v>
      </c>
      <c r="AV21" s="266">
        <f>(AV8/AV6)*100</f>
        <v>52.574891985146053</v>
      </c>
      <c r="AW21" s="266">
        <f>(AW8/AW6)*100</f>
        <v>48.905374683010066</v>
      </c>
      <c r="AX21" s="266">
        <f>(AX8/AX6)*100</f>
        <v>49.911862735564597</v>
      </c>
      <c r="AY21" s="266">
        <f>(AY8/AY6)*100</f>
        <v>50.600558402012616</v>
      </c>
      <c r="AZ21" s="266">
        <f>(AZ8/AZ6)*100</f>
        <v>51.659659212209107</v>
      </c>
      <c r="BA21" s="266">
        <f>(BA8/BA6)*100</f>
        <v>47.435761780513907</v>
      </c>
    </row>
    <row r="22" spans="1:53" ht="24" customHeight="1">
      <c r="A22" s="269" t="s">
        <v>148</v>
      </c>
      <c r="B22" s="266">
        <f>(B9/B6)*100</f>
        <v>52.29833923817737</v>
      </c>
      <c r="C22" s="266">
        <f>(C9/C$6)*100</f>
        <v>53.678887259792042</v>
      </c>
      <c r="D22" s="267">
        <v>0</v>
      </c>
      <c r="E22" s="266">
        <f>(E9/E6)*100</f>
        <v>55.39206620167333</v>
      </c>
      <c r="F22" s="266">
        <f>(F9/F6)*100</f>
        <v>51.561742568256918</v>
      </c>
      <c r="G22" s="266">
        <f>(G9/G6)*100</f>
        <v>53.344373943368062</v>
      </c>
      <c r="H22" s="266">
        <f>(H9/H6)*100</f>
        <v>55.793670059939693</v>
      </c>
      <c r="I22" s="266">
        <f>(I9/I6)*100</f>
        <v>56.678810343305976</v>
      </c>
      <c r="J22" s="266">
        <f>(J9/J6)*100</f>
        <v>52.407955274021731</v>
      </c>
      <c r="K22" s="266">
        <f>(K9/K6)*100</f>
        <v>55.553645461950161</v>
      </c>
      <c r="L22" s="266">
        <f>(L9/L6)*100</f>
        <v>57.204712152598269</v>
      </c>
      <c r="M22" s="266">
        <f>(M9/M6)*100</f>
        <v>58.122867334099084</v>
      </c>
      <c r="N22" s="266">
        <f>(N9/N6)*100</f>
        <v>18.813424763236597</v>
      </c>
      <c r="O22" s="266">
        <f>(O9/O6)*100</f>
        <v>54.324452978909534</v>
      </c>
      <c r="P22" s="266">
        <f>(P9/P6)*100</f>
        <v>58.188802979831841</v>
      </c>
      <c r="Q22" s="266">
        <f>(Q9/Q6)*100</f>
        <v>57.368426506917039</v>
      </c>
      <c r="R22" s="266">
        <f>(R9/R6)*100</f>
        <v>54.873993221145454</v>
      </c>
      <c r="S22" s="266">
        <f>(S9/S6)*100</f>
        <v>56.843102944999337</v>
      </c>
      <c r="T22" s="266">
        <f>(T9/T6)*100</f>
        <v>57.30579937892616</v>
      </c>
      <c r="U22" s="266">
        <f>(U9/U6)*100</f>
        <v>56.868445104832368</v>
      </c>
      <c r="V22" s="266">
        <f>(V9/V6)*100</f>
        <v>55.441485433877226</v>
      </c>
      <c r="W22" s="266">
        <f>(W9/W6)*100</f>
        <v>55.54012679196024</v>
      </c>
      <c r="X22" s="266">
        <f>(X9/X6)*100</f>
        <v>55.807734299143895</v>
      </c>
      <c r="Y22" s="266">
        <f>(Y9/Y6)*100</f>
        <v>56.440202198583378</v>
      </c>
      <c r="Z22" s="266">
        <f>(Z9/Z6)*100</f>
        <v>52.058730793703425</v>
      </c>
      <c r="AA22" s="266">
        <f>(AA9/AA6)*100</f>
        <v>52.355551176024321</v>
      </c>
      <c r="AB22" s="266">
        <f>(AB9/AB6)*100</f>
        <v>54.02192759961244</v>
      </c>
      <c r="AC22" s="266">
        <f>(AC9/AC6)*100</f>
        <v>54.04885610631176</v>
      </c>
      <c r="AD22" s="266">
        <f>(AD9/AD6)*100</f>
        <v>51.280134644219011</v>
      </c>
      <c r="AE22" s="266">
        <f>(AE9/AE6)*100</f>
        <v>51.669721193684296</v>
      </c>
      <c r="AF22" s="266">
        <f>(AF9/AF6)*100</f>
        <v>55.609618495142968</v>
      </c>
      <c r="AG22" s="266">
        <f>(AG9/AG6)*100</f>
        <v>53.623717329491846</v>
      </c>
      <c r="AH22" s="266">
        <f>(AH9/AH6)*100</f>
        <v>50.677716983716557</v>
      </c>
      <c r="AI22" s="266">
        <f>(AI9/AI6)*100</f>
        <v>51.273660746398278</v>
      </c>
      <c r="AJ22" s="266">
        <f>(AJ9/AJ6)*100</f>
        <v>52.699723321778947</v>
      </c>
      <c r="AK22" s="266">
        <f>(AK9/AK6)*100</f>
        <v>51.867520865548158</v>
      </c>
      <c r="AL22" s="266">
        <f>(AL9/AL6)*100</f>
        <v>48.208793566072082</v>
      </c>
      <c r="AM22" s="266">
        <f>(AM9/AM6)*100</f>
        <v>48.196225363726256</v>
      </c>
      <c r="AN22" s="266">
        <f>(AN9/AN6)*100</f>
        <v>47.484866745186117</v>
      </c>
      <c r="AO22" s="266">
        <f>(AO9/AO6)*100</f>
        <v>49.372505692492922</v>
      </c>
      <c r="AP22" s="266">
        <f>(AP9/AP6)*100</f>
        <v>46.029429143345972</v>
      </c>
      <c r="AQ22" s="266">
        <f>(AQ9/AQ6)*100</f>
        <v>51.962176543629866</v>
      </c>
      <c r="AR22" s="266">
        <f>(AR9/AR6)*100</f>
        <v>53.914668053495184</v>
      </c>
      <c r="AS22" s="266">
        <f>(AS9/AS6)*100</f>
        <v>55.144698691198478</v>
      </c>
      <c r="AT22" s="266">
        <f>(AT9/AT6)*100</f>
        <v>45.273817696368688</v>
      </c>
      <c r="AU22" s="266">
        <f>(AU9/AU6)*100</f>
        <v>48.342722013360159</v>
      </c>
      <c r="AV22" s="266">
        <f>(AV9/AV6)*100</f>
        <v>52.091430652946002</v>
      </c>
      <c r="AW22" s="266">
        <f>(AW9/AW6)*100</f>
        <v>47.884404844695695</v>
      </c>
      <c r="AX22" s="266">
        <f>(AX9/AX6)*100</f>
        <v>49.617378227514592</v>
      </c>
      <c r="AY22" s="266">
        <f>(AY9/AY6)*100</f>
        <v>49.341471558249076</v>
      </c>
      <c r="AZ22" s="266">
        <f>(AZ9/AZ6)*100</f>
        <v>51.531926875740751</v>
      </c>
      <c r="BA22" s="266">
        <f>(BA9/BA6)*100</f>
        <v>47.115722983074214</v>
      </c>
    </row>
    <row r="23" spans="1:53" ht="24" customHeight="1">
      <c r="A23" s="269" t="s">
        <v>147</v>
      </c>
      <c r="B23" s="266">
        <f>(B10/B6)*100</f>
        <v>52.02225060402165</v>
      </c>
      <c r="C23" s="266">
        <f>(C10/C$6)*100</f>
        <v>53.145237731776497</v>
      </c>
      <c r="D23" s="267">
        <v>0</v>
      </c>
      <c r="E23" s="266">
        <f>(E10/E6)*100</f>
        <v>55.08466889597031</v>
      </c>
      <c r="F23" s="266">
        <f>(F10/F6)*100</f>
        <v>51.126647083270491</v>
      </c>
      <c r="G23" s="266">
        <f>(G10/G6)*100</f>
        <v>53.126309162546235</v>
      </c>
      <c r="H23" s="266">
        <f>(H10/H6)*100</f>
        <v>55.430879950643295</v>
      </c>
      <c r="I23" s="266">
        <f>(I10/I6)*100</f>
        <v>56.357002912364308</v>
      </c>
      <c r="J23" s="266">
        <f>(J10/J6)*100</f>
        <v>51.972636619412341</v>
      </c>
      <c r="K23" s="266">
        <f>(K10/K6)*100</f>
        <v>54.899986542130883</v>
      </c>
      <c r="L23" s="266">
        <f>(L10/L6)*100</f>
        <v>56.690669332463905</v>
      </c>
      <c r="M23" s="266">
        <f>(M10/M6)*100</f>
        <v>57.541101284851315</v>
      </c>
      <c r="N23" s="266">
        <f>(N10/N6)*100</f>
        <v>18.555630467035886</v>
      </c>
      <c r="O23" s="266">
        <f>(O10/O6)*100</f>
        <v>53.960520714140728</v>
      </c>
      <c r="P23" s="266">
        <f>(P10/P6)*100</f>
        <v>57.510826518633841</v>
      </c>
      <c r="Q23" s="266">
        <f>(Q10/Q6)*100</f>
        <v>56.757358456449246</v>
      </c>
      <c r="R23" s="266">
        <f>(R10/R6)*100</f>
        <v>53.869499665288565</v>
      </c>
      <c r="S23" s="266">
        <f>(S10/S6)*100</f>
        <v>55.798130719460573</v>
      </c>
      <c r="T23" s="266">
        <f>(T10/T6)*100</f>
        <v>56.129777591010011</v>
      </c>
      <c r="U23" s="266">
        <f>(U10/U6)*100</f>
        <v>56.605759735404334</v>
      </c>
      <c r="V23" s="266">
        <f>(V10/V6)*100</f>
        <v>54.475819080787232</v>
      </c>
      <c r="W23" s="266">
        <f>(W10/W6)*100</f>
        <v>54.723695587316648</v>
      </c>
      <c r="X23" s="266">
        <f>(X10/X6)*100</f>
        <v>54.65895847844029</v>
      </c>
      <c r="Y23" s="266">
        <f>(Y10/Y6)*100</f>
        <v>55.625709672357914</v>
      </c>
      <c r="Z23" s="266">
        <f>(Z10/Z6)*100</f>
        <v>51.263856503822339</v>
      </c>
      <c r="AA23" s="266">
        <f>(AA10/AA6)*100</f>
        <v>51.31332301473045</v>
      </c>
      <c r="AB23" s="266">
        <f>(AB10/AB6)*100</f>
        <v>53.398409695057978</v>
      </c>
      <c r="AC23" s="266">
        <f>(AC10/AC6)*100</f>
        <v>52.723566976007696</v>
      </c>
      <c r="AD23" s="266">
        <f>(AD10/AD6)*100</f>
        <v>49.904458585954991</v>
      </c>
      <c r="AE23" s="266">
        <f>(AE10/AE6)*100</f>
        <v>50.711566408786766</v>
      </c>
      <c r="AF23" s="266">
        <f>(AF10/AF6)*100</f>
        <v>54.626935622434701</v>
      </c>
      <c r="AG23" s="266">
        <f>(AG10/AG6)*100</f>
        <v>52.468059205798198</v>
      </c>
      <c r="AH23" s="266">
        <f>(AH10/AH6)*100</f>
        <v>49.663682218761416</v>
      </c>
      <c r="AI23" s="266">
        <f>(AI10/AI6)*100</f>
        <v>50.334363824651184</v>
      </c>
      <c r="AJ23" s="266">
        <f>(AJ10/AJ6)*100</f>
        <v>52.256523567500722</v>
      </c>
      <c r="AK23" s="266">
        <f>(AK10/AK6)*100</f>
        <v>50.809480288151335</v>
      </c>
      <c r="AL23" s="266">
        <f>(AL10/AL6)*100</f>
        <v>47.657647614221901</v>
      </c>
      <c r="AM23" s="266">
        <f>(AM10/AM6)*100</f>
        <v>47.15054256974171</v>
      </c>
      <c r="AN23" s="266">
        <f>(AN10/AN6)*100</f>
        <v>46.899958591999074</v>
      </c>
      <c r="AO23" s="266">
        <f>(AO10/AO6)*100</f>
        <v>48.317847683440554</v>
      </c>
      <c r="AP23" s="266">
        <f>(AP10/AP6)*100</f>
        <v>45.294971039119069</v>
      </c>
      <c r="AQ23" s="266">
        <f>(AQ10/AQ6)*100</f>
        <v>49.842234121416169</v>
      </c>
      <c r="AR23" s="266">
        <f>(AR10/AR6)*100</f>
        <v>52.058842768047278</v>
      </c>
      <c r="AS23" s="266">
        <f>(AS10/AS6)*100</f>
        <v>54.45017568131054</v>
      </c>
      <c r="AT23" s="266">
        <f>(AT10/AT6)*100</f>
        <v>44.393098825357782</v>
      </c>
      <c r="AU23" s="266">
        <f>(AU10/AU6)*100</f>
        <v>47.480508679573774</v>
      </c>
      <c r="AV23" s="266">
        <f>(AV10/AV6)*100</f>
        <v>50.969776077871877</v>
      </c>
      <c r="AW23" s="266">
        <f>(AW10/AW6)*100</f>
        <v>46.708752425648875</v>
      </c>
      <c r="AX23" s="266">
        <f>(AX10/AX6)*100</f>
        <v>49.078630444952125</v>
      </c>
      <c r="AY23" s="266">
        <f>(AY10/AY6)*100</f>
        <v>48.390971086241649</v>
      </c>
      <c r="AZ23" s="266">
        <f>(AZ10/AZ6)*100</f>
        <v>50.862103149569407</v>
      </c>
      <c r="BA23" s="266">
        <f>(BA10/BA6)*100</f>
        <v>46.741255546069951</v>
      </c>
    </row>
    <row r="24" spans="1:53" ht="24" customHeight="1">
      <c r="A24" s="269" t="s">
        <v>146</v>
      </c>
      <c r="B24" s="266">
        <f>(B11/B6)*100</f>
        <v>0.27608863415572221</v>
      </c>
      <c r="C24" s="266">
        <f>(C11/C$6)*100</f>
        <v>0.53364952801553522</v>
      </c>
      <c r="D24" s="267">
        <v>0</v>
      </c>
      <c r="E24" s="266">
        <f>(E11/E$6)*100</f>
        <v>0.30736187493932482</v>
      </c>
      <c r="F24" s="266">
        <f>(F11/F$6)*100</f>
        <v>0.43509548498641692</v>
      </c>
      <c r="G24" s="266">
        <f>(G11/G$6)*100</f>
        <v>0.21806478082182093</v>
      </c>
      <c r="H24" s="266">
        <f>(H11/H$6)*100</f>
        <v>0.36279010929639499</v>
      </c>
      <c r="I24" s="266">
        <f>(I11/I$6)*100</f>
        <v>0.32180743094166447</v>
      </c>
      <c r="J24" s="266">
        <f>(J11/J$6)*100</f>
        <v>0.43529044166656677</v>
      </c>
      <c r="K24" s="266">
        <f>(K11/K$6)*100</f>
        <v>0.65365891981928403</v>
      </c>
      <c r="L24" s="266">
        <f>(L11/L$6)*100</f>
        <v>0.51404282013436009</v>
      </c>
      <c r="M24" s="266">
        <f>(M11/M$6)*100</f>
        <v>0.58178990477017878</v>
      </c>
      <c r="N24" s="266">
        <f>(N11/N$6)*100</f>
        <v>0.25779429620071237</v>
      </c>
      <c r="O24" s="266">
        <f>(O11/O$6)*100</f>
        <v>0.36393226476880602</v>
      </c>
      <c r="P24" s="266">
        <f>(P11/P$6)*100</f>
        <v>0.67797646119800892</v>
      </c>
      <c r="Q24" s="266">
        <f>(Q11/Q$6)*100</f>
        <v>0.61106805046778867</v>
      </c>
      <c r="R24" s="266">
        <f>(R11/R$6)*100</f>
        <v>1.004493555856891</v>
      </c>
      <c r="S24" s="266">
        <f>(S11/S$6)*100</f>
        <v>1.0449726248552977</v>
      </c>
      <c r="T24" s="266">
        <f>(T11/T$6)*100</f>
        <v>1.176021787916143</v>
      </c>
      <c r="U24" s="266">
        <f>(U11/U$6)*100</f>
        <v>0.26268536942802689</v>
      </c>
      <c r="V24" s="266">
        <f>(V11/V$6)*100</f>
        <v>0.96566635308999627</v>
      </c>
      <c r="W24" s="266">
        <f>(W11/W$6)*100</f>
        <v>0.81643120464359953</v>
      </c>
      <c r="X24" s="266">
        <f>(X11/X$6)*100</f>
        <v>1.1487758207036105</v>
      </c>
      <c r="Y24" s="266">
        <f>(Y11/Y$6)*100</f>
        <v>0.81449252622545554</v>
      </c>
      <c r="Z24" s="266">
        <f>(Z11/Z$6)*100</f>
        <v>0.79487428988108333</v>
      </c>
      <c r="AA24" s="266">
        <f>(AA11/AA$6)*100</f>
        <v>1.0422281612938631</v>
      </c>
      <c r="AB24" s="266">
        <f>(AB11/AB$6)*100</f>
        <v>0.62351790455445577</v>
      </c>
      <c r="AC24" s="266">
        <f>(AC11/AC$6)*100</f>
        <v>1.3252891303040628</v>
      </c>
      <c r="AD24" s="266">
        <f>(AD11/AD$6)*100</f>
        <v>1.3756760582640215</v>
      </c>
      <c r="AE24" s="266">
        <f>(AE11/AE$6)*100</f>
        <v>0.95815478489751982</v>
      </c>
      <c r="AF24" s="266">
        <f>(AF11/AF$6)*100</f>
        <v>0.98268287270826038</v>
      </c>
      <c r="AG24" s="266">
        <f>(AG11/AG$6)*100</f>
        <v>1.1556581236936414</v>
      </c>
      <c r="AH24" s="266">
        <f>(AH11/AH$6)*100</f>
        <v>1.0140347649551449</v>
      </c>
      <c r="AI24" s="266">
        <f>(AI11/AI$6)*100</f>
        <v>0.93929692174709067</v>
      </c>
      <c r="AJ24" s="266">
        <f>(AJ11/AJ$6)*100</f>
        <v>0.44319975427822039</v>
      </c>
      <c r="AK24" s="266">
        <f>(AK11/AK$6)*100</f>
        <v>1.0580405773968227</v>
      </c>
      <c r="AL24" s="266">
        <f>(AL11/AL$6)*100</f>
        <v>0.55113226812218596</v>
      </c>
      <c r="AM24" s="266">
        <f>(AM11/AM$6)*100</f>
        <v>1.0456827939845459</v>
      </c>
      <c r="AN24" s="266">
        <f>(AN11/AN$6)*100</f>
        <v>0.58490815318704648</v>
      </c>
      <c r="AO24" s="266">
        <f>(AO11/AO$6)*100</f>
        <v>1.0546580090523636</v>
      </c>
      <c r="AP24" s="266">
        <f>(AP11/AP$6)*100</f>
        <v>0.73445810422690516</v>
      </c>
      <c r="AQ24" s="266">
        <f>(AQ11/AQ$6)*100</f>
        <v>2.1199424222136938</v>
      </c>
      <c r="AR24" s="266">
        <f>(AR11/AR$6)*100</f>
        <v>1.8558252854479103</v>
      </c>
      <c r="AS24" s="266">
        <f>(AS11/AS$6)*100</f>
        <v>0.69452300988793236</v>
      </c>
      <c r="AT24" s="266">
        <f>(AT11/AT$6)*100</f>
        <v>0.8807188710109104</v>
      </c>
      <c r="AU24" s="266">
        <f>(AU11/AU$6)*100</f>
        <v>0.86221333378638465</v>
      </c>
      <c r="AV24" s="266">
        <f>(AV11/AV$6)*100</f>
        <v>1.1216545750741178</v>
      </c>
      <c r="AW24" s="266">
        <f>(AW11/AW$6)*100</f>
        <v>1.1756524190468167</v>
      </c>
      <c r="AX24" s="266">
        <f>(AX11/AX$6)*100</f>
        <v>0.53874778256246747</v>
      </c>
      <c r="AY24" s="266">
        <f>(AY11/AY$6)*100</f>
        <v>0.9505004720074367</v>
      </c>
      <c r="AZ24" s="266">
        <f>(AZ11/AZ$6)*100</f>
        <v>0.66982372617135044</v>
      </c>
      <c r="BA24" s="266">
        <f>(BA11/BA$6)*100</f>
        <v>0.37446743700426049</v>
      </c>
    </row>
    <row r="25" spans="1:53" ht="24" customHeight="1">
      <c r="A25" s="269" t="s">
        <v>145</v>
      </c>
      <c r="B25" s="266">
        <f>(B12/B6)*100</f>
        <v>1.2108514527978014</v>
      </c>
      <c r="C25" s="266">
        <f>(C12/C$6)*100</f>
        <v>0.81708871319887966</v>
      </c>
      <c r="D25" s="267">
        <v>0</v>
      </c>
      <c r="E25" s="266">
        <f>(E12/E$6)*100</f>
        <v>0</v>
      </c>
      <c r="F25" s="266">
        <f>(F12/F$6)*100</f>
        <v>1.630743595571009</v>
      </c>
      <c r="G25" s="266">
        <f>(G12/G$6)*100</f>
        <v>1.3095933337577546</v>
      </c>
      <c r="H25" s="266">
        <f>(H12/H$6)*100</f>
        <v>0</v>
      </c>
      <c r="I25" s="266">
        <f>(I12/I$6)*100</f>
        <v>0.53816962315770889</v>
      </c>
      <c r="J25" s="266">
        <f>(J12/J$6)*100</f>
        <v>2.0817596976701047</v>
      </c>
      <c r="K25" s="266">
        <f>(K12/K$6)*100</f>
        <v>0.86473643714540982</v>
      </c>
      <c r="L25" s="266">
        <f>(L12/L$6)*100</f>
        <v>0</v>
      </c>
      <c r="M25" s="266">
        <f>(M12/M$6)*100</f>
        <v>0</v>
      </c>
      <c r="N25" s="266">
        <f>(N12/N$6)*100</f>
        <v>0.26285698316507983</v>
      </c>
      <c r="O25" s="266">
        <f>(O12/O$6)*100</f>
        <v>0.85339062362470075</v>
      </c>
      <c r="P25" s="266">
        <f>(P12/P$6)*100</f>
        <v>0</v>
      </c>
      <c r="Q25" s="266">
        <f>(Q12/Q$6)*100</f>
        <v>0</v>
      </c>
      <c r="R25" s="266">
        <f>(R12/R$6)*100</f>
        <v>1.2564552203207562</v>
      </c>
      <c r="S25" s="266">
        <f>(S12/S$6)*100</f>
        <v>0.31221760834156259</v>
      </c>
      <c r="T25" s="266">
        <f>(T12/T$6)*100</f>
        <v>7.0005424609511993E-2</v>
      </c>
      <c r="U25" s="266">
        <f>(U12/U$6)*100</f>
        <v>8.6722539427783116E-3</v>
      </c>
      <c r="V25" s="266">
        <f>(V12/V$6)*100</f>
        <v>0.27753774214402482</v>
      </c>
      <c r="W25" s="266">
        <f>(W12/W$6)*100</f>
        <v>0.24231005801300071</v>
      </c>
      <c r="X25" s="266">
        <f>(X12/X$6)*100</f>
        <v>0.10919617713763802</v>
      </c>
      <c r="Y25" s="266">
        <f>(Y12/Y$6)*100</f>
        <v>7.32927836768153E-3</v>
      </c>
      <c r="Z25" s="266">
        <f>(Z12/Z$6)*100</f>
        <v>0.44119012066265345</v>
      </c>
      <c r="AA25" s="266">
        <f>(AA12/AA$6)*100</f>
        <v>0.78544275859195933</v>
      </c>
      <c r="AB25" s="266">
        <f>(AB12/AB$6)*100</f>
        <v>0</v>
      </c>
      <c r="AC25" s="266">
        <f>(AC12/AC$6)*100</f>
        <v>5.0504900683490006E-2</v>
      </c>
      <c r="AD25" s="266">
        <f>(AD12/AD$6)*100</f>
        <v>0.93243607948564433</v>
      </c>
      <c r="AE25" s="266">
        <f>(AE12/AE$6)*100</f>
        <v>0.79193075389256651</v>
      </c>
      <c r="AF25" s="266">
        <f>(AF12/AF$6)*100</f>
        <v>0</v>
      </c>
      <c r="AG25" s="266">
        <f>(AG12/AG$6)*100</f>
        <v>0.30529545485569931</v>
      </c>
      <c r="AH25" s="266">
        <f>(AH12/AH$6)*100</f>
        <v>1.3000806198610864</v>
      </c>
      <c r="AI25" s="266">
        <f>(AI12/AI$6)*100</f>
        <v>0.44899309089930028</v>
      </c>
      <c r="AJ25" s="266">
        <f>(AJ12/AJ$6)*100</f>
        <v>3.4092288790632343E-2</v>
      </c>
      <c r="AK25" s="266">
        <f>(AK12/AK$6)*100</f>
        <v>1.2212802041581454</v>
      </c>
      <c r="AL25" s="266">
        <f>(AL12/AL$6)*100</f>
        <v>2.8569611740316652</v>
      </c>
      <c r="AM25" s="266">
        <f>(AM12/AM$6)*100</f>
        <v>1.9647820863408993</v>
      </c>
      <c r="AN25" s="266">
        <f>(AN12/AN$6)*100</f>
        <v>0.93111609868960599</v>
      </c>
      <c r="AO25" s="266">
        <f>(AO12/AO$6)*100</f>
        <v>0.79842025007870132</v>
      </c>
      <c r="AP25" s="266">
        <f>(AP12/AP$6)*100</f>
        <v>4.9531757750630296</v>
      </c>
      <c r="AQ25" s="266">
        <f>(AQ12/AQ$6)*100</f>
        <v>1.7797137171771713</v>
      </c>
      <c r="AR25" s="266">
        <f>(AR12/AR$6)*100</f>
        <v>0.22211598484071526</v>
      </c>
      <c r="AS25" s="266">
        <f>(AS12/AS$6)*100</f>
        <v>0.58724750862244512</v>
      </c>
      <c r="AT25" s="266">
        <f>(AT12/AT$6)*100</f>
        <v>4.0988762991048073</v>
      </c>
      <c r="AU25" s="266">
        <f>(AU12/AU$6)*100</f>
        <v>1.954026615148257</v>
      </c>
      <c r="AV25" s="266">
        <f>(AV12/AV$6)*100</f>
        <v>0.48346133220006271</v>
      </c>
      <c r="AW25" s="266">
        <f>(AW12/AW$6)*100</f>
        <v>1.020969838314377</v>
      </c>
      <c r="AX25" s="266">
        <f>(AX12/AX$6)*100</f>
        <v>0.29448450805000354</v>
      </c>
      <c r="AY25" s="266">
        <f>(AY12/AY$6)*100</f>
        <v>1.2590868437635367</v>
      </c>
      <c r="AZ25" s="266">
        <f>(AZ12/AZ$6)*100</f>
        <v>0.1277323364683631</v>
      </c>
      <c r="BA25" s="266">
        <f>(BA12/BA$6)*100</f>
        <v>0.32003879743968966</v>
      </c>
    </row>
    <row r="26" spans="1:53" ht="24" customHeight="1">
      <c r="A26" s="269" t="s">
        <v>144</v>
      </c>
      <c r="B26" s="266">
        <f>(B13/B6)*100</f>
        <v>24.291072138864017</v>
      </c>
      <c r="C26" s="266">
        <f>(C13/C$6)*100</f>
        <v>23.433540540252697</v>
      </c>
      <c r="D26" s="267">
        <v>0</v>
      </c>
      <c r="E26" s="266">
        <f>(E13/E$6)*100</f>
        <v>22.774894894639537</v>
      </c>
      <c r="F26" s="266">
        <f>(F13/F$6)*100</f>
        <v>25.087502593065388</v>
      </c>
      <c r="G26" s="266">
        <f>(G13/G$6)*100</f>
        <v>23.738785023590747</v>
      </c>
      <c r="H26" s="266">
        <f>(H13/H$6)*100</f>
        <v>22.705388777640795</v>
      </c>
      <c r="I26" s="266">
        <f>(I13/I$6)*100</f>
        <v>21.376259818197866</v>
      </c>
      <c r="J26" s="266">
        <f>(J13/J$6)*100</f>
        <v>24.197628490558188</v>
      </c>
      <c r="K26" s="266">
        <f>(K13/K$6)*100</f>
        <v>22.363032713190968</v>
      </c>
      <c r="L26" s="266">
        <f>(L13/L$6)*100</f>
        <v>21.535790591112484</v>
      </c>
      <c r="M26" s="266">
        <f>ROUNDUP((M13/M$6)*100,1)</f>
        <v>20.5</v>
      </c>
      <c r="N26" s="266">
        <f>ROUNDUP((N13/N$6)*100,1)</f>
        <v>8</v>
      </c>
      <c r="O26" s="266">
        <f>ROUNDUP((O13/O$6)*100,1)</f>
        <v>23.200000000000003</v>
      </c>
      <c r="P26" s="266">
        <f>ROUNDUP((P13/P$6)*100,1)</f>
        <v>20.200000000000003</v>
      </c>
      <c r="Q26" s="266">
        <f>ROUNDUP((Q13/Q$6)*100,1)</f>
        <v>21.3</v>
      </c>
      <c r="R26" s="266">
        <f>ROUNDUP((R13/R$6)*100,1)</f>
        <v>24.200000000000003</v>
      </c>
      <c r="S26" s="266">
        <f>ROUNDUP((S13/S$6)*100,1)</f>
        <v>23.3</v>
      </c>
      <c r="T26" s="266">
        <f>ROUNDUP((T13/T$6)*100,1)</f>
        <v>23.3</v>
      </c>
      <c r="U26" s="266">
        <f>ROUNDUP((U13/U$6)*100,1)</f>
        <v>23.900000000000002</v>
      </c>
      <c r="V26" s="266">
        <f>ROUNDUP((V13/V$6)*100,1)</f>
        <v>25.1</v>
      </c>
      <c r="W26" s="266">
        <f>ROUNDUP((W13/W$6)*100,1)</f>
        <v>25.200000000000003</v>
      </c>
      <c r="X26" s="266">
        <f>ROUNDUP((X13/X$6)*100,1)</f>
        <v>25.200000000000003</v>
      </c>
      <c r="Y26" s="266">
        <f>ROUNDUP((Y13/Y$6)*100,1)</f>
        <v>24.8</v>
      </c>
      <c r="Z26" s="266">
        <f>ROUNDUP((Z13/Z$6)*100,1)</f>
        <v>28.8</v>
      </c>
      <c r="AA26" s="266">
        <f>ROUNDUP((AA13/AA$6)*100,1)</f>
        <v>28.3</v>
      </c>
      <c r="AB26" s="266">
        <f>ROUNDUP((AB13/AB$6)*100,1)</f>
        <v>27.5</v>
      </c>
      <c r="AC26" s="266">
        <f>ROUNDUP((AC13/AC$6)*100,1)</f>
        <v>27.6</v>
      </c>
      <c r="AD26" s="266">
        <f>(AD13/AD$6)*100</f>
        <v>29.503108454442682</v>
      </c>
      <c r="AE26" s="266">
        <f>(AE13/AE$6)*100</f>
        <v>29.358918356483958</v>
      </c>
      <c r="AF26" s="266">
        <f>(AF13/AF$6)*100</f>
        <v>26.311143318819802</v>
      </c>
      <c r="AG26" s="266">
        <f>(AG13/AG$6)*100</f>
        <v>28.096938132301659</v>
      </c>
      <c r="AH26" s="266">
        <f>(AH13/AH$6)*100</f>
        <v>30.133229642882537</v>
      </c>
      <c r="AI26" s="266">
        <f>(AI13/AI$6)*100</f>
        <v>30.493635212503168</v>
      </c>
      <c r="AJ26" s="266">
        <f>(AJ13/AJ$6)*100</f>
        <v>29.582538315631879</v>
      </c>
      <c r="AK26" s="266">
        <f>(AK13/AK$6)*100</f>
        <v>29.317482972071463</v>
      </c>
      <c r="AL26" s="266">
        <f>(AL13/AL$6)*100</f>
        <v>31.432489114393146</v>
      </c>
      <c r="AM26" s="266">
        <f>(AM13/AM$6)*100</f>
        <v>32.430499859888492</v>
      </c>
      <c r="AN26" s="266">
        <f>(AN13/AN$6)*100</f>
        <v>34.265161048121897</v>
      </c>
      <c r="AO26" s="266">
        <f>(AO13/AO$6)*100</f>
        <v>32.591209879966897</v>
      </c>
      <c r="AP26" s="266">
        <f>(AP13/AP$6)*100</f>
        <v>31.861042623979635</v>
      </c>
      <c r="AQ26" s="266">
        <f>(AQ13/AQ$6)*100</f>
        <v>29.183519710545312</v>
      </c>
      <c r="AR26" s="266">
        <f>(AR13/AR$6)*100</f>
        <v>28.866639156209594</v>
      </c>
      <c r="AS26" s="266">
        <f>(AS13/AS$6)*100</f>
        <v>27.341434283553191</v>
      </c>
      <c r="AT26" s="266">
        <f>(AT13/AT$6)*100</f>
        <v>33.771105273073793</v>
      </c>
      <c r="AU26" s="266">
        <f>(AU13/AU$6)*100</f>
        <v>32.918589101040965</v>
      </c>
      <c r="AV26" s="266">
        <f>(AV13/AV$6)*100</f>
        <v>30.707383460320354</v>
      </c>
      <c r="AW26" s="266">
        <f>(AW13/AW$6)*100</f>
        <v>34.435039999157532</v>
      </c>
      <c r="AX26" s="266">
        <f>(AX13/AX$6)*100</f>
        <v>32.041907318414225</v>
      </c>
      <c r="AY26" s="266">
        <f>(AY13/AY$6)*100</f>
        <v>31.433853702516011</v>
      </c>
      <c r="AZ26" s="266">
        <f>(AZ13/AZ$6)*100</f>
        <v>30.452486494778757</v>
      </c>
      <c r="BA26" s="266">
        <f>(BA13/BA$6)*100</f>
        <v>34.748077162015385</v>
      </c>
    </row>
    <row r="27" spans="1:53" ht="24" customHeight="1">
      <c r="A27" s="269" t="s">
        <v>143</v>
      </c>
      <c r="B27" s="266">
        <f>(B14/B6)*100</f>
        <v>7.4260982139016871</v>
      </c>
      <c r="C27" s="266">
        <f>(C14/C$6)*100</f>
        <v>7.1396569903047045</v>
      </c>
      <c r="D27" s="267">
        <v>0</v>
      </c>
      <c r="E27" s="266">
        <f>(E14/E6)*100</f>
        <v>4.9859233575892343</v>
      </c>
      <c r="F27" s="266">
        <f>(F14/F6)*100</f>
        <v>6.4517672138831124</v>
      </c>
      <c r="G27" s="266">
        <f>(G14/G6)*100</f>
        <v>6.6646234322942091</v>
      </c>
      <c r="H27" s="266">
        <f>(H14/H6)*100</f>
        <v>5.8177865739744474</v>
      </c>
      <c r="I27" s="266">
        <f>(I14/I6)*100</f>
        <v>4.3448945371105818</v>
      </c>
      <c r="J27" s="266">
        <f>(J14/J6)*100</f>
        <v>6.419681278384866</v>
      </c>
      <c r="K27" s="266">
        <f>(K14/K6)*100</f>
        <v>5.4441685150685863</v>
      </c>
      <c r="L27" s="266">
        <f>(L14/L6)*100</f>
        <v>3.9427841361961189</v>
      </c>
      <c r="M27" s="266">
        <f>(M14/M6)*100</f>
        <v>3.7692149111969275</v>
      </c>
      <c r="N27" s="266">
        <f>(N14/N6)*100</f>
        <v>2.1096215839963119</v>
      </c>
      <c r="O27" s="266">
        <f>(O14/O6)*100</f>
        <v>5.7052579769605369</v>
      </c>
      <c r="P27" s="266">
        <f>(P14/P6)*100</f>
        <v>4.1019787047007501</v>
      </c>
      <c r="Q27" s="266">
        <f>(Q14/Q6)*100</f>
        <v>4.7369209102841321</v>
      </c>
      <c r="R27" s="266">
        <f>(R14/R6)*100</f>
        <v>5.3264823604880034</v>
      </c>
      <c r="S27" s="266">
        <f>(S14/S6)*100</f>
        <v>4.9684987175949651</v>
      </c>
      <c r="T27" s="266">
        <f>(T14/T6)*100</f>
        <v>5.5693239530463696</v>
      </c>
      <c r="U27" s="266">
        <f>(U14/U6)*100</f>
        <v>5.1816517486580986</v>
      </c>
      <c r="V27" s="266">
        <f>(V14/V6)*100</f>
        <v>5.8462919925205377</v>
      </c>
      <c r="W27" s="266">
        <f>(W14/W6)*100</f>
        <v>5.4790923640877693</v>
      </c>
      <c r="X27" s="266">
        <f>(X14/X6)*100</f>
        <v>5.7227316607143646</v>
      </c>
      <c r="Y27" s="266">
        <f>(Y14/Y6)*100</f>
        <v>5.3229829774698043</v>
      </c>
      <c r="Z27" s="266">
        <f>(Z14/Z6)*100</f>
        <v>6.1551848341384048</v>
      </c>
      <c r="AA27" s="266">
        <f>(AA14/AA6)*100</f>
        <v>6.3639919213671199</v>
      </c>
      <c r="AB27" s="266">
        <f>(AB14/AB6)*100</f>
        <v>5.9668595644692992</v>
      </c>
      <c r="AC27" s="266">
        <f>(AC14/AC6)*100</f>
        <v>5.7947124731915576</v>
      </c>
      <c r="AD27" s="266">
        <f>(AD14/AD$6)*100</f>
        <v>6.8791823178808205</v>
      </c>
      <c r="AE27" s="266">
        <f>(AE14/AE$6)*100</f>
        <v>6.8183942293305986</v>
      </c>
      <c r="AF27" s="266">
        <f>(AF14/AF$6)*100</f>
        <v>4.9997652635849192</v>
      </c>
      <c r="AG27" s="266">
        <f>(AG14/AG$6)*100</f>
        <v>6.4416377390791828</v>
      </c>
      <c r="AH27" s="266">
        <f>(AH14/AH$6)*100</f>
        <v>7.5751739031059335</v>
      </c>
      <c r="AI27" s="266">
        <f>(AI14/AI$6)*100</f>
        <v>8.3061109755965248</v>
      </c>
      <c r="AJ27" s="266">
        <f>(AJ14/AJ$6)*100</f>
        <v>8.0910489248466035</v>
      </c>
      <c r="AK27" s="266">
        <f>(AK14/AK$6)*100</f>
        <v>7.1512874932218136</v>
      </c>
      <c r="AL27" s="266">
        <f>(AL14/AL$6)*100</f>
        <v>7.6426840551969395</v>
      </c>
      <c r="AM27" s="266">
        <f>(AM14/AM$6)*100</f>
        <v>7.6682062827933395</v>
      </c>
      <c r="AN27" s="266">
        <f>(AN14/AN$6)*100</f>
        <v>9.3207879443102666</v>
      </c>
      <c r="AO27" s="266">
        <f>(AO14/AO$6)*100</f>
        <v>7.6332813226173259</v>
      </c>
      <c r="AP27" s="266">
        <f>(AP14/AP$6)*100</f>
        <v>8.0841210641858297</v>
      </c>
      <c r="AQ27" s="266">
        <f>(AQ14/AQ$6)*100</f>
        <v>7.1338667389819133</v>
      </c>
      <c r="AR27" s="266">
        <f>(AR14/AR$6)*100</f>
        <v>7.6289431542973238</v>
      </c>
      <c r="AS27" s="266">
        <f>(AS14/AS$6)*100</f>
        <v>6.7837713783305915</v>
      </c>
      <c r="AT27" s="266">
        <f>(AT14/AT$6)*100</f>
        <v>8.5389381725972875</v>
      </c>
      <c r="AU27" s="266">
        <f>(AU14/AU$6)*100</f>
        <v>9.5934026016473268</v>
      </c>
      <c r="AV27" s="266">
        <f>(AV14/AV$6)*100</f>
        <v>8.9756245636402276</v>
      </c>
      <c r="AW27" s="266">
        <f>(AW14/AW$6)*100</f>
        <v>9.4584408530507389</v>
      </c>
      <c r="AX27" s="266">
        <f>(AX14/AX$6)*100</f>
        <v>8.416518504023502</v>
      </c>
      <c r="AY27" s="266">
        <f>(AY14/AY$6)*100</f>
        <v>8.3216632597257956</v>
      </c>
      <c r="AZ27" s="266">
        <f>(AZ14/AZ$6)*100</f>
        <v>6.8768782841810161</v>
      </c>
      <c r="BA27" s="266">
        <f>(BA14/BA$6)*100</f>
        <v>8.3907078528743373</v>
      </c>
    </row>
    <row r="28" spans="1:53" ht="24" customHeight="1">
      <c r="A28" s="269" t="s">
        <v>142</v>
      </c>
      <c r="B28" s="266">
        <f>(B15/B6)*100</f>
        <v>6.8786486124297834</v>
      </c>
      <c r="C28" s="266">
        <f>(C15/C6)*100</f>
        <v>5.0294479965067111</v>
      </c>
      <c r="D28" s="267">
        <v>0</v>
      </c>
      <c r="E28" s="266">
        <f>(E15/E6)*100</f>
        <v>6.1727122178736868</v>
      </c>
      <c r="F28" s="266">
        <f>(F15/F6)*100</f>
        <v>7.0820332606213023</v>
      </c>
      <c r="G28" s="266">
        <f>(G15/G6)*100</f>
        <v>6.8412629360043571</v>
      </c>
      <c r="H28" s="266">
        <f>(H15/H6)*100</f>
        <v>6.5028369147681762</v>
      </c>
      <c r="I28" s="266">
        <f>(I15/I6)*100</f>
        <v>7.1000264760391838</v>
      </c>
      <c r="J28" s="266">
        <f>(J15/J6)*100</f>
        <v>5.7157330886330762</v>
      </c>
      <c r="K28" s="266">
        <f>(K15/K6)*100</f>
        <v>3.4837357071793154</v>
      </c>
      <c r="L28" s="266">
        <f>(L15/L6)*100</f>
        <v>6.4080872810494762</v>
      </c>
      <c r="M28" s="266">
        <f>(M15/M6)*100</f>
        <v>5.770445072837675</v>
      </c>
      <c r="N28" s="266">
        <f>(N15/N6)*100</f>
        <v>2.1491302411052398</v>
      </c>
      <c r="O28" s="266">
        <f>(O15/O6)*100</f>
        <v>5.1383068347772669</v>
      </c>
      <c r="P28" s="266">
        <f>(P15/P6)*100</f>
        <v>5.7788531889917358</v>
      </c>
      <c r="Q28" s="266">
        <f>(Q15/Q6)*100</f>
        <v>6.1986600099557636</v>
      </c>
      <c r="R28" s="266">
        <f>(R15/R6)*100</f>
        <v>6.2703007373231783</v>
      </c>
      <c r="S28" s="266">
        <f>(S15/S6)*100</f>
        <v>5.5897278218601043</v>
      </c>
      <c r="T28" s="266">
        <f>(T15/T6)*100</f>
        <v>5.9444556735903005</v>
      </c>
      <c r="U28" s="266">
        <f>(U15/U6)*100</f>
        <v>6.4377298197250212</v>
      </c>
      <c r="V28" s="266">
        <f>(V15/V6)*100</f>
        <v>7.3983541822505483</v>
      </c>
      <c r="W28" s="266">
        <f>(W15/W6)*100</f>
        <v>6.6287475894570385</v>
      </c>
      <c r="X28" s="266">
        <f>(X15/X6)*100</f>
        <v>6.5143717397192269</v>
      </c>
      <c r="Y28" s="266">
        <f>(Y15/Y6)*100</f>
        <v>6.7498126753166909</v>
      </c>
      <c r="Z28" s="266">
        <f>(Z15/Z6)*100</f>
        <v>7.9210569204334451</v>
      </c>
      <c r="AA28" s="266">
        <f>(AA15/AA6)*100</f>
        <v>6.4506601742786387</v>
      </c>
      <c r="AB28" s="266">
        <f>(AB15/AB6)*100</f>
        <v>7.127324971490073</v>
      </c>
      <c r="AC28" s="266">
        <f>(AC15/AC6)*100</f>
        <v>6.9867663506444053</v>
      </c>
      <c r="AD28" s="266">
        <f>(AD15/AD$6)*100</f>
        <v>6.6679686231168915</v>
      </c>
      <c r="AE28" s="266">
        <f>(AE15/AE$6)*100</f>
        <v>6.1601566934253666</v>
      </c>
      <c r="AF28" s="266">
        <f>(AF15/AF$6)*100</f>
        <v>6.800093252551906</v>
      </c>
      <c r="AG28" s="266">
        <f>(AG15/AG$6)*100</f>
        <v>6.4169860545340223</v>
      </c>
      <c r="AH28" s="266">
        <f>(AH15/AH$6)*100</f>
        <v>7.4129299474866244</v>
      </c>
      <c r="AI28" s="266">
        <f>(AI15/AI$6)*100</f>
        <v>6.3561877902652126</v>
      </c>
      <c r="AJ28" s="266">
        <f>(AJ15/AJ$6)*100</f>
        <v>6.7781741810413108</v>
      </c>
      <c r="AK28" s="266">
        <f>(AK15/AK$6)*100</f>
        <v>6.5529969636946701</v>
      </c>
      <c r="AL28" s="266">
        <f>(AL15/AL$6)*100</f>
        <v>7.0175389171261111</v>
      </c>
      <c r="AM28" s="266">
        <f>(AM15/AM$6)*100</f>
        <v>6.6035601207213652</v>
      </c>
      <c r="AN28" s="266">
        <f>(AN15/AN$6)*100</f>
        <v>7.2065228074302397</v>
      </c>
      <c r="AO28" s="266">
        <f>(AO15/AO$6)*100</f>
        <v>6.0772324870943955</v>
      </c>
      <c r="AP28" s="266">
        <f>(AP15/AP$6)*100</f>
        <v>6.7302336593154974</v>
      </c>
      <c r="AQ28" s="266">
        <f>(AQ15/AQ$6)*100</f>
        <v>6.7548573690728837</v>
      </c>
      <c r="AR28" s="266">
        <f>(AR15/AR$6)*100</f>
        <v>6.7913143403506533</v>
      </c>
      <c r="AS28" s="266">
        <f>(AS15/AS$6)*100</f>
        <v>6.3355981730436657</v>
      </c>
      <c r="AT28" s="266">
        <f>(AT15/AT$6)*100</f>
        <v>6.766099277360949</v>
      </c>
      <c r="AU28" s="266">
        <f>(AU15/AU$6)*100</f>
        <v>6.8762676336076716</v>
      </c>
      <c r="AV28" s="266">
        <f>(AV15/AV$6)*100</f>
        <v>6.6296330024587933</v>
      </c>
      <c r="AW28" s="266">
        <f>(AW15/AW$6)*100</f>
        <v>7.0050268800981152</v>
      </c>
      <c r="AX28" s="266">
        <f>(AX15/AX$6)*100</f>
        <v>7.4885661657748903</v>
      </c>
      <c r="AY28" s="266">
        <f>(AY15/AY$6)*100</f>
        <v>7.280764756137498</v>
      </c>
      <c r="AZ28" s="266">
        <f>(AZ15/AZ$6)*100</f>
        <v>7.3437882390921834</v>
      </c>
      <c r="BA28" s="266">
        <f>(BA15/BA$6)*100</f>
        <v>7.7455400980356792</v>
      </c>
    </row>
    <row r="29" spans="1:53" ht="25.5" customHeight="1">
      <c r="A29" s="268" t="s">
        <v>141</v>
      </c>
      <c r="B29" s="266">
        <f>(B16/B6)*100</f>
        <v>9.9863253125325464</v>
      </c>
      <c r="C29" s="266">
        <f>(C16/C6)*100</f>
        <v>11.264435553441279</v>
      </c>
      <c r="D29" s="267">
        <v>0</v>
      </c>
      <c r="E29" s="266">
        <f>(E16/E6)*100</f>
        <v>11.616259319176619</v>
      </c>
      <c r="F29" s="266">
        <f>(F16/F6)*100</f>
        <v>11.553702118560969</v>
      </c>
      <c r="G29" s="266">
        <f>(G16/G6)*100</f>
        <v>10.232898655292178</v>
      </c>
      <c r="H29" s="266">
        <f>(H16/H6)*100</f>
        <v>10.384765288898171</v>
      </c>
      <c r="I29" s="266">
        <f>(I16/I6)*100</f>
        <v>9.9313388050480977</v>
      </c>
      <c r="J29" s="266">
        <f>(J16/J6)*100</f>
        <v>12.062232109291298</v>
      </c>
      <c r="K29" s="266">
        <f>(K16/K6)*100</f>
        <v>13.435128138642828</v>
      </c>
      <c r="L29" s="266">
        <f>(L16/L6)*100</f>
        <v>11.18491952748343</v>
      </c>
      <c r="M29" s="266">
        <f>(M16/M6)*100</f>
        <v>10.901546478746866</v>
      </c>
      <c r="N29" s="266">
        <f>(N16/N6)*100</f>
        <v>3.7271561169848604</v>
      </c>
      <c r="O29" s="266">
        <f>(O16/O6)*100</f>
        <v>12.281510408714254</v>
      </c>
      <c r="P29" s="266">
        <f>(P16/P6)*100</f>
        <v>10.245472996172742</v>
      </c>
      <c r="Q29" s="266">
        <f>(Q16/Q6)*100</f>
        <v>10.298855158647202</v>
      </c>
      <c r="R29" s="266">
        <f>(R16/R6)*100</f>
        <v>12.56634850784965</v>
      </c>
      <c r="S29" s="266">
        <f>(S16/S6)*100</f>
        <v>12.720062341296638</v>
      </c>
      <c r="T29" s="266">
        <f>(T16/T6)*100</f>
        <v>11.689155095098439</v>
      </c>
      <c r="U29" s="266">
        <f>(U16/U6)*100</f>
        <v>12.197665045581287</v>
      </c>
      <c r="V29" s="266">
        <f>(V16/V6)*100</f>
        <v>11.850515482464962</v>
      </c>
      <c r="W29" s="266">
        <f>(W16/W6)*100</f>
        <v>13.044017654252754</v>
      </c>
      <c r="X29" s="266">
        <f>(X16/X6)*100</f>
        <v>12.895533792901483</v>
      </c>
      <c r="Y29" s="266">
        <f>(Y16/Y6)*100</f>
        <v>12.639492846438591</v>
      </c>
      <c r="Z29" s="266">
        <f>(Z16/Z6)*100</f>
        <v>14.698996072947788</v>
      </c>
      <c r="AA29" s="266">
        <f>(AA16/AA6)*100</f>
        <v>15.434457243891556</v>
      </c>
      <c r="AB29" s="266">
        <f>(AB16/AB6)*100</f>
        <v>14.37924333092111</v>
      </c>
      <c r="AC29" s="266">
        <f>(AC16/AC6)*100</f>
        <v>14.729715980838229</v>
      </c>
      <c r="AD29" s="266">
        <f>(AD16/AD$6)*100</f>
        <v>15.955957513444973</v>
      </c>
      <c r="AE29" s="266">
        <f>(AE16/AE$6)*100</f>
        <v>16.380367433727997</v>
      </c>
      <c r="AF29" s="266">
        <f>(AF16/AF$6)*100</f>
        <v>14.511284802682978</v>
      </c>
      <c r="AG29" s="266">
        <f>(AG16/AG$6)*100</f>
        <v>15.238314338688449</v>
      </c>
      <c r="AH29" s="266">
        <f>(AH16/AH$6)*100</f>
        <v>15.14512579228998</v>
      </c>
      <c r="AI29" s="266">
        <f>(AI16/AI$6)*100</f>
        <v>15.831336446641433</v>
      </c>
      <c r="AJ29" s="266">
        <f>(AJ16/AJ$6)*100</f>
        <v>14.713315209743962</v>
      </c>
      <c r="AK29" s="266">
        <f>(AK16/AK$6)*100</f>
        <v>15.613198515154977</v>
      </c>
      <c r="AL29" s="266">
        <f>(AL16/AL$6)*100</f>
        <v>16.772266142070098</v>
      </c>
      <c r="AM29" s="266">
        <f>(AM16/AM$6)*100</f>
        <v>18.158733456373785</v>
      </c>
      <c r="AN29" s="266">
        <f>(AN16/AN$6)*100</f>
        <v>17.737850296381392</v>
      </c>
      <c r="AO29" s="266">
        <f>(AO16/AO$6)*100</f>
        <v>18.88069607025518</v>
      </c>
      <c r="AP29" s="266">
        <f>(AP16/AP$6)*100</f>
        <v>17.046687900478304</v>
      </c>
      <c r="AQ29" s="266">
        <f>(AQ16/AQ$6)*100</f>
        <v>15.294795602490519</v>
      </c>
      <c r="AR29" s="266">
        <f>(AR16/AR$6)*100</f>
        <v>14.446381661561619</v>
      </c>
      <c r="AS29" s="266">
        <f>(AS16/AS$6)*100</f>
        <v>14.222064732178932</v>
      </c>
      <c r="AT29" s="266">
        <f>(AT16/AT$6)*100</f>
        <v>18.466067823115555</v>
      </c>
      <c r="AU29" s="266">
        <f>(AU16/AU$6)*100</f>
        <v>16.448918865785966</v>
      </c>
      <c r="AV29" s="266">
        <f>(AV16/AV$6)*100</f>
        <v>15.102125894221333</v>
      </c>
      <c r="AW29" s="266">
        <f>(AW16/AW$6)*100</f>
        <v>17.971572266008675</v>
      </c>
      <c r="AX29" s="266">
        <f>(AX16/AX$6)*100</f>
        <v>16.136822648615833</v>
      </c>
      <c r="AY29" s="266">
        <f>(AY16/AY$6)*100</f>
        <v>15.83142568665272</v>
      </c>
      <c r="AZ29" s="266">
        <f>(AZ16/AZ$6)*100</f>
        <v>16.231819971505558</v>
      </c>
      <c r="BA29" s="266">
        <f>(BA16/BA$6)*100</f>
        <v>18.611829211105366</v>
      </c>
    </row>
    <row r="30" spans="1:53" ht="24" customHeight="1">
      <c r="A30" s="265" t="s">
        <v>140</v>
      </c>
      <c r="B30" s="263">
        <f>((B17/B6)*100)</f>
        <v>22.199737170160816</v>
      </c>
      <c r="C30" s="263">
        <f>((C17/C6)*100)</f>
        <v>22.070412484956496</v>
      </c>
      <c r="D30" s="264">
        <v>0</v>
      </c>
      <c r="E30" s="263">
        <f>ROUNDDOWN((E17/E6)*100,1)</f>
        <v>21.8</v>
      </c>
      <c r="F30" s="263">
        <f>ROUNDDOWN((F17/F6)*100,1)</f>
        <v>21.7</v>
      </c>
      <c r="G30" s="263">
        <f>ROUNDDOWN((G17/G6)*100,1)</f>
        <v>21.6</v>
      </c>
      <c r="H30" s="263">
        <f>ROUNDDOWN((H17/H6)*100,1)</f>
        <v>21.5</v>
      </c>
      <c r="I30" s="263">
        <f>ROUNDDOWN((I17/I6)*100,1)</f>
        <v>21.4</v>
      </c>
      <c r="J30" s="263">
        <f>ROUNDDOWN((J17/J6)*100,1)</f>
        <v>21.3</v>
      </c>
      <c r="K30" s="263">
        <f>ROUNDDOWN((K17/K6)*100,1)</f>
        <v>21.2</v>
      </c>
      <c r="L30" s="263">
        <f>((L17/L6)*100)</f>
        <v>21.259497256289247</v>
      </c>
      <c r="M30" s="263">
        <f>ROUNDDOWN((M17/M6)*100,1)</f>
        <v>21.4</v>
      </c>
      <c r="N30" s="263">
        <f>ROUNDDOWN((N17/N6)*100,1)</f>
        <v>72.900000000000006</v>
      </c>
      <c r="O30" s="263">
        <f>ROUNDDOWN((O17/O6)*100,1)</f>
        <v>21.6</v>
      </c>
      <c r="P30" s="263">
        <f>ROUNDDOWN((P17/P6)*100,1)</f>
        <v>21.6</v>
      </c>
      <c r="Q30" s="263">
        <f>ROUNDDOWN((Q17/Q6)*100,1)</f>
        <v>21.3</v>
      </c>
      <c r="R30" s="263">
        <f>ROUNDDOWN((R17/R6)*100,1)</f>
        <v>19.7</v>
      </c>
      <c r="S30" s="263">
        <f>ROUNDDOWN((S17/S6)*100,1)</f>
        <v>19.5</v>
      </c>
      <c r="T30" s="263">
        <f>ROUNDDOWN((T17/T6)*100,1)</f>
        <v>19.399999999999999</v>
      </c>
      <c r="U30" s="263">
        <f>ROUNDDOWN((U17/U6)*100,1)</f>
        <v>19.3</v>
      </c>
      <c r="V30" s="263">
        <f>ROUNDDOWN((V17/V6)*100,1)</f>
        <v>19.100000000000001</v>
      </c>
      <c r="W30" s="263">
        <f>ROUNDDOWN((W17/W6)*100,1)</f>
        <v>19</v>
      </c>
      <c r="X30" s="263">
        <f>ROUNDDOWN((X17/X6)*100,1)</f>
        <v>18.899999999999999</v>
      </c>
      <c r="Y30" s="263">
        <f>ROUNDDOWN((Y17/Y6)*100,1)</f>
        <v>18.8</v>
      </c>
      <c r="Z30" s="263">
        <f>ROUNDDOWN((Z17/Z6)*100,1)</f>
        <v>18.7</v>
      </c>
      <c r="AA30" s="263">
        <f>ROUNDDOWN((AA17/AA6)*100,1)</f>
        <v>18.600000000000001</v>
      </c>
      <c r="AB30" s="263">
        <f>ROUNDDOWN((AB17/AB6)*100,1)</f>
        <v>18.5</v>
      </c>
      <c r="AC30" s="263">
        <f>ROUNDDOWN((AC17/AC6)*100,1)</f>
        <v>18.3</v>
      </c>
      <c r="AD30" s="262">
        <f>(AD17/AD$6)*100</f>
        <v>18.284320821852656</v>
      </c>
      <c r="AE30" s="262">
        <f>(AE17/AE$6)*100</f>
        <v>18.179389583962589</v>
      </c>
      <c r="AF30" s="262">
        <f>(AF17/AF$6)*100</f>
        <v>18.079238186037237</v>
      </c>
      <c r="AG30" s="262">
        <f>(AG17/AG$6)*100</f>
        <v>17.974049083350799</v>
      </c>
      <c r="AH30" s="262">
        <f>(AH17/AH$6)*100</f>
        <v>17.888972753539822</v>
      </c>
      <c r="AI30" s="262">
        <f>(AI17/AI$6)*100</f>
        <v>17.783710950199261</v>
      </c>
      <c r="AJ30" s="262">
        <f>(AJ17/AJ$6)*100</f>
        <v>17.683646073798549</v>
      </c>
      <c r="AK30" s="262">
        <f>(AK17/AK$6)*100</f>
        <v>17.593715958222241</v>
      </c>
      <c r="AL30" s="262">
        <f>(AL17/AL$6)*100</f>
        <v>17.501769829231097</v>
      </c>
      <c r="AM30" s="262">
        <f>(AM17/AM$6)*100</f>
        <v>17.408492690044351</v>
      </c>
      <c r="AN30" s="262">
        <f>(AN17/AN$6)*100</f>
        <v>17.318856108002379</v>
      </c>
      <c r="AO30" s="262">
        <f>(AO17/AO$6)*100</f>
        <v>17.237864177461475</v>
      </c>
      <c r="AP30" s="262">
        <f>(AP17/AP$6)*100</f>
        <v>17.156352457611362</v>
      </c>
      <c r="AQ30" s="262">
        <f>(AQ17/AQ$6)*100</f>
        <v>17.074590028647652</v>
      </c>
      <c r="AR30" s="262">
        <f>(AR17/AR$6)*100</f>
        <v>16.996617182837674</v>
      </c>
      <c r="AS30" s="262">
        <f>(AS17/AS$6)*100</f>
        <v>16.926619516625884</v>
      </c>
      <c r="AT30" s="262">
        <f>(AT17/AT$6)*100</f>
        <v>16.856200731452709</v>
      </c>
      <c r="AU30" s="262">
        <f>(AU17/AU$6)*100</f>
        <v>16.784662270450614</v>
      </c>
      <c r="AV30" s="262">
        <f>(AV17/AV$6)*100</f>
        <v>16.717724554533589</v>
      </c>
      <c r="AW30" s="262">
        <f>(AW17/AW$6)*100</f>
        <v>16.659585317832402</v>
      </c>
      <c r="AX30" s="262">
        <f>(AX17/AX$6)*100</f>
        <v>18.046229946021178</v>
      </c>
      <c r="AY30" s="262">
        <f>(AY17/AY$6)*100</f>
        <v>17.965587895471373</v>
      </c>
      <c r="AZ30" s="262">
        <f>(AZ17/AZ$6)*100</f>
        <v>17.887854293012133</v>
      </c>
      <c r="BA30" s="262">
        <f>(BA17/BA$6)*100</f>
        <v>17.816161057470712</v>
      </c>
    </row>
    <row r="31" spans="1:53" ht="24" customHeight="1">
      <c r="A31" s="261" t="s">
        <v>139</v>
      </c>
    </row>
    <row r="33" spans="30:33" s="259" customFormat="1" ht="24" customHeight="1">
      <c r="AD33" s="259">
        <v>1</v>
      </c>
      <c r="AE33" s="259">
        <v>2</v>
      </c>
      <c r="AF33" s="259">
        <v>3</v>
      </c>
      <c r="AG33" s="259">
        <v>4</v>
      </c>
    </row>
  </sheetData>
  <mergeCells count="16">
    <mergeCell ref="A3:A4"/>
    <mergeCell ref="C3:E3"/>
    <mergeCell ref="F3:I3"/>
    <mergeCell ref="J3:L3"/>
    <mergeCell ref="N3:Q3"/>
    <mergeCell ref="R3:U3"/>
    <mergeCell ref="AX3:BA3"/>
    <mergeCell ref="AT3:AW3"/>
    <mergeCell ref="AL3:AO3"/>
    <mergeCell ref="AP3:AS3"/>
    <mergeCell ref="A5:L5"/>
    <mergeCell ref="A18:L18"/>
    <mergeCell ref="V3:Y3"/>
    <mergeCell ref="Z3:AC3"/>
    <mergeCell ref="AD3:AG3"/>
    <mergeCell ref="AH3:AK3"/>
  </mergeCells>
  <pageMargins left="0.64" right="0.16" top="1" bottom="1" header="0.5" footer="0.5"/>
  <pageSetup paperSize="9" scale="80" orientation="portrait" r:id="rId1"/>
  <headerFooter alignWithMargins="0">
    <oddHeader>&amp;C&amp;"TH SarabunPSK,ธรรมดา"&amp;16 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6"/>
  <sheetViews>
    <sheetView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BD37" sqref="BD37"/>
    </sheetView>
  </sheetViews>
  <sheetFormatPr defaultColWidth="8" defaultRowHeight="24"/>
  <cols>
    <col min="1" max="1" width="18.125" style="304" customWidth="1"/>
    <col min="2" max="5" width="9.625" style="301" customWidth="1"/>
    <col min="6" max="9" width="9.875" style="301" customWidth="1"/>
    <col min="10" max="13" width="10.125" style="301" customWidth="1"/>
    <col min="14" max="15" width="9.375" style="301" customWidth="1"/>
    <col min="16" max="16" width="9.375" style="303" customWidth="1"/>
    <col min="17" max="25" width="9.375" style="302" customWidth="1"/>
    <col min="26" max="28" width="9.375" style="301" customWidth="1"/>
    <col min="29" max="29" width="9.875" style="301" customWidth="1"/>
    <col min="30" max="37" width="10" style="301" customWidth="1"/>
    <col min="38" max="41" width="11.25" style="301" customWidth="1"/>
    <col min="42" max="53" width="10.125" style="301" customWidth="1"/>
    <col min="54" max="16384" width="8" style="301"/>
  </cols>
  <sheetData>
    <row r="1" spans="1:53" s="304" customFormat="1" ht="26.25" customHeight="1">
      <c r="A1" s="304" t="s">
        <v>155</v>
      </c>
      <c r="P1" s="303"/>
      <c r="Q1" s="302"/>
      <c r="R1" s="302"/>
      <c r="S1" s="302"/>
      <c r="T1" s="302"/>
      <c r="U1" s="302"/>
      <c r="V1" s="302"/>
      <c r="W1" s="302"/>
      <c r="X1" s="302"/>
      <c r="Y1" s="302"/>
    </row>
    <row r="2" spans="1:53" ht="24.6" customHeight="1">
      <c r="A2" s="359"/>
      <c r="C2" s="312"/>
      <c r="G2" s="358"/>
      <c r="K2" s="358"/>
      <c r="P2" s="357"/>
    </row>
    <row r="3" spans="1:53" s="346" customFormat="1" ht="30" customHeight="1">
      <c r="A3" s="356" t="s">
        <v>63</v>
      </c>
      <c r="B3" s="355" t="s">
        <v>35</v>
      </c>
      <c r="C3" s="355"/>
      <c r="D3" s="355"/>
      <c r="E3" s="355"/>
      <c r="F3" s="355" t="s">
        <v>3</v>
      </c>
      <c r="G3" s="355"/>
      <c r="H3" s="355"/>
      <c r="I3" s="355"/>
      <c r="J3" s="354" t="s">
        <v>33</v>
      </c>
      <c r="K3" s="354"/>
      <c r="L3" s="354"/>
      <c r="M3" s="353"/>
      <c r="N3" s="352" t="s">
        <v>5</v>
      </c>
      <c r="O3" s="352"/>
      <c r="P3" s="352"/>
      <c r="Q3" s="352"/>
      <c r="R3" s="352" t="s">
        <v>6</v>
      </c>
      <c r="S3" s="352"/>
      <c r="T3" s="352"/>
      <c r="U3" s="352"/>
      <c r="V3" s="352" t="s">
        <v>7</v>
      </c>
      <c r="W3" s="352"/>
      <c r="X3" s="352"/>
      <c r="Y3" s="352"/>
      <c r="Z3" s="352" t="s">
        <v>8</v>
      </c>
      <c r="AA3" s="352"/>
      <c r="AB3" s="352"/>
      <c r="AC3" s="352"/>
      <c r="AD3" s="352" t="s">
        <v>9</v>
      </c>
      <c r="AE3" s="352"/>
      <c r="AF3" s="352"/>
      <c r="AG3" s="352"/>
      <c r="AH3" s="352" t="s">
        <v>10</v>
      </c>
      <c r="AI3" s="352"/>
      <c r="AJ3" s="352"/>
      <c r="AK3" s="352"/>
      <c r="AL3" s="352" t="s">
        <v>11</v>
      </c>
      <c r="AM3" s="352"/>
      <c r="AN3" s="352"/>
      <c r="AO3" s="352"/>
      <c r="AP3" s="352" t="s">
        <v>12</v>
      </c>
      <c r="AQ3" s="352"/>
      <c r="AR3" s="352"/>
      <c r="AS3" s="352"/>
      <c r="AT3" s="352" t="s">
        <v>13</v>
      </c>
      <c r="AU3" s="352"/>
      <c r="AV3" s="352"/>
      <c r="AW3" s="352"/>
      <c r="AX3" s="352" t="s">
        <v>137</v>
      </c>
      <c r="AY3" s="352"/>
      <c r="AZ3" s="352"/>
      <c r="BA3" s="352"/>
    </row>
    <row r="4" spans="1:53" s="346" customFormat="1" ht="27" customHeight="1">
      <c r="A4" s="351"/>
      <c r="B4" s="350" t="s">
        <v>14</v>
      </c>
      <c r="C4" s="350" t="s">
        <v>15</v>
      </c>
      <c r="D4" s="350" t="s">
        <v>16</v>
      </c>
      <c r="E4" s="350" t="s">
        <v>17</v>
      </c>
      <c r="F4" s="350" t="s">
        <v>14</v>
      </c>
      <c r="G4" s="350" t="s">
        <v>15</v>
      </c>
      <c r="H4" s="350" t="s">
        <v>16</v>
      </c>
      <c r="I4" s="350" t="s">
        <v>17</v>
      </c>
      <c r="J4" s="349" t="s">
        <v>14</v>
      </c>
      <c r="K4" s="349" t="s">
        <v>15</v>
      </c>
      <c r="L4" s="349" t="s">
        <v>16</v>
      </c>
      <c r="M4" s="349" t="s">
        <v>17</v>
      </c>
      <c r="N4" s="349" t="s">
        <v>14</v>
      </c>
      <c r="O4" s="349" t="s">
        <v>15</v>
      </c>
      <c r="P4" s="349" t="s">
        <v>16</v>
      </c>
      <c r="Q4" s="349" t="s">
        <v>17</v>
      </c>
      <c r="R4" s="349" t="s">
        <v>14</v>
      </c>
      <c r="S4" s="349" t="s">
        <v>15</v>
      </c>
      <c r="T4" s="349" t="s">
        <v>16</v>
      </c>
      <c r="U4" s="349" t="s">
        <v>17</v>
      </c>
      <c r="V4" s="349" t="s">
        <v>14</v>
      </c>
      <c r="W4" s="349" t="s">
        <v>15</v>
      </c>
      <c r="X4" s="349" t="s">
        <v>16</v>
      </c>
      <c r="Y4" s="349" t="s">
        <v>17</v>
      </c>
      <c r="Z4" s="349" t="s">
        <v>14</v>
      </c>
      <c r="AA4" s="349" t="s">
        <v>15</v>
      </c>
      <c r="AB4" s="349" t="s">
        <v>16</v>
      </c>
      <c r="AC4" s="349" t="s">
        <v>17</v>
      </c>
      <c r="AD4" s="349" t="s">
        <v>14</v>
      </c>
      <c r="AE4" s="349" t="s">
        <v>15</v>
      </c>
      <c r="AF4" s="349" t="s">
        <v>16</v>
      </c>
      <c r="AG4" s="349" t="s">
        <v>17</v>
      </c>
      <c r="AH4" s="349" t="s">
        <v>14</v>
      </c>
      <c r="AI4" s="349" t="s">
        <v>15</v>
      </c>
      <c r="AJ4" s="349" t="s">
        <v>16</v>
      </c>
      <c r="AK4" s="349" t="s">
        <v>17</v>
      </c>
      <c r="AL4" s="349" t="s">
        <v>14</v>
      </c>
      <c r="AM4" s="349" t="s">
        <v>15</v>
      </c>
      <c r="AN4" s="349" t="s">
        <v>16</v>
      </c>
      <c r="AO4" s="349" t="s">
        <v>17</v>
      </c>
      <c r="AP4" s="349" t="s">
        <v>14</v>
      </c>
      <c r="AQ4" s="349" t="s">
        <v>15</v>
      </c>
      <c r="AR4" s="349" t="s">
        <v>16</v>
      </c>
      <c r="AS4" s="349" t="s">
        <v>17</v>
      </c>
      <c r="AT4" s="349" t="s">
        <v>14</v>
      </c>
      <c r="AU4" s="349" t="s">
        <v>15</v>
      </c>
      <c r="AV4" s="349" t="s">
        <v>16</v>
      </c>
      <c r="AW4" s="349" t="s">
        <v>17</v>
      </c>
      <c r="AX4" s="349" t="s">
        <v>14</v>
      </c>
      <c r="AY4" s="349" t="s">
        <v>15</v>
      </c>
      <c r="AZ4" s="349" t="s">
        <v>16</v>
      </c>
      <c r="BA4" s="349" t="s">
        <v>17</v>
      </c>
    </row>
    <row r="5" spans="1:53" s="346" customFormat="1" ht="20.25" customHeight="1">
      <c r="A5" s="348" t="s">
        <v>18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P5" s="347"/>
      <c r="AI5" s="346" t="s">
        <v>18</v>
      </c>
    </row>
    <row r="6" spans="1:53" s="302" customFormat="1" ht="21" customHeight="1">
      <c r="A6" s="340" t="s">
        <v>19</v>
      </c>
      <c r="B6" s="326">
        <v>1463504</v>
      </c>
      <c r="C6" s="345">
        <v>1496075</v>
      </c>
      <c r="D6" s="322">
        <v>0</v>
      </c>
      <c r="E6" s="326">
        <v>1554713</v>
      </c>
      <c r="F6" s="326">
        <v>2211286</v>
      </c>
      <c r="G6" s="343">
        <v>2216461</v>
      </c>
      <c r="H6" s="344">
        <v>1568702</v>
      </c>
      <c r="I6" s="326">
        <v>1596453</v>
      </c>
      <c r="J6" s="326">
        <v>2231241</v>
      </c>
      <c r="K6" s="343">
        <v>2236201</v>
      </c>
      <c r="L6" s="343">
        <v>2226720</v>
      </c>
      <c r="M6" s="343">
        <v>2206530</v>
      </c>
      <c r="N6" s="343">
        <v>2192585</v>
      </c>
      <c r="O6" s="343">
        <v>2179550</v>
      </c>
      <c r="P6" s="343">
        <v>2178229</v>
      </c>
      <c r="Q6" s="343">
        <v>2199606</v>
      </c>
      <c r="R6" s="343">
        <v>2011469</v>
      </c>
      <c r="S6" s="343">
        <v>1397340.87</v>
      </c>
      <c r="T6" s="343">
        <v>2017213</v>
      </c>
      <c r="U6" s="343">
        <v>2019155.77</v>
      </c>
      <c r="V6" s="343">
        <v>2021364</v>
      </c>
      <c r="W6" s="343">
        <v>2023741</v>
      </c>
      <c r="X6" s="343">
        <v>2025910</v>
      </c>
      <c r="Y6" s="326">
        <v>2027645</v>
      </c>
      <c r="Z6" s="326">
        <v>2029679</v>
      </c>
      <c r="AA6" s="326">
        <v>2031873</v>
      </c>
      <c r="AB6" s="326">
        <v>2033816</v>
      </c>
      <c r="AC6" s="326">
        <v>2035816</v>
      </c>
      <c r="AD6" s="326">
        <v>2037730</v>
      </c>
      <c r="AE6" s="326">
        <v>2039805</v>
      </c>
      <c r="AF6" s="326">
        <v>2041594</v>
      </c>
      <c r="AG6" s="326">
        <v>2043022</v>
      </c>
      <c r="AH6" s="326">
        <v>2044122</v>
      </c>
      <c r="AI6" s="326">
        <v>2045917</v>
      </c>
      <c r="AJ6" s="326">
        <v>2047509</v>
      </c>
      <c r="AK6" s="326">
        <v>2048551</v>
      </c>
      <c r="AL6" s="342">
        <v>2049836</v>
      </c>
      <c r="AM6" s="341">
        <v>2051355</v>
      </c>
      <c r="AN6" s="341">
        <v>2052652</v>
      </c>
      <c r="AO6" s="341">
        <v>2053245</v>
      </c>
      <c r="AP6" s="342">
        <v>2054008</v>
      </c>
      <c r="AQ6" s="341">
        <v>2054924</v>
      </c>
      <c r="AR6" s="341">
        <v>2055690</v>
      </c>
      <c r="AS6" s="341">
        <v>2056013</v>
      </c>
      <c r="AT6" s="342">
        <v>2056507</v>
      </c>
      <c r="AU6" s="341">
        <v>2057188</v>
      </c>
      <c r="AV6" s="341">
        <v>2057676</v>
      </c>
      <c r="AW6" s="341">
        <v>2057614</v>
      </c>
      <c r="AX6" s="342">
        <v>2047978</v>
      </c>
      <c r="AY6" s="341">
        <v>2049090</v>
      </c>
      <c r="AZ6" s="341">
        <v>2050034</v>
      </c>
      <c r="BA6" s="341">
        <v>2050495</v>
      </c>
    </row>
    <row r="7" spans="1:53" s="302" customFormat="1" ht="14.25" customHeight="1">
      <c r="A7" s="340"/>
      <c r="B7" s="326"/>
      <c r="C7" s="326"/>
      <c r="D7" s="326"/>
      <c r="E7" s="326"/>
      <c r="F7" s="326"/>
      <c r="G7" s="328"/>
      <c r="H7" s="328"/>
      <c r="I7" s="326"/>
      <c r="J7" s="326"/>
      <c r="K7" s="328"/>
      <c r="L7" s="328"/>
      <c r="M7" s="328"/>
      <c r="N7" s="328"/>
      <c r="O7" s="328"/>
      <c r="P7" s="328"/>
      <c r="Q7" s="338"/>
      <c r="R7" s="338"/>
      <c r="S7" s="339"/>
      <c r="T7" s="339"/>
      <c r="U7" s="339"/>
      <c r="V7" s="339"/>
      <c r="W7" s="339"/>
      <c r="X7" s="339"/>
      <c r="Y7" s="338"/>
      <c r="Z7" s="338"/>
      <c r="AA7" s="338"/>
      <c r="AB7" s="338"/>
      <c r="AC7" s="338"/>
      <c r="AD7" s="338"/>
      <c r="AE7" s="338"/>
      <c r="AF7" s="338"/>
      <c r="AG7" s="338"/>
      <c r="AL7" s="337"/>
      <c r="AM7" s="332"/>
      <c r="AN7" s="332"/>
      <c r="AO7" s="332"/>
      <c r="AP7" s="337"/>
      <c r="AQ7" s="332"/>
      <c r="AR7" s="332"/>
      <c r="AS7" s="332"/>
      <c r="AT7" s="337"/>
      <c r="AU7" s="332"/>
      <c r="AV7" s="332"/>
      <c r="AW7" s="332"/>
      <c r="AX7" s="337"/>
      <c r="AY7" s="332"/>
      <c r="AZ7" s="332"/>
      <c r="BA7" s="332"/>
    </row>
    <row r="8" spans="1:53" s="302" customFormat="1" ht="21" customHeight="1">
      <c r="A8" s="319" t="s">
        <v>65</v>
      </c>
      <c r="B8" s="314">
        <v>44706</v>
      </c>
      <c r="C8" s="314">
        <v>28861</v>
      </c>
      <c r="D8" s="313">
        <v>0</v>
      </c>
      <c r="E8" s="314">
        <v>25629</v>
      </c>
      <c r="F8" s="314">
        <v>74688.070000000007</v>
      </c>
      <c r="G8" s="334">
        <v>68546.81</v>
      </c>
      <c r="H8" s="334">
        <v>33272</v>
      </c>
      <c r="I8" s="314">
        <v>24978</v>
      </c>
      <c r="J8" s="314">
        <v>109562.67</v>
      </c>
      <c r="K8" s="334">
        <v>87120.98</v>
      </c>
      <c r="L8" s="334">
        <v>70261.210000000006</v>
      </c>
      <c r="M8" s="334">
        <v>75634</v>
      </c>
      <c r="N8" s="334">
        <v>84459</v>
      </c>
      <c r="O8" s="334">
        <v>70320</v>
      </c>
      <c r="P8" s="334">
        <v>53342</v>
      </c>
      <c r="Q8" s="334">
        <v>69039</v>
      </c>
      <c r="R8" s="334">
        <v>59516</v>
      </c>
      <c r="S8" s="334">
        <v>18722.509999999998</v>
      </c>
      <c r="T8" s="334">
        <v>50890</v>
      </c>
      <c r="U8" s="334">
        <v>56432</v>
      </c>
      <c r="V8" s="334">
        <v>62809</v>
      </c>
      <c r="W8" s="334">
        <v>54362.23</v>
      </c>
      <c r="X8" s="334">
        <v>74636.06</v>
      </c>
      <c r="Y8" s="314">
        <v>56402</v>
      </c>
      <c r="Z8" s="314">
        <v>71272</v>
      </c>
      <c r="AA8" s="314">
        <v>63749.59</v>
      </c>
      <c r="AB8" s="314">
        <v>73806.210000000006</v>
      </c>
      <c r="AC8" s="314">
        <v>80180.34</v>
      </c>
      <c r="AD8" s="314">
        <v>52242</v>
      </c>
      <c r="AE8" s="314">
        <v>60743</v>
      </c>
      <c r="AF8" s="314">
        <v>67737</v>
      </c>
      <c r="AG8" s="314">
        <v>53979</v>
      </c>
      <c r="AH8" s="314">
        <v>39518</v>
      </c>
      <c r="AI8" s="314">
        <v>52716</v>
      </c>
      <c r="AJ8" s="314">
        <v>63358</v>
      </c>
      <c r="AK8" s="314">
        <v>47207</v>
      </c>
      <c r="AL8" s="336">
        <v>50865</v>
      </c>
      <c r="AM8" s="332">
        <v>50533</v>
      </c>
      <c r="AN8" s="332">
        <v>41929</v>
      </c>
      <c r="AO8" s="332">
        <v>49436</v>
      </c>
      <c r="AP8" s="336">
        <v>34589</v>
      </c>
      <c r="AQ8" s="332">
        <v>36240</v>
      </c>
      <c r="AR8" s="332">
        <v>46914</v>
      </c>
      <c r="AS8" s="332">
        <v>44982</v>
      </c>
      <c r="AT8" s="336">
        <v>48390</v>
      </c>
      <c r="AU8" s="332">
        <v>44698</v>
      </c>
      <c r="AV8" s="332">
        <v>61722</v>
      </c>
      <c r="AW8" s="332">
        <v>63105</v>
      </c>
      <c r="AX8" s="336">
        <v>50609</v>
      </c>
      <c r="AY8" s="332">
        <v>42525</v>
      </c>
      <c r="AZ8" s="332">
        <v>40511</v>
      </c>
      <c r="BA8" s="332">
        <v>42203</v>
      </c>
    </row>
    <row r="9" spans="1:53" s="302" customFormat="1" ht="21" customHeight="1">
      <c r="A9" s="302" t="s">
        <v>66</v>
      </c>
      <c r="B9" s="314">
        <v>453805</v>
      </c>
      <c r="C9" s="314">
        <v>469178</v>
      </c>
      <c r="D9" s="313">
        <v>0</v>
      </c>
      <c r="E9" s="314">
        <v>521526</v>
      </c>
      <c r="F9" s="314">
        <v>702126.63</v>
      </c>
      <c r="G9" s="334">
        <v>689000.68</v>
      </c>
      <c r="H9" s="334">
        <v>489011</v>
      </c>
      <c r="I9" s="314">
        <v>509873</v>
      </c>
      <c r="J9" s="314">
        <v>656108.71</v>
      </c>
      <c r="K9" s="334">
        <v>696717.4</v>
      </c>
      <c r="L9" s="334">
        <v>687773.52</v>
      </c>
      <c r="M9" s="334">
        <v>659715</v>
      </c>
      <c r="N9" s="334">
        <v>631888</v>
      </c>
      <c r="O9" s="334">
        <v>652463</v>
      </c>
      <c r="P9" s="334">
        <v>692385</v>
      </c>
      <c r="Q9" s="334">
        <v>602903</v>
      </c>
      <c r="R9" s="334">
        <v>611040</v>
      </c>
      <c r="S9" s="334">
        <v>377783.69</v>
      </c>
      <c r="T9" s="334">
        <v>619112</v>
      </c>
      <c r="U9" s="334">
        <v>634275</v>
      </c>
      <c r="V9" s="334">
        <v>675433</v>
      </c>
      <c r="W9" s="334">
        <v>689665.51</v>
      </c>
      <c r="X9" s="334">
        <v>662204.31999999995</v>
      </c>
      <c r="Y9" s="314">
        <v>657487</v>
      </c>
      <c r="Z9" s="314">
        <v>635033</v>
      </c>
      <c r="AA9" s="314">
        <v>645357.16</v>
      </c>
      <c r="AB9" s="314">
        <v>631655.55000000005</v>
      </c>
      <c r="AC9" s="314">
        <v>614924.18999999994</v>
      </c>
      <c r="AD9" s="314">
        <v>619080</v>
      </c>
      <c r="AE9" s="314">
        <v>626555</v>
      </c>
      <c r="AF9" s="314">
        <v>624260</v>
      </c>
      <c r="AG9" s="314">
        <v>644049</v>
      </c>
      <c r="AH9" s="314">
        <v>633176</v>
      </c>
      <c r="AI9" s="314">
        <v>630660</v>
      </c>
      <c r="AJ9" s="314">
        <v>653418</v>
      </c>
      <c r="AK9" s="314">
        <v>680069</v>
      </c>
      <c r="AL9" s="336">
        <v>603664</v>
      </c>
      <c r="AM9" s="332">
        <v>632934</v>
      </c>
      <c r="AN9" s="332">
        <v>650243</v>
      </c>
      <c r="AO9" s="332">
        <v>621796</v>
      </c>
      <c r="AP9" s="336">
        <v>609519</v>
      </c>
      <c r="AQ9" s="332">
        <v>616936</v>
      </c>
      <c r="AR9" s="332">
        <v>580852</v>
      </c>
      <c r="AS9" s="332">
        <v>580425</v>
      </c>
      <c r="AT9" s="336">
        <v>574645</v>
      </c>
      <c r="AU9" s="332">
        <v>571710</v>
      </c>
      <c r="AV9" s="332">
        <v>566042</v>
      </c>
      <c r="AW9" s="332">
        <v>563524</v>
      </c>
      <c r="AX9" s="336">
        <v>504279</v>
      </c>
      <c r="AY9" s="332">
        <v>529148</v>
      </c>
      <c r="AZ9" s="332">
        <v>530274</v>
      </c>
      <c r="BA9" s="332">
        <v>530442</v>
      </c>
    </row>
    <row r="10" spans="1:53" s="302" customFormat="1" ht="21" customHeight="1">
      <c r="A10" s="318" t="s">
        <v>67</v>
      </c>
      <c r="B10" s="314">
        <v>305095</v>
      </c>
      <c r="C10" s="314">
        <v>319051</v>
      </c>
      <c r="D10" s="313">
        <v>0</v>
      </c>
      <c r="E10" s="314">
        <v>346634</v>
      </c>
      <c r="F10" s="314">
        <v>439237.04</v>
      </c>
      <c r="G10" s="334">
        <v>427043.87</v>
      </c>
      <c r="H10" s="334">
        <v>361151</v>
      </c>
      <c r="I10" s="314">
        <v>380816</v>
      </c>
      <c r="J10" s="314">
        <v>410339.33</v>
      </c>
      <c r="K10" s="334">
        <v>420797.39</v>
      </c>
      <c r="L10" s="334">
        <v>417528.32000000001</v>
      </c>
      <c r="M10" s="334">
        <v>414284</v>
      </c>
      <c r="N10" s="334">
        <v>434062</v>
      </c>
      <c r="O10" s="334">
        <v>402666</v>
      </c>
      <c r="P10" s="334">
        <v>359370</v>
      </c>
      <c r="Q10" s="334">
        <v>470430</v>
      </c>
      <c r="R10" s="334">
        <v>422353</v>
      </c>
      <c r="S10" s="334">
        <v>334375.58</v>
      </c>
      <c r="T10" s="334">
        <v>442360</v>
      </c>
      <c r="U10" s="334">
        <v>430804</v>
      </c>
      <c r="V10" s="334">
        <v>374815</v>
      </c>
      <c r="W10" s="334">
        <v>346904.07</v>
      </c>
      <c r="X10" s="334">
        <v>395536.1</v>
      </c>
      <c r="Y10" s="314">
        <v>411459</v>
      </c>
      <c r="Z10" s="314">
        <v>395374</v>
      </c>
      <c r="AA10" s="314">
        <v>372990.13</v>
      </c>
      <c r="AB10" s="314">
        <v>395280.99</v>
      </c>
      <c r="AC10" s="314">
        <v>404667.38</v>
      </c>
      <c r="AD10" s="314">
        <v>422581</v>
      </c>
      <c r="AE10" s="314">
        <v>395606</v>
      </c>
      <c r="AF10" s="314">
        <v>400201</v>
      </c>
      <c r="AG10" s="314">
        <v>394311</v>
      </c>
      <c r="AH10" s="314">
        <v>416181</v>
      </c>
      <c r="AI10" s="314">
        <v>401519</v>
      </c>
      <c r="AJ10" s="314">
        <v>407270</v>
      </c>
      <c r="AK10" s="314">
        <v>359078</v>
      </c>
      <c r="AL10" s="336">
        <v>395951</v>
      </c>
      <c r="AM10" s="332">
        <v>370448</v>
      </c>
      <c r="AN10" s="332">
        <v>375676</v>
      </c>
      <c r="AO10" s="332">
        <v>414137</v>
      </c>
      <c r="AP10" s="336">
        <v>410182</v>
      </c>
      <c r="AQ10" s="332">
        <v>378900</v>
      </c>
      <c r="AR10" s="332">
        <v>411809</v>
      </c>
      <c r="AS10" s="332">
        <v>431314</v>
      </c>
      <c r="AT10" s="336">
        <v>416816</v>
      </c>
      <c r="AU10" s="332">
        <v>367932</v>
      </c>
      <c r="AV10" s="332">
        <v>356573</v>
      </c>
      <c r="AW10" s="332">
        <v>415457</v>
      </c>
      <c r="AX10" s="336">
        <v>409134</v>
      </c>
      <c r="AY10" s="332">
        <v>389796</v>
      </c>
      <c r="AZ10" s="332">
        <v>387690</v>
      </c>
      <c r="BA10" s="332">
        <v>404501</v>
      </c>
    </row>
    <row r="11" spans="1:53" s="302" customFormat="1" ht="21" customHeight="1">
      <c r="A11" s="318" t="s">
        <v>68</v>
      </c>
      <c r="B11" s="314">
        <v>225254</v>
      </c>
      <c r="C11" s="314">
        <v>286358</v>
      </c>
      <c r="D11" s="313">
        <v>0</v>
      </c>
      <c r="E11" s="314">
        <v>260481</v>
      </c>
      <c r="F11" s="314">
        <v>412688.32</v>
      </c>
      <c r="G11" s="334">
        <v>433296.68</v>
      </c>
      <c r="H11" s="334">
        <v>235984</v>
      </c>
      <c r="I11" s="314">
        <v>242670</v>
      </c>
      <c r="J11" s="314">
        <v>409232.18</v>
      </c>
      <c r="K11" s="334">
        <v>431395.19</v>
      </c>
      <c r="L11" s="334">
        <v>453215.6</v>
      </c>
      <c r="M11" s="334">
        <v>424779</v>
      </c>
      <c r="N11" s="334">
        <v>449819</v>
      </c>
      <c r="O11" s="334">
        <v>443429</v>
      </c>
      <c r="P11" s="334">
        <v>454407</v>
      </c>
      <c r="Q11" s="334">
        <v>473512</v>
      </c>
      <c r="R11" s="334">
        <v>377341</v>
      </c>
      <c r="S11" s="334">
        <v>243252.58</v>
      </c>
      <c r="T11" s="334">
        <v>384632</v>
      </c>
      <c r="U11" s="334">
        <v>351703</v>
      </c>
      <c r="V11" s="334">
        <v>363738</v>
      </c>
      <c r="W11" s="334">
        <v>396571</v>
      </c>
      <c r="X11" s="334">
        <v>403491</v>
      </c>
      <c r="Y11" s="314">
        <v>373420</v>
      </c>
      <c r="Z11" s="314">
        <v>382194</v>
      </c>
      <c r="AA11" s="314">
        <v>405527.65</v>
      </c>
      <c r="AB11" s="314">
        <v>372890.88</v>
      </c>
      <c r="AC11" s="314">
        <v>380004.99</v>
      </c>
      <c r="AD11" s="314">
        <v>398918</v>
      </c>
      <c r="AE11" s="314">
        <v>366148</v>
      </c>
      <c r="AF11" s="314">
        <v>369741</v>
      </c>
      <c r="AG11" s="314">
        <v>399984</v>
      </c>
      <c r="AH11" s="314">
        <v>395120</v>
      </c>
      <c r="AI11" s="314">
        <v>358711</v>
      </c>
      <c r="AJ11" s="314">
        <v>369764</v>
      </c>
      <c r="AK11" s="314">
        <v>396798</v>
      </c>
      <c r="AL11" s="336">
        <v>397466</v>
      </c>
      <c r="AM11" s="332">
        <v>372087</v>
      </c>
      <c r="AN11" s="332">
        <v>406391</v>
      </c>
      <c r="AO11" s="332">
        <v>371919</v>
      </c>
      <c r="AP11" s="336">
        <v>375875</v>
      </c>
      <c r="AQ11" s="332">
        <v>374804</v>
      </c>
      <c r="AR11" s="332">
        <v>396801</v>
      </c>
      <c r="AS11" s="332">
        <v>436657</v>
      </c>
      <c r="AT11" s="336">
        <v>396737</v>
      </c>
      <c r="AU11" s="332">
        <v>421716</v>
      </c>
      <c r="AV11" s="332">
        <v>419095</v>
      </c>
      <c r="AW11" s="332">
        <v>395357</v>
      </c>
      <c r="AX11" s="336">
        <v>406458</v>
      </c>
      <c r="AY11" s="332">
        <v>382183</v>
      </c>
      <c r="AZ11" s="332">
        <v>418505</v>
      </c>
      <c r="BA11" s="332">
        <v>425012</v>
      </c>
    </row>
    <row r="12" spans="1:53" s="302" customFormat="1" ht="21" customHeight="1">
      <c r="A12" s="302" t="s">
        <v>69</v>
      </c>
      <c r="B12" s="334">
        <v>247863</v>
      </c>
      <c r="C12" s="334">
        <v>206367</v>
      </c>
      <c r="D12" s="313">
        <v>0</v>
      </c>
      <c r="E12" s="314">
        <v>199002</v>
      </c>
      <c r="F12" s="334">
        <v>308840.27</v>
      </c>
      <c r="G12" s="334">
        <v>334300.34000000003</v>
      </c>
      <c r="H12" s="334">
        <v>230959</v>
      </c>
      <c r="I12" s="334">
        <v>221781</v>
      </c>
      <c r="J12" s="334">
        <v>345551.99</v>
      </c>
      <c r="K12" s="334">
        <v>357153.4</v>
      </c>
      <c r="L12" s="334">
        <v>348690.25</v>
      </c>
      <c r="M12" s="334">
        <v>360663</v>
      </c>
      <c r="N12" s="334">
        <v>330785</v>
      </c>
      <c r="O12" s="334">
        <v>343187</v>
      </c>
      <c r="P12" s="334">
        <v>356758</v>
      </c>
      <c r="Q12" s="334">
        <f>Q13+Q14+Q15</f>
        <v>340041</v>
      </c>
      <c r="R12" s="334">
        <v>307756</v>
      </c>
      <c r="S12" s="334">
        <v>234933.38999999998</v>
      </c>
      <c r="T12" s="334">
        <v>302107</v>
      </c>
      <c r="U12" s="334">
        <v>324126</v>
      </c>
      <c r="V12" s="334">
        <v>310395</v>
      </c>
      <c r="W12" s="334">
        <f>SUM(W13:W15)</f>
        <v>313722.03000000003</v>
      </c>
      <c r="X12" s="334">
        <f>SUM(X13:X15)</f>
        <v>299905.01</v>
      </c>
      <c r="Y12" s="314">
        <v>320740</v>
      </c>
      <c r="Z12" s="314">
        <v>324330</v>
      </c>
      <c r="AA12" s="314">
        <v>321645.60000000003</v>
      </c>
      <c r="AB12" s="314">
        <v>319233.42</v>
      </c>
      <c r="AC12" s="314">
        <v>327431.44000000006</v>
      </c>
      <c r="AD12" s="314">
        <v>309470</v>
      </c>
      <c r="AE12" s="314">
        <v>344150</v>
      </c>
      <c r="AF12" s="314">
        <v>329600</v>
      </c>
      <c r="AG12" s="314">
        <v>302093</v>
      </c>
      <c r="AH12" s="314">
        <v>354064</v>
      </c>
      <c r="AI12" s="314">
        <v>380877</v>
      </c>
      <c r="AJ12" s="314">
        <v>327714</v>
      </c>
      <c r="AK12" s="314">
        <v>333418</v>
      </c>
      <c r="AL12" s="336">
        <v>354380</v>
      </c>
      <c r="AM12" s="332">
        <v>382672</v>
      </c>
      <c r="AN12" s="332">
        <v>341321</v>
      </c>
      <c r="AO12" s="332">
        <v>346520</v>
      </c>
      <c r="AP12" s="336">
        <v>363928</v>
      </c>
      <c r="AQ12" s="332">
        <v>382753</v>
      </c>
      <c r="AR12" s="332">
        <v>379317</v>
      </c>
      <c r="AS12" s="332">
        <v>335938</v>
      </c>
      <c r="AT12" s="336">
        <v>354940</v>
      </c>
      <c r="AU12" s="332">
        <v>398530</v>
      </c>
      <c r="AV12" s="332">
        <v>395672</v>
      </c>
      <c r="AW12" s="332">
        <v>372738</v>
      </c>
      <c r="AX12" s="336">
        <v>385328</v>
      </c>
      <c r="AY12" s="332">
        <v>385322</v>
      </c>
      <c r="AZ12" s="332">
        <v>361830</v>
      </c>
      <c r="BA12" s="332">
        <f>SUM(BA13:BA15)</f>
        <v>351519</v>
      </c>
    </row>
    <row r="13" spans="1:53" s="302" customFormat="1" ht="21" customHeight="1">
      <c r="A13" s="315" t="s">
        <v>70</v>
      </c>
      <c r="B13" s="314">
        <v>189018</v>
      </c>
      <c r="C13" s="334">
        <v>172923</v>
      </c>
      <c r="D13" s="313">
        <v>0</v>
      </c>
      <c r="E13" s="314">
        <v>165175</v>
      </c>
      <c r="F13" s="334">
        <v>246038.88</v>
      </c>
      <c r="G13" s="334">
        <v>273127.84000000003</v>
      </c>
      <c r="H13" s="334">
        <v>203593</v>
      </c>
      <c r="I13" s="334">
        <v>190850</v>
      </c>
      <c r="J13" s="334">
        <v>280115.51</v>
      </c>
      <c r="K13" s="334">
        <v>305449.53000000003</v>
      </c>
      <c r="L13" s="334">
        <v>285871.99</v>
      </c>
      <c r="M13" s="334">
        <v>289043</v>
      </c>
      <c r="N13" s="334">
        <v>267786</v>
      </c>
      <c r="O13" s="334">
        <v>278776</v>
      </c>
      <c r="P13" s="334">
        <v>294946</v>
      </c>
      <c r="Q13" s="334">
        <v>294982</v>
      </c>
      <c r="R13" s="334">
        <v>263009</v>
      </c>
      <c r="S13" s="334">
        <v>185925.61</v>
      </c>
      <c r="T13" s="334">
        <v>246199</v>
      </c>
      <c r="U13" s="334">
        <v>270491</v>
      </c>
      <c r="V13" s="334">
        <v>260934</v>
      </c>
      <c r="W13" s="334">
        <v>262898.64</v>
      </c>
      <c r="X13" s="334">
        <v>237242.39</v>
      </c>
      <c r="Y13" s="314">
        <v>268502</v>
      </c>
      <c r="Z13" s="314">
        <v>276690</v>
      </c>
      <c r="AA13" s="314">
        <v>272093.39</v>
      </c>
      <c r="AB13" s="314">
        <v>267612.40999999997</v>
      </c>
      <c r="AC13" s="314">
        <v>275794.03000000003</v>
      </c>
      <c r="AD13" s="314">
        <v>256237</v>
      </c>
      <c r="AE13" s="314">
        <v>289526</v>
      </c>
      <c r="AF13" s="314">
        <v>276230</v>
      </c>
      <c r="AG13" s="314">
        <v>233849</v>
      </c>
      <c r="AH13" s="314">
        <v>293915</v>
      </c>
      <c r="AI13" s="314">
        <v>309712</v>
      </c>
      <c r="AJ13" s="314">
        <v>249977</v>
      </c>
      <c r="AK13" s="314">
        <v>293428</v>
      </c>
      <c r="AL13" s="336">
        <v>286814</v>
      </c>
      <c r="AM13" s="332">
        <v>282789</v>
      </c>
      <c r="AN13" s="332">
        <v>272456</v>
      </c>
      <c r="AO13" s="332">
        <v>292303</v>
      </c>
      <c r="AP13" s="336">
        <v>309142</v>
      </c>
      <c r="AQ13" s="332">
        <v>331138</v>
      </c>
      <c r="AR13" s="332">
        <v>313584</v>
      </c>
      <c r="AS13" s="332">
        <v>293772</v>
      </c>
      <c r="AT13" s="336">
        <v>285091</v>
      </c>
      <c r="AU13" s="332">
        <v>336840</v>
      </c>
      <c r="AV13" s="332">
        <v>333465</v>
      </c>
      <c r="AW13" s="332">
        <v>317608</v>
      </c>
      <c r="AX13" s="336">
        <v>315769</v>
      </c>
      <c r="AY13" s="332">
        <v>325753</v>
      </c>
      <c r="AZ13" s="332">
        <v>315133</v>
      </c>
      <c r="BA13" s="332">
        <v>292226</v>
      </c>
    </row>
    <row r="14" spans="1:53" s="302" customFormat="1" ht="21" customHeight="1">
      <c r="A14" s="315" t="s">
        <v>71</v>
      </c>
      <c r="B14" s="314">
        <v>58845</v>
      </c>
      <c r="C14" s="334">
        <v>33444</v>
      </c>
      <c r="D14" s="313">
        <v>0</v>
      </c>
      <c r="E14" s="314">
        <v>33827</v>
      </c>
      <c r="F14" s="334">
        <v>62801.39</v>
      </c>
      <c r="G14" s="334">
        <v>61172.5</v>
      </c>
      <c r="H14" s="334">
        <v>27148</v>
      </c>
      <c r="I14" s="334">
        <v>30242</v>
      </c>
      <c r="J14" s="334">
        <v>65436.480000000003</v>
      </c>
      <c r="K14" s="334">
        <v>49893.31</v>
      </c>
      <c r="L14" s="334">
        <v>62818.26</v>
      </c>
      <c r="M14" s="334">
        <v>71366</v>
      </c>
      <c r="N14" s="334">
        <v>62999</v>
      </c>
      <c r="O14" s="334">
        <v>62793</v>
      </c>
      <c r="P14" s="334">
        <v>54984</v>
      </c>
      <c r="Q14" s="334">
        <v>44361</v>
      </c>
      <c r="R14" s="334">
        <v>44747</v>
      </c>
      <c r="S14" s="334">
        <v>49007.78</v>
      </c>
      <c r="T14" s="334">
        <v>55908</v>
      </c>
      <c r="U14" s="334">
        <v>53635</v>
      </c>
      <c r="V14" s="334">
        <v>49461</v>
      </c>
      <c r="W14" s="334">
        <v>50823.39</v>
      </c>
      <c r="X14" s="334">
        <v>62662.62</v>
      </c>
      <c r="Y14" s="314">
        <v>52238</v>
      </c>
      <c r="Z14" s="314">
        <v>47640</v>
      </c>
      <c r="AA14" s="314">
        <v>49552.21</v>
      </c>
      <c r="AB14" s="314">
        <v>51621.01</v>
      </c>
      <c r="AC14" s="314">
        <v>51637.41</v>
      </c>
      <c r="AD14" s="314">
        <v>53233</v>
      </c>
      <c r="AE14" s="314">
        <v>54624</v>
      </c>
      <c r="AF14" s="314">
        <v>53370</v>
      </c>
      <c r="AG14" s="314">
        <v>68244</v>
      </c>
      <c r="AH14" s="314">
        <v>59299</v>
      </c>
      <c r="AI14" s="314">
        <v>71165</v>
      </c>
      <c r="AJ14" s="314">
        <v>77737</v>
      </c>
      <c r="AK14" s="314">
        <v>39990</v>
      </c>
      <c r="AL14" s="336">
        <v>67124</v>
      </c>
      <c r="AM14" s="332">
        <v>99883</v>
      </c>
      <c r="AN14" s="332">
        <v>68865</v>
      </c>
      <c r="AO14" s="332">
        <v>54217</v>
      </c>
      <c r="AP14" s="336">
        <v>54786</v>
      </c>
      <c r="AQ14" s="332">
        <v>51615</v>
      </c>
      <c r="AR14" s="332">
        <v>65733</v>
      </c>
      <c r="AS14" s="332">
        <v>42166</v>
      </c>
      <c r="AT14" s="336">
        <v>69392</v>
      </c>
      <c r="AU14" s="332">
        <v>60699</v>
      </c>
      <c r="AV14" s="332">
        <v>62207</v>
      </c>
      <c r="AW14" s="332">
        <v>55130</v>
      </c>
      <c r="AX14" s="336">
        <v>69370</v>
      </c>
      <c r="AY14" s="332">
        <v>59569</v>
      </c>
      <c r="AZ14" s="332">
        <v>46697</v>
      </c>
      <c r="BA14" s="332">
        <v>59107</v>
      </c>
    </row>
    <row r="15" spans="1:53" s="302" customFormat="1" ht="21" customHeight="1">
      <c r="A15" s="316" t="s">
        <v>72</v>
      </c>
      <c r="B15" s="313">
        <v>0</v>
      </c>
      <c r="C15" s="313">
        <v>0</v>
      </c>
      <c r="D15" s="313">
        <v>0</v>
      </c>
      <c r="E15" s="313">
        <v>0</v>
      </c>
      <c r="F15" s="313">
        <v>0</v>
      </c>
      <c r="G15" s="313">
        <v>0</v>
      </c>
      <c r="H15" s="313">
        <v>0</v>
      </c>
      <c r="I15" s="314">
        <v>690</v>
      </c>
      <c r="J15" s="313">
        <v>0</v>
      </c>
      <c r="K15" s="314">
        <v>1810.56</v>
      </c>
      <c r="L15" s="313">
        <v>0</v>
      </c>
      <c r="M15" s="313">
        <v>254</v>
      </c>
      <c r="N15" s="313">
        <v>0</v>
      </c>
      <c r="O15" s="314">
        <v>1618</v>
      </c>
      <c r="P15" s="314">
        <v>6828</v>
      </c>
      <c r="Q15" s="314">
        <v>698</v>
      </c>
      <c r="R15" s="313">
        <v>0</v>
      </c>
      <c r="S15" s="313">
        <v>0</v>
      </c>
      <c r="T15" s="313">
        <v>0</v>
      </c>
      <c r="U15" s="313">
        <v>0</v>
      </c>
      <c r="V15" s="313">
        <v>0</v>
      </c>
      <c r="W15" s="313">
        <v>0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0</v>
      </c>
      <c r="AF15" s="313">
        <v>0</v>
      </c>
      <c r="AG15" s="313">
        <v>0</v>
      </c>
      <c r="AH15" s="313">
        <v>850</v>
      </c>
      <c r="AI15" s="335">
        <v>0</v>
      </c>
      <c r="AJ15" s="335">
        <v>0</v>
      </c>
      <c r="AK15" s="335">
        <v>0</v>
      </c>
      <c r="AL15" s="333">
        <v>442</v>
      </c>
      <c r="AM15" s="335">
        <v>0</v>
      </c>
      <c r="AN15" s="335">
        <v>0</v>
      </c>
      <c r="AO15" s="335">
        <v>0</v>
      </c>
      <c r="AP15" s="333" t="s">
        <v>73</v>
      </c>
      <c r="AQ15" s="335" t="s">
        <v>73</v>
      </c>
      <c r="AR15" s="335" t="s">
        <v>74</v>
      </c>
      <c r="AS15" s="335" t="s">
        <v>74</v>
      </c>
      <c r="AT15" s="333">
        <v>457</v>
      </c>
      <c r="AU15" s="335">
        <v>991</v>
      </c>
      <c r="AV15" s="335" t="s">
        <v>74</v>
      </c>
      <c r="AW15" s="335" t="s">
        <v>74</v>
      </c>
      <c r="AX15" s="333">
        <v>189</v>
      </c>
      <c r="AY15" s="335" t="s">
        <v>74</v>
      </c>
      <c r="AZ15" s="335" t="s">
        <v>74</v>
      </c>
      <c r="BA15" s="335">
        <v>186</v>
      </c>
    </row>
    <row r="16" spans="1:53" s="302" customFormat="1" ht="21" customHeight="1">
      <c r="A16" s="302" t="s">
        <v>75</v>
      </c>
      <c r="B16" s="334">
        <v>186438</v>
      </c>
      <c r="C16" s="334">
        <v>186260</v>
      </c>
      <c r="D16" s="313">
        <v>0</v>
      </c>
      <c r="E16" s="314">
        <v>201441</v>
      </c>
      <c r="F16" s="334">
        <v>272892.69</v>
      </c>
      <c r="G16" s="334">
        <v>263530.78999999998</v>
      </c>
      <c r="H16" s="334">
        <v>218325</v>
      </c>
      <c r="I16" s="334">
        <v>216335</v>
      </c>
      <c r="J16" s="334">
        <v>300446.11</v>
      </c>
      <c r="K16" s="334">
        <v>239824.54</v>
      </c>
      <c r="L16" s="334">
        <v>247974.38</v>
      </c>
      <c r="M16" s="334">
        <v>271455</v>
      </c>
      <c r="N16" s="334">
        <v>261572</v>
      </c>
      <c r="O16" s="334">
        <v>267485</v>
      </c>
      <c r="P16" s="334">
        <v>260681</v>
      </c>
      <c r="Q16" s="334">
        <f>Q17+Q18+Q19</f>
        <v>241231</v>
      </c>
      <c r="R16" s="334">
        <v>232422</v>
      </c>
      <c r="S16" s="334">
        <v>187939.07</v>
      </c>
      <c r="T16" s="334">
        <v>217872</v>
      </c>
      <c r="U16" s="334">
        <v>221348</v>
      </c>
      <c r="V16" s="334">
        <v>230019</v>
      </c>
      <c r="W16" s="334">
        <f>SUM(W17:W19)</f>
        <v>219643.66999999998</v>
      </c>
      <c r="X16" s="334">
        <f>SUM(X17:X19)</f>
        <v>189691.03999999998</v>
      </c>
      <c r="Y16" s="314">
        <v>208137</v>
      </c>
      <c r="Z16" s="314">
        <v>220282</v>
      </c>
      <c r="AA16" s="314">
        <v>222602.87</v>
      </c>
      <c r="AB16" s="314">
        <v>238261.05</v>
      </c>
      <c r="AC16" s="314">
        <v>227879.78</v>
      </c>
      <c r="AD16" s="314">
        <v>234865</v>
      </c>
      <c r="AE16" s="314">
        <v>245501</v>
      </c>
      <c r="AF16" s="314">
        <v>249833</v>
      </c>
      <c r="AG16" s="314">
        <v>248331</v>
      </c>
      <c r="AH16" s="314">
        <v>206063</v>
      </c>
      <c r="AI16" s="314">
        <v>221434</v>
      </c>
      <c r="AJ16" s="314">
        <v>224494</v>
      </c>
      <c r="AK16" s="314">
        <v>231147</v>
      </c>
      <c r="AL16" s="336">
        <v>245193</v>
      </c>
      <c r="AM16" s="332">
        <v>239071</v>
      </c>
      <c r="AN16" s="332">
        <v>235247</v>
      </c>
      <c r="AO16" s="332">
        <v>248072</v>
      </c>
      <c r="AP16" s="336">
        <v>253568</v>
      </c>
      <c r="AQ16" s="332">
        <v>263765</v>
      </c>
      <c r="AR16" s="332">
        <v>239394</v>
      </c>
      <c r="AS16" s="332">
        <v>224373</v>
      </c>
      <c r="AT16" s="336">
        <v>261626</v>
      </c>
      <c r="AU16" s="332">
        <v>252602</v>
      </c>
      <c r="AV16" s="332">
        <v>257480</v>
      </c>
      <c r="AW16" s="332">
        <v>247433</v>
      </c>
      <c r="AX16" s="336">
        <v>290249</v>
      </c>
      <c r="AY16" s="332">
        <v>317079</v>
      </c>
      <c r="AZ16" s="332">
        <v>311224</v>
      </c>
      <c r="BA16" s="332">
        <f>SUM(BA17:BA19)</f>
        <v>296385</v>
      </c>
    </row>
    <row r="17" spans="1:53" s="302" customFormat="1" ht="21" customHeight="1">
      <c r="A17" s="316" t="s">
        <v>76</v>
      </c>
      <c r="B17" s="314">
        <v>80213</v>
      </c>
      <c r="C17" s="334">
        <v>96697</v>
      </c>
      <c r="D17" s="313">
        <v>0</v>
      </c>
      <c r="E17" s="314">
        <v>99277</v>
      </c>
      <c r="F17" s="334">
        <v>128323.63</v>
      </c>
      <c r="G17" s="334">
        <v>116571.56</v>
      </c>
      <c r="H17" s="334">
        <v>92959</v>
      </c>
      <c r="I17" s="334">
        <v>106789</v>
      </c>
      <c r="J17" s="334">
        <v>180740.83</v>
      </c>
      <c r="K17" s="334">
        <v>153273.67000000001</v>
      </c>
      <c r="L17" s="334">
        <v>129828.43</v>
      </c>
      <c r="M17" s="334">
        <v>151312</v>
      </c>
      <c r="N17" s="334">
        <v>143180</v>
      </c>
      <c r="O17" s="334">
        <v>127289</v>
      </c>
      <c r="P17" s="334">
        <v>135260</v>
      </c>
      <c r="Q17" s="334">
        <v>147991</v>
      </c>
      <c r="R17" s="334">
        <v>130750</v>
      </c>
      <c r="S17" s="334">
        <v>109300.03</v>
      </c>
      <c r="T17" s="334">
        <v>118680</v>
      </c>
      <c r="U17" s="334">
        <v>118922</v>
      </c>
      <c r="V17" s="334">
        <v>135467</v>
      </c>
      <c r="W17" s="334">
        <v>129958.88</v>
      </c>
      <c r="X17" s="334">
        <v>111071</v>
      </c>
      <c r="Y17" s="314">
        <v>116944</v>
      </c>
      <c r="Z17" s="314">
        <v>121745</v>
      </c>
      <c r="AA17" s="314">
        <v>118459.24</v>
      </c>
      <c r="AB17" s="314">
        <v>141802.82999999999</v>
      </c>
      <c r="AC17" s="314">
        <v>141447.18</v>
      </c>
      <c r="AD17" s="314">
        <v>143531</v>
      </c>
      <c r="AE17" s="314">
        <v>133439</v>
      </c>
      <c r="AF17" s="314">
        <v>139492</v>
      </c>
      <c r="AG17" s="314">
        <v>123047</v>
      </c>
      <c r="AH17" s="314">
        <v>114074</v>
      </c>
      <c r="AI17" s="314">
        <v>124759</v>
      </c>
      <c r="AJ17" s="314">
        <v>135093</v>
      </c>
      <c r="AK17" s="314">
        <v>135049</v>
      </c>
      <c r="AL17" s="336">
        <v>120619</v>
      </c>
      <c r="AM17" s="332">
        <v>131867</v>
      </c>
      <c r="AN17" s="332">
        <v>117238</v>
      </c>
      <c r="AO17" s="332">
        <v>135622</v>
      </c>
      <c r="AP17" s="336">
        <v>121635</v>
      </c>
      <c r="AQ17" s="332">
        <v>127289</v>
      </c>
      <c r="AR17" s="332">
        <v>123170</v>
      </c>
      <c r="AS17" s="332">
        <v>110371</v>
      </c>
      <c r="AT17" s="336">
        <v>140238</v>
      </c>
      <c r="AU17" s="332">
        <v>157586</v>
      </c>
      <c r="AV17" s="332">
        <v>161769</v>
      </c>
      <c r="AW17" s="332">
        <v>145001</v>
      </c>
      <c r="AX17" s="336">
        <v>194549</v>
      </c>
      <c r="AY17" s="332">
        <v>190258</v>
      </c>
      <c r="AZ17" s="332">
        <v>187603</v>
      </c>
      <c r="BA17" s="332">
        <v>198582</v>
      </c>
    </row>
    <row r="18" spans="1:53" s="302" customFormat="1" ht="21" customHeight="1">
      <c r="A18" s="316" t="s">
        <v>77</v>
      </c>
      <c r="B18" s="314">
        <v>71340</v>
      </c>
      <c r="C18" s="314">
        <v>58874</v>
      </c>
      <c r="D18" s="313">
        <v>0</v>
      </c>
      <c r="E18" s="314">
        <v>72633</v>
      </c>
      <c r="F18" s="314">
        <v>96683.33</v>
      </c>
      <c r="G18" s="334">
        <v>104416.77</v>
      </c>
      <c r="H18" s="334">
        <v>84639</v>
      </c>
      <c r="I18" s="314">
        <v>76371</v>
      </c>
      <c r="J18" s="314">
        <v>70261.41</v>
      </c>
      <c r="K18" s="334">
        <v>46655.94</v>
      </c>
      <c r="L18" s="334">
        <v>75324.899999999994</v>
      </c>
      <c r="M18" s="334">
        <v>89089</v>
      </c>
      <c r="N18" s="334">
        <v>87583</v>
      </c>
      <c r="O18" s="334">
        <v>103639</v>
      </c>
      <c r="P18" s="334">
        <v>82118</v>
      </c>
      <c r="Q18" s="334">
        <v>67518</v>
      </c>
      <c r="R18" s="334">
        <v>75078</v>
      </c>
      <c r="S18" s="334">
        <v>53484.94</v>
      </c>
      <c r="T18" s="334">
        <v>68187</v>
      </c>
      <c r="U18" s="334">
        <v>73866</v>
      </c>
      <c r="V18" s="334">
        <v>70809</v>
      </c>
      <c r="W18" s="334">
        <v>71689.789999999994</v>
      </c>
      <c r="X18" s="334">
        <v>55964.12</v>
      </c>
      <c r="Y18" s="314">
        <v>60105</v>
      </c>
      <c r="Z18" s="314">
        <v>63349</v>
      </c>
      <c r="AA18" s="314">
        <v>68528.009999999995</v>
      </c>
      <c r="AB18" s="314">
        <v>61670.14</v>
      </c>
      <c r="AC18" s="314">
        <v>52590</v>
      </c>
      <c r="AD18" s="314">
        <v>55419</v>
      </c>
      <c r="AE18" s="314">
        <v>74063</v>
      </c>
      <c r="AF18" s="314">
        <v>79298</v>
      </c>
      <c r="AG18" s="314">
        <v>97347</v>
      </c>
      <c r="AH18" s="314">
        <v>65260</v>
      </c>
      <c r="AI18" s="314">
        <v>73441</v>
      </c>
      <c r="AJ18" s="314">
        <v>68780</v>
      </c>
      <c r="AK18" s="314">
        <v>68827</v>
      </c>
      <c r="AL18" s="336">
        <v>79171</v>
      </c>
      <c r="AM18" s="332">
        <v>75253</v>
      </c>
      <c r="AN18" s="332">
        <v>85755</v>
      </c>
      <c r="AO18" s="332">
        <v>75927</v>
      </c>
      <c r="AP18" s="336">
        <v>88047</v>
      </c>
      <c r="AQ18" s="332">
        <v>86858</v>
      </c>
      <c r="AR18" s="332">
        <v>72097</v>
      </c>
      <c r="AS18" s="332">
        <v>71737</v>
      </c>
      <c r="AT18" s="336">
        <v>81316</v>
      </c>
      <c r="AU18" s="332">
        <v>65044</v>
      </c>
      <c r="AV18" s="332">
        <v>69588</v>
      </c>
      <c r="AW18" s="332">
        <v>76388</v>
      </c>
      <c r="AX18" s="336">
        <v>59337</v>
      </c>
      <c r="AY18" s="332">
        <v>76403</v>
      </c>
      <c r="AZ18" s="332">
        <v>69196</v>
      </c>
      <c r="BA18" s="332">
        <v>67754</v>
      </c>
    </row>
    <row r="19" spans="1:53" s="302" customFormat="1" ht="21" customHeight="1">
      <c r="A19" s="316" t="s">
        <v>78</v>
      </c>
      <c r="B19" s="314">
        <v>34885</v>
      </c>
      <c r="C19" s="314">
        <v>30689</v>
      </c>
      <c r="D19" s="313">
        <v>0</v>
      </c>
      <c r="E19" s="314">
        <v>29531</v>
      </c>
      <c r="F19" s="314">
        <v>47885.73</v>
      </c>
      <c r="G19" s="334">
        <v>42542.46</v>
      </c>
      <c r="H19" s="334">
        <v>40725</v>
      </c>
      <c r="I19" s="314">
        <v>33175</v>
      </c>
      <c r="J19" s="314">
        <v>49443.87</v>
      </c>
      <c r="K19" s="334">
        <v>39894.93</v>
      </c>
      <c r="L19" s="334">
        <v>42821.05</v>
      </c>
      <c r="M19" s="334">
        <v>31054</v>
      </c>
      <c r="N19" s="334">
        <v>30809</v>
      </c>
      <c r="O19" s="334">
        <v>36557</v>
      </c>
      <c r="P19" s="334">
        <v>43303</v>
      </c>
      <c r="Q19" s="334">
        <v>25722</v>
      </c>
      <c r="R19" s="334">
        <v>26594</v>
      </c>
      <c r="S19" s="334">
        <v>25154.1</v>
      </c>
      <c r="T19" s="334">
        <v>31005</v>
      </c>
      <c r="U19" s="334">
        <v>28560</v>
      </c>
      <c r="V19" s="334">
        <v>23743</v>
      </c>
      <c r="W19" s="334">
        <v>17995</v>
      </c>
      <c r="X19" s="334">
        <v>22655.919999999998</v>
      </c>
      <c r="Y19" s="314">
        <v>31088</v>
      </c>
      <c r="Z19" s="314">
        <v>35188</v>
      </c>
      <c r="AA19" s="314">
        <v>35615.620000000003</v>
      </c>
      <c r="AB19" s="314">
        <v>34788.080000000002</v>
      </c>
      <c r="AC19" s="314">
        <v>33842.6</v>
      </c>
      <c r="AD19" s="314">
        <v>35916</v>
      </c>
      <c r="AE19" s="314">
        <v>37999</v>
      </c>
      <c r="AF19" s="314">
        <v>31043</v>
      </c>
      <c r="AG19" s="314">
        <v>27937</v>
      </c>
      <c r="AH19" s="314">
        <v>26729</v>
      </c>
      <c r="AI19" s="314">
        <v>23234</v>
      </c>
      <c r="AJ19" s="314">
        <v>20621</v>
      </c>
      <c r="AK19" s="314">
        <v>27271</v>
      </c>
      <c r="AL19" s="336">
        <v>45403</v>
      </c>
      <c r="AM19" s="332">
        <v>31951</v>
      </c>
      <c r="AN19" s="332">
        <v>32254</v>
      </c>
      <c r="AO19" s="332">
        <v>36523</v>
      </c>
      <c r="AP19" s="336">
        <v>43886</v>
      </c>
      <c r="AQ19" s="332">
        <v>49618</v>
      </c>
      <c r="AR19" s="332">
        <v>44127</v>
      </c>
      <c r="AS19" s="332">
        <v>42265</v>
      </c>
      <c r="AT19" s="336">
        <v>40072</v>
      </c>
      <c r="AU19" s="332">
        <v>29972</v>
      </c>
      <c r="AV19" s="332">
        <v>26123</v>
      </c>
      <c r="AW19" s="332">
        <v>26044</v>
      </c>
      <c r="AX19" s="336">
        <v>36363</v>
      </c>
      <c r="AY19" s="332">
        <v>50418</v>
      </c>
      <c r="AZ19" s="332">
        <v>54425</v>
      </c>
      <c r="BA19" s="332">
        <v>30049</v>
      </c>
    </row>
    <row r="20" spans="1:53" s="302" customFormat="1" ht="21" customHeight="1">
      <c r="A20" s="315" t="s">
        <v>79</v>
      </c>
      <c r="B20" s="313">
        <v>0</v>
      </c>
      <c r="C20" s="313">
        <v>0</v>
      </c>
      <c r="D20" s="313">
        <v>0</v>
      </c>
      <c r="E20" s="313">
        <v>0</v>
      </c>
      <c r="F20" s="313">
        <v>0</v>
      </c>
      <c r="G20" s="313">
        <v>0</v>
      </c>
      <c r="H20" s="313">
        <v>0</v>
      </c>
      <c r="I20" s="313">
        <v>0</v>
      </c>
      <c r="J20" s="313">
        <v>0</v>
      </c>
      <c r="K20" s="313">
        <v>0</v>
      </c>
      <c r="L20" s="313">
        <v>0</v>
      </c>
      <c r="M20" s="313">
        <v>0</v>
      </c>
      <c r="N20" s="313">
        <v>0</v>
      </c>
      <c r="O20" s="313">
        <v>0</v>
      </c>
      <c r="P20" s="313">
        <v>0</v>
      </c>
      <c r="Q20" s="313">
        <v>0</v>
      </c>
      <c r="R20" s="313">
        <v>0</v>
      </c>
      <c r="S20" s="313">
        <v>0</v>
      </c>
      <c r="T20" s="313">
        <v>0</v>
      </c>
      <c r="U20" s="313">
        <v>0</v>
      </c>
      <c r="V20" s="313">
        <v>892</v>
      </c>
      <c r="W20" s="313">
        <v>0</v>
      </c>
      <c r="X20" s="313">
        <v>0</v>
      </c>
      <c r="Y20" s="313">
        <v>0</v>
      </c>
      <c r="Z20" s="313">
        <v>0</v>
      </c>
      <c r="AA20" s="313">
        <v>0</v>
      </c>
      <c r="AB20" s="313">
        <v>0</v>
      </c>
      <c r="AC20" s="313">
        <v>0</v>
      </c>
      <c r="AD20" s="313">
        <v>0</v>
      </c>
      <c r="AE20" s="313">
        <v>0</v>
      </c>
      <c r="AF20" s="313">
        <v>0</v>
      </c>
      <c r="AG20" s="313">
        <v>0</v>
      </c>
      <c r="AH20" s="313">
        <v>0</v>
      </c>
      <c r="AI20" s="313">
        <v>0</v>
      </c>
      <c r="AJ20" s="313" t="s">
        <v>73</v>
      </c>
      <c r="AK20" s="313" t="s">
        <v>73</v>
      </c>
      <c r="AL20" s="335">
        <v>0</v>
      </c>
      <c r="AM20" s="335">
        <v>0</v>
      </c>
      <c r="AN20" s="335">
        <v>0</v>
      </c>
      <c r="AO20" s="335">
        <v>0</v>
      </c>
      <c r="AP20" s="335" t="s">
        <v>73</v>
      </c>
      <c r="AQ20" s="335" t="s">
        <v>73</v>
      </c>
      <c r="AR20" s="335">
        <v>0</v>
      </c>
      <c r="AS20" s="335" t="s">
        <v>74</v>
      </c>
      <c r="AT20" s="335" t="s">
        <v>74</v>
      </c>
      <c r="AU20" s="335" t="s">
        <v>73</v>
      </c>
      <c r="AV20" s="335" t="s">
        <v>74</v>
      </c>
      <c r="AW20" s="335" t="s">
        <v>74</v>
      </c>
      <c r="AX20" s="335" t="s">
        <v>74</v>
      </c>
      <c r="AY20" s="335" t="s">
        <v>74</v>
      </c>
      <c r="AZ20" s="335" t="s">
        <v>74</v>
      </c>
      <c r="BA20" s="335" t="s">
        <v>74</v>
      </c>
    </row>
    <row r="21" spans="1:53" s="302" customFormat="1" ht="21" customHeight="1">
      <c r="A21" s="315" t="s">
        <v>80</v>
      </c>
      <c r="B21" s="314">
        <v>343</v>
      </c>
      <c r="C21" s="313">
        <v>0</v>
      </c>
      <c r="D21" s="313">
        <v>0</v>
      </c>
      <c r="E21" s="313">
        <v>0</v>
      </c>
      <c r="F21" s="314">
        <v>812.98</v>
      </c>
      <c r="G21" s="334">
        <v>741.83</v>
      </c>
      <c r="H21" s="313">
        <v>0</v>
      </c>
      <c r="I21" s="313">
        <v>0</v>
      </c>
      <c r="J21" s="313">
        <v>0</v>
      </c>
      <c r="K21" s="334">
        <v>3192.1</v>
      </c>
      <c r="L21" s="334">
        <v>1276.74</v>
      </c>
      <c r="M21" s="313">
        <v>0</v>
      </c>
      <c r="N21" s="313">
        <v>0</v>
      </c>
      <c r="O21" s="313">
        <v>0</v>
      </c>
      <c r="P21" s="334">
        <v>1286</v>
      </c>
      <c r="Q21" s="313">
        <v>2451</v>
      </c>
      <c r="R21" s="334">
        <v>1041.49</v>
      </c>
      <c r="S21" s="334">
        <v>334.05</v>
      </c>
      <c r="T21" s="334">
        <v>240</v>
      </c>
      <c r="U21" s="334">
        <v>467.77</v>
      </c>
      <c r="V21" s="334">
        <v>3263</v>
      </c>
      <c r="W21" s="334">
        <v>2871.99</v>
      </c>
      <c r="X21" s="334">
        <v>446.75</v>
      </c>
      <c r="Y21" s="313">
        <v>0</v>
      </c>
      <c r="Z21" s="314">
        <v>1194</v>
      </c>
      <c r="AA21" s="313">
        <v>0</v>
      </c>
      <c r="AB21" s="314">
        <v>2687.92</v>
      </c>
      <c r="AC21" s="314">
        <v>727.89</v>
      </c>
      <c r="AD21" s="314">
        <v>574</v>
      </c>
      <c r="AE21" s="313">
        <v>1102</v>
      </c>
      <c r="AF21" s="314">
        <v>222</v>
      </c>
      <c r="AG21" s="314">
        <v>275</v>
      </c>
      <c r="AH21" s="314">
        <v>0</v>
      </c>
      <c r="AI21" s="313">
        <v>0</v>
      </c>
      <c r="AJ21" s="314">
        <v>1491</v>
      </c>
      <c r="AK21" s="314">
        <v>834</v>
      </c>
      <c r="AL21" s="333">
        <v>2317</v>
      </c>
      <c r="AM21" s="332">
        <v>3610</v>
      </c>
      <c r="AN21" s="332">
        <v>1845</v>
      </c>
      <c r="AO21" s="332">
        <v>1365</v>
      </c>
      <c r="AP21" s="333">
        <v>6347</v>
      </c>
      <c r="AQ21" s="332">
        <v>1526</v>
      </c>
      <c r="AR21" s="332">
        <v>603</v>
      </c>
      <c r="AS21" s="332">
        <v>2324</v>
      </c>
      <c r="AT21" s="333">
        <v>3353</v>
      </c>
      <c r="AU21" s="181">
        <v>0</v>
      </c>
      <c r="AV21" s="332">
        <v>1092</v>
      </c>
      <c r="AW21" s="181">
        <v>0</v>
      </c>
      <c r="AX21" s="333">
        <v>1921</v>
      </c>
      <c r="AY21" s="333">
        <v>3037</v>
      </c>
      <c r="AZ21" s="333" t="s">
        <v>74</v>
      </c>
      <c r="BA21" s="333">
        <v>433</v>
      </c>
    </row>
    <row r="22" spans="1:53" s="302" customFormat="1" ht="2.25" customHeight="1">
      <c r="A22" s="315"/>
      <c r="B22" s="331"/>
      <c r="C22" s="331"/>
      <c r="D22" s="314" t="s">
        <v>20</v>
      </c>
      <c r="E22" s="331"/>
      <c r="F22" s="328"/>
      <c r="G22" s="328"/>
      <c r="H22" s="328"/>
      <c r="I22" s="331"/>
      <c r="J22" s="331"/>
      <c r="K22" s="328"/>
      <c r="L22" s="328"/>
      <c r="M22" s="328"/>
      <c r="O22" s="302" t="s">
        <v>29</v>
      </c>
      <c r="P22" s="302" t="s">
        <v>29</v>
      </c>
      <c r="AD22" s="302" t="s">
        <v>29</v>
      </c>
      <c r="AE22" s="302" t="s">
        <v>29</v>
      </c>
      <c r="AF22" s="302" t="s">
        <v>29</v>
      </c>
      <c r="AG22" s="302" t="s">
        <v>29</v>
      </c>
      <c r="AH22" s="302" t="s">
        <v>29</v>
      </c>
      <c r="AI22" s="302" t="s">
        <v>29</v>
      </c>
      <c r="AJ22" s="302" t="s">
        <v>29</v>
      </c>
      <c r="AK22" s="302" t="s">
        <v>29</v>
      </c>
      <c r="AL22" s="330" t="s">
        <v>29</v>
      </c>
      <c r="AM22" s="330" t="s">
        <v>29</v>
      </c>
      <c r="AN22" s="330" t="s">
        <v>29</v>
      </c>
      <c r="AO22" s="330" t="s">
        <v>29</v>
      </c>
      <c r="AP22" s="330" t="s">
        <v>29</v>
      </c>
      <c r="AQ22" s="330" t="s">
        <v>29</v>
      </c>
      <c r="AR22" s="330" t="s">
        <v>29</v>
      </c>
      <c r="AS22" s="330" t="s">
        <v>29</v>
      </c>
      <c r="AT22" s="330" t="s">
        <v>29</v>
      </c>
      <c r="AU22" s="330" t="s">
        <v>29</v>
      </c>
      <c r="AV22" s="330" t="s">
        <v>29</v>
      </c>
      <c r="AW22" s="330" t="s">
        <v>29</v>
      </c>
      <c r="AX22" s="330" t="s">
        <v>29</v>
      </c>
      <c r="AY22" s="330" t="s">
        <v>29</v>
      </c>
      <c r="AZ22" s="330" t="s">
        <v>29</v>
      </c>
      <c r="BA22" s="330" t="s">
        <v>29</v>
      </c>
    </row>
    <row r="23" spans="1:53" s="302" customFormat="1" ht="25.5" customHeight="1">
      <c r="A23" s="329" t="s">
        <v>29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8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AI23" s="302" t="s">
        <v>29</v>
      </c>
    </row>
    <row r="24" spans="1:53" s="302" customFormat="1" ht="18.75" customHeight="1">
      <c r="A24" s="323" t="s">
        <v>19</v>
      </c>
      <c r="B24" s="322">
        <f>SUM(B26:B30,B34,B38:B39)-0.1</f>
        <v>99.999999999999986</v>
      </c>
      <c r="C24" s="322">
        <v>100</v>
      </c>
      <c r="D24" s="326" t="s">
        <v>20</v>
      </c>
      <c r="E24" s="322">
        <f>SUM(E26:E30,E34,E38:E39)</f>
        <v>100.00000000000001</v>
      </c>
      <c r="F24" s="322">
        <v>100</v>
      </c>
      <c r="G24" s="322">
        <v>100</v>
      </c>
      <c r="H24" s="322">
        <v>100</v>
      </c>
      <c r="I24" s="322">
        <v>100</v>
      </c>
      <c r="J24" s="322">
        <v>100</v>
      </c>
      <c r="K24" s="322">
        <v>100</v>
      </c>
      <c r="L24" s="322">
        <v>100</v>
      </c>
      <c r="M24" s="322">
        <v>100</v>
      </c>
      <c r="N24" s="322">
        <v>100</v>
      </c>
      <c r="O24" s="322">
        <v>100</v>
      </c>
      <c r="P24" s="322">
        <v>100</v>
      </c>
      <c r="Q24" s="322">
        <v>100</v>
      </c>
      <c r="R24" s="322">
        <v>100</v>
      </c>
      <c r="S24" s="322">
        <v>100</v>
      </c>
      <c r="T24" s="322">
        <v>100</v>
      </c>
      <c r="U24" s="322">
        <v>100</v>
      </c>
      <c r="V24" s="322">
        <v>100</v>
      </c>
      <c r="W24" s="322">
        <v>100</v>
      </c>
      <c r="X24" s="322">
        <v>100</v>
      </c>
      <c r="Y24" s="322">
        <v>100</v>
      </c>
      <c r="Z24" s="322">
        <v>100</v>
      </c>
      <c r="AA24" s="322">
        <v>100</v>
      </c>
      <c r="AB24" s="322">
        <v>100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100</v>
      </c>
      <c r="AH24" s="322">
        <v>100</v>
      </c>
      <c r="AI24" s="322">
        <v>100</v>
      </c>
      <c r="AJ24" s="322">
        <v>100</v>
      </c>
      <c r="AK24" s="322">
        <v>100</v>
      </c>
      <c r="AL24" s="325">
        <v>100</v>
      </c>
      <c r="AM24" s="325">
        <v>100</v>
      </c>
      <c r="AN24" s="325">
        <v>100</v>
      </c>
      <c r="AO24" s="324">
        <v>100</v>
      </c>
      <c r="AP24" s="325">
        <v>100</v>
      </c>
      <c r="AQ24" s="325">
        <v>100</v>
      </c>
      <c r="AR24" s="325">
        <v>100</v>
      </c>
      <c r="AS24" s="324">
        <v>100</v>
      </c>
      <c r="AT24" s="325">
        <v>100</v>
      </c>
      <c r="AU24" s="325">
        <v>100</v>
      </c>
      <c r="AV24" s="325">
        <v>100</v>
      </c>
      <c r="AW24" s="324">
        <v>100</v>
      </c>
      <c r="AX24" s="325">
        <v>100</v>
      </c>
      <c r="AY24" s="325">
        <v>100</v>
      </c>
      <c r="AZ24" s="325">
        <v>100</v>
      </c>
      <c r="BA24" s="324">
        <v>100</v>
      </c>
    </row>
    <row r="25" spans="1:53" s="302" customFormat="1" ht="2.25" customHeight="1">
      <c r="A25" s="323"/>
      <c r="B25" s="322"/>
      <c r="C25" s="322"/>
      <c r="D25" s="314"/>
      <c r="E25" s="322"/>
      <c r="F25" s="322"/>
      <c r="G25" s="321"/>
      <c r="H25" s="322"/>
      <c r="I25" s="322"/>
      <c r="J25" s="322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0"/>
      <c r="V25" s="321"/>
      <c r="W25" s="321"/>
      <c r="X25" s="321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</row>
    <row r="26" spans="1:53" s="302" customFormat="1" ht="21" customHeight="1">
      <c r="A26" s="319" t="s">
        <v>65</v>
      </c>
      <c r="B26" s="313">
        <f>B8*100/$B$6</f>
        <v>3.0547234582208178</v>
      </c>
      <c r="C26" s="313">
        <f>C8*100/$C$6</f>
        <v>1.9291145163176979</v>
      </c>
      <c r="D26" s="314" t="s">
        <v>20</v>
      </c>
      <c r="E26" s="313">
        <f>E8*100/$E$6</f>
        <v>1.6484714542169518</v>
      </c>
      <c r="F26" s="313">
        <f>F8*100/$F$6</f>
        <v>3.37758526034172</v>
      </c>
      <c r="G26" s="313">
        <f>SUM(G8*100/G6)</f>
        <v>3.0926242329551479</v>
      </c>
      <c r="H26" s="313">
        <f>H8*100/$H$6</f>
        <v>2.1209891999882706</v>
      </c>
      <c r="I26" s="313">
        <f>I8*100/$I$6</f>
        <v>1.5645935082335654</v>
      </c>
      <c r="J26" s="313">
        <f>J8*100/$J$6</f>
        <v>4.9103915713273469</v>
      </c>
      <c r="K26" s="313">
        <f>SUM(K8*100/K6)</f>
        <v>3.8959369037040945</v>
      </c>
      <c r="L26" s="313">
        <f>SUM(L8*100/L6)</f>
        <v>3.1553679851979597</v>
      </c>
      <c r="M26" s="313">
        <f>SUM(M8*100/M6)</f>
        <v>3.4277349503519101</v>
      </c>
      <c r="N26" s="313">
        <f>SUM(N8*100/N6)</f>
        <v>3.852028541652889</v>
      </c>
      <c r="O26" s="313">
        <f>SUM(O8*100/O6)</f>
        <v>3.2263540639122756</v>
      </c>
      <c r="P26" s="313">
        <f>SUM(P8*100/P6)</f>
        <v>2.4488701601163148</v>
      </c>
      <c r="Q26" s="313">
        <f>SUM(Q8*100/Q6)</f>
        <v>3.1386984759997927</v>
      </c>
      <c r="R26" s="313">
        <f>SUM(R8*100/R6)</f>
        <v>2.9588325746009509</v>
      </c>
      <c r="S26" s="313">
        <f>SUM(S8*100/S6)</f>
        <v>1.3398670576349776</v>
      </c>
      <c r="T26" s="313">
        <f>SUM(T8*100/T6)</f>
        <v>2.5227876282772321</v>
      </c>
      <c r="U26" s="313">
        <f>SUM(U8*100/U6)</f>
        <v>2.7948314260073159</v>
      </c>
      <c r="V26" s="313">
        <f>SUM(V8*100/V6)</f>
        <v>3.1072582671898776</v>
      </c>
      <c r="W26" s="313">
        <f>SUM(W8*100/W6)</f>
        <v>2.6862246700541226</v>
      </c>
      <c r="X26" s="313">
        <f>SUM(X8*100/X6)</f>
        <v>3.6840757980364378</v>
      </c>
      <c r="Y26" s="313">
        <f>SUM(Y8*100/Y6)</f>
        <v>2.7816506341100142</v>
      </c>
      <c r="Z26" s="313">
        <f>SUM(Z8*100/Z6)</f>
        <v>3.511491225952478</v>
      </c>
      <c r="AA26" s="313">
        <f>SUM(AA8*100/AA6)</f>
        <v>3.1374790648825002</v>
      </c>
      <c r="AB26" s="313">
        <f>SUM(AB8*100/AB6)</f>
        <v>3.6289521765980801</v>
      </c>
      <c r="AC26" s="313">
        <f>SUM(AC8*100/AC6)</f>
        <v>3.9384865822844501</v>
      </c>
      <c r="AD26" s="313">
        <f>SUM(AD8*100/AD6)</f>
        <v>2.5637351366471517</v>
      </c>
      <c r="AE26" s="313">
        <f>SUM(AE8*100/AE6)</f>
        <v>2.9778826897669139</v>
      </c>
      <c r="AF26" s="313">
        <f>SUM(AF8*100/AF6)</f>
        <v>3.3178487005741593</v>
      </c>
      <c r="AG26" s="313">
        <f>SUM(AG8*100/AG6)</f>
        <v>2.6421154544591299</v>
      </c>
      <c r="AH26" s="313">
        <f>SUM(AH8*100/AH6)</f>
        <v>1.9332505594088807</v>
      </c>
      <c r="AI26" s="313">
        <f>SUM(AI8*100/AI6)-0.04</f>
        <v>2.5366441160614044</v>
      </c>
      <c r="AJ26" s="313">
        <f>SUM(AJ8*100/AJ6)</f>
        <v>3.0943942126750112</v>
      </c>
      <c r="AK26" s="313">
        <f>SUM(AK8*100/AK6)</f>
        <v>2.304409311752551</v>
      </c>
      <c r="AL26" s="313">
        <f>SUM(AL8*100/AL6)</f>
        <v>2.481418025637173</v>
      </c>
      <c r="AM26" s="313">
        <f>SUM(AM8*100/AM6)</f>
        <v>2.4633961454745767</v>
      </c>
      <c r="AN26" s="313">
        <f>SUM(AN8*100/AN6)</f>
        <v>2.042674549801915</v>
      </c>
      <c r="AO26" s="313">
        <f>SUM(AO8*100/AO6)</f>
        <v>2.407700980642836</v>
      </c>
      <c r="AP26" s="313">
        <f>SUM(AP8*100/AP6)</f>
        <v>1.6839759144073441</v>
      </c>
      <c r="AQ26" s="313">
        <f>SUM(AQ8*100/AQ6)</f>
        <v>1.7635688716468347</v>
      </c>
      <c r="AR26" s="313">
        <f>SUM(AR8*100/AR6)</f>
        <v>2.2821534375319237</v>
      </c>
      <c r="AS26" s="313">
        <f>SUM(AS8*100/AS6)</f>
        <v>2.1878266333919094</v>
      </c>
      <c r="AT26" s="313">
        <f>SUM(AT8*100/AT6)</f>
        <v>2.3530189782966944</v>
      </c>
      <c r="AU26" s="313">
        <f>SUM(AU8*100/AU6)</f>
        <v>2.1727717641751751</v>
      </c>
      <c r="AV26" s="313">
        <f>SUM(AV8*100/AV6)</f>
        <v>2.9995976042875556</v>
      </c>
      <c r="AW26" s="313">
        <f>SUM(AW8*100/AW6)</f>
        <v>3.0669017609716884</v>
      </c>
      <c r="AX26" s="313">
        <f>SUM(AX8*100/AX6)</f>
        <v>2.4711691238870732</v>
      </c>
      <c r="AY26" s="313">
        <f>SUM(AY8*100/AY6)</f>
        <v>2.0753114797300265</v>
      </c>
      <c r="AZ26" s="313">
        <f>SUM(AZ8*100/AZ6)</f>
        <v>1.9761135668969392</v>
      </c>
      <c r="BA26" s="313">
        <f>SUM(BA8*100/BA6)</f>
        <v>2.0581859502217759</v>
      </c>
    </row>
    <row r="27" spans="1:53" s="302" customFormat="1" ht="21" customHeight="1">
      <c r="A27" s="302" t="s">
        <v>66</v>
      </c>
      <c r="B27" s="313">
        <f>B9*100/$B$6</f>
        <v>31.008114771124642</v>
      </c>
      <c r="C27" s="313">
        <f>C9*100/$C$6</f>
        <v>31.360593553130691</v>
      </c>
      <c r="D27" s="314" t="s">
        <v>20</v>
      </c>
      <c r="E27" s="313">
        <f>E9*100/$E$6</f>
        <v>33.544840751958724</v>
      </c>
      <c r="F27" s="313">
        <v>31.7</v>
      </c>
      <c r="G27" s="313">
        <f>SUM(G9*100/G6)</f>
        <v>31.085621628352584</v>
      </c>
      <c r="H27" s="313">
        <f>H9*100/$H$6</f>
        <v>31.172969754612414</v>
      </c>
      <c r="I27" s="313">
        <f>I9*100/$I$6</f>
        <v>31.937864753926359</v>
      </c>
      <c r="J27" s="313">
        <f>J9*100/$J$6</f>
        <v>29.405550991578231</v>
      </c>
      <c r="K27" s="313">
        <f>SUM(K9*100/K6)</f>
        <v>31.15629587859052</v>
      </c>
      <c r="L27" s="313">
        <f>SUM(L9*100/L6)</f>
        <v>30.887292519939642</v>
      </c>
      <c r="M27" s="313">
        <f>SUM(M9*100/M6)</f>
        <v>29.898301858574321</v>
      </c>
      <c r="N27" s="313">
        <f>SUM(N9*100/N6)</f>
        <v>28.819316012834165</v>
      </c>
      <c r="O27" s="313">
        <f>SUM(O9*100/O6)</f>
        <v>29.935674795255903</v>
      </c>
      <c r="P27" s="313">
        <f>SUM(P9*100/P6)</f>
        <v>31.786602786024794</v>
      </c>
      <c r="Q27" s="313">
        <f>SUM(Q9*100/Q6)</f>
        <v>27.40959062668496</v>
      </c>
      <c r="R27" s="313">
        <f>SUM(R9*100/R6)</f>
        <v>30.377798514419062</v>
      </c>
      <c r="S27" s="313">
        <f>SUM(S9*100/S6)</f>
        <v>27.035900696155831</v>
      </c>
      <c r="T27" s="313">
        <f>SUM(T9*100/T6)</f>
        <v>30.691454001139196</v>
      </c>
      <c r="U27" s="313">
        <f>SUM(U9*100/U6)</f>
        <v>31.412881037900309</v>
      </c>
      <c r="V27" s="313">
        <f>SUM(V9*100/V6)</f>
        <v>33.414714024787223</v>
      </c>
      <c r="W27" s="313">
        <f>SUM(W9*100/W6)</f>
        <v>34.078743772053834</v>
      </c>
      <c r="X27" s="313">
        <f>SUM(X9*100/X6)</f>
        <v>32.68675903667981</v>
      </c>
      <c r="Y27" s="313">
        <f>SUM(Y9*100/Y6)</f>
        <v>32.426139684214938</v>
      </c>
      <c r="Z27" s="313">
        <f>SUM(Z9*100/Z6)</f>
        <v>31.28736120342182</v>
      </c>
      <c r="AA27" s="313">
        <f>SUM(AA9*100/AA6)</f>
        <v>31.761687861396847</v>
      </c>
      <c r="AB27" s="313">
        <f>SUM(AB9*100/AB6)</f>
        <v>31.057654674759174</v>
      </c>
      <c r="AC27" s="313">
        <f>SUM(AC9*100/AC6)</f>
        <v>30.205293110968768</v>
      </c>
      <c r="AD27" s="313">
        <f>SUM(AD9*100/AD6)</f>
        <v>30.380864982112449</v>
      </c>
      <c r="AE27" s="313">
        <f>SUM(AE9*100/AE6)</f>
        <v>30.71641652020659</v>
      </c>
      <c r="AF27" s="313">
        <f>SUM(AF9*100/AF6)</f>
        <v>30.577088294734409</v>
      </c>
      <c r="AG27" s="313">
        <f>SUM(AG9*100/AG6)</f>
        <v>31.52433013447726</v>
      </c>
      <c r="AH27" s="313">
        <f>SUM(AH9*100/AH6)</f>
        <v>30.975450584651991</v>
      </c>
      <c r="AI27" s="313">
        <f>SUM(AI9*100/AI6)</f>
        <v>30.825297409425701</v>
      </c>
      <c r="AJ27" s="313">
        <f>SUM(AJ9*100/AJ6)</f>
        <v>31.912826756805465</v>
      </c>
      <c r="AK27" s="313">
        <f>SUM(AK9*100/AK6)</f>
        <v>33.197562569835945</v>
      </c>
      <c r="AL27" s="313">
        <f>SUM(AL9*100/AL6)</f>
        <v>29.449380340671155</v>
      </c>
      <c r="AM27" s="313">
        <f>SUM(AM9*100/AM6)</f>
        <v>30.85443523914681</v>
      </c>
      <c r="AN27" s="313">
        <f>SUM(AN9*100/AN6)</f>
        <v>31.678189970827983</v>
      </c>
      <c r="AO27" s="313">
        <f>SUM(AO9*100/AO6)</f>
        <v>30.28357551095948</v>
      </c>
      <c r="AP27" s="313">
        <f>SUM(AP9*100/AP6)</f>
        <v>29.674616651931249</v>
      </c>
      <c r="AQ27" s="313">
        <f>SUM(AQ9*100/AQ6)</f>
        <v>30.022326859776808</v>
      </c>
      <c r="AR27" s="313">
        <f>SUM(AR9*100/AR6)</f>
        <v>28.255816781713197</v>
      </c>
      <c r="AS27" s="313">
        <f>SUM(AS9*100/AS6)</f>
        <v>28.230609436808034</v>
      </c>
      <c r="AT27" s="313">
        <f>SUM(AT9*100/AT6)</f>
        <v>27.942768976716344</v>
      </c>
      <c r="AU27" s="313">
        <f>SUM(AU9*100/AU6)</f>
        <v>27.790848478602829</v>
      </c>
      <c r="AV27" s="313">
        <f>SUM(AV9*100/AV6)</f>
        <v>27.508801191246825</v>
      </c>
      <c r="AW27" s="313">
        <f>SUM(AW9*100/AW6)</f>
        <v>27.387255335548844</v>
      </c>
      <c r="AX27" s="313">
        <f>SUM(AX9*100/AX6)</f>
        <v>24.623262554578222</v>
      </c>
      <c r="AY27" s="313">
        <f>SUM(AY9*100/AY6)</f>
        <v>25.823560702555767</v>
      </c>
      <c r="AZ27" s="313">
        <f>SUM(AZ9*100/AZ6)</f>
        <v>25.866595383296083</v>
      </c>
      <c r="BA27" s="313">
        <f>SUM(BA9*100/BA6)</f>
        <v>25.868973101616927</v>
      </c>
    </row>
    <row r="28" spans="1:53" s="302" customFormat="1" ht="21" customHeight="1">
      <c r="A28" s="318" t="s">
        <v>67</v>
      </c>
      <c r="B28" s="313">
        <f>B10*100/$B$6</f>
        <v>20.846885283538686</v>
      </c>
      <c r="C28" s="313">
        <f>C10*100/$C$6</f>
        <v>21.325869358153835</v>
      </c>
      <c r="D28" s="314" t="s">
        <v>20</v>
      </c>
      <c r="E28" s="313">
        <f>E10*100/$E$6</f>
        <v>22.295690587265945</v>
      </c>
      <c r="F28" s="313">
        <f>F10*100/$F$6</f>
        <v>19.863420652054959</v>
      </c>
      <c r="G28" s="313">
        <f>SUM(G10*100/G6)</f>
        <v>19.266924615411686</v>
      </c>
      <c r="H28" s="313">
        <f>H10*100/$H$6</f>
        <v>23.022282116042437</v>
      </c>
      <c r="I28" s="313">
        <f>I10*100/$I$6</f>
        <v>23.853881072602828</v>
      </c>
      <c r="J28" s="313">
        <f>J10*100/$J$6</f>
        <v>18.390632387984983</v>
      </c>
      <c r="K28" s="313">
        <f>SUM(K10*100/K6)</f>
        <v>18.817511932066928</v>
      </c>
      <c r="L28" s="313">
        <f>SUM(L10*100/L6)</f>
        <v>18.750822734784794</v>
      </c>
      <c r="M28" s="313">
        <f>SUM(M10*100/M6)</f>
        <v>18.77536222031878</v>
      </c>
      <c r="N28" s="313">
        <f>SUM(N10*100/N6)</f>
        <v>19.796815174782278</v>
      </c>
      <c r="O28" s="313">
        <f>SUM(O10*100/O6)</f>
        <v>18.474731022458766</v>
      </c>
      <c r="P28" s="313">
        <f>SUM(P10*100/P6)</f>
        <v>16.49826533390199</v>
      </c>
      <c r="Q28" s="313">
        <f>SUM(Q10*100/Q6)</f>
        <v>21.387012037610372</v>
      </c>
      <c r="R28" s="313">
        <f>SUM(R10*100/R6)</f>
        <v>20.997241319652453</v>
      </c>
      <c r="S28" s="313">
        <f>SUM(S10*100/S6)</f>
        <v>23.929421029530179</v>
      </c>
      <c r="T28" s="313">
        <f>SUM(T10*100/T6)</f>
        <v>21.929265774115077</v>
      </c>
      <c r="U28" s="313">
        <f>SUM(U10*100/U6)</f>
        <v>21.335847704310599</v>
      </c>
      <c r="V28" s="313">
        <f>SUM(V10*100/V6)</f>
        <v>18.54267712297241</v>
      </c>
      <c r="W28" s="313">
        <f>SUM(W10*100/W6)</f>
        <v>17.141722680916185</v>
      </c>
      <c r="X28" s="313">
        <f>SUM(X10*100/X6)</f>
        <v>19.523873222403758</v>
      </c>
      <c r="Y28" s="313">
        <f>SUM(Y10*100/Y6)</f>
        <v>20.292457506121632</v>
      </c>
      <c r="Z28" s="313">
        <f>SUM(Z10*100/Z6)</f>
        <v>19.479632000922312</v>
      </c>
      <c r="AA28" s="313">
        <f>SUM(AA10*100/AA6)</f>
        <v>18.356960794301614</v>
      </c>
      <c r="AB28" s="313">
        <f>SUM(AB10*100/AB6)</f>
        <v>19.435435162276235</v>
      </c>
      <c r="AC28" s="313">
        <f>SUM(AC10*100/AC6)</f>
        <v>19.877404441265814</v>
      </c>
      <c r="AD28" s="313">
        <f>SUM(AD10*100/AD6)</f>
        <v>20.737830821551434</v>
      </c>
      <c r="AE28" s="313">
        <f>SUM(AE10*100/AE6)</f>
        <v>19.394304847767312</v>
      </c>
      <c r="AF28" s="313">
        <f>SUM(AF10*100/AF6)</f>
        <v>19.602379317337334</v>
      </c>
      <c r="AG28" s="313">
        <f>SUM(AG10*100/AG6)</f>
        <v>19.300379535805291</v>
      </c>
      <c r="AH28" s="313">
        <f>SUM(AH10*100/AH6)</f>
        <v>20.359890456636151</v>
      </c>
      <c r="AI28" s="313">
        <f>SUM(AI10*100/AI6)</f>
        <v>19.625380697261914</v>
      </c>
      <c r="AJ28" s="313">
        <f>SUM(AJ10*100/AJ6)</f>
        <v>19.890999258122918</v>
      </c>
      <c r="AK28" s="313">
        <f>SUM(AK10*100/AK6)</f>
        <v>17.528389578780317</v>
      </c>
      <c r="AL28" s="313">
        <f>SUM(AL10*100/AL6)</f>
        <v>19.316228225087276</v>
      </c>
      <c r="AM28" s="313">
        <f>SUM(AM10*100/AM6)</f>
        <v>18.058697787559929</v>
      </c>
      <c r="AN28" s="313">
        <f>SUM(AN10*100/AN6)</f>
        <v>18.301982021307069</v>
      </c>
      <c r="AO28" s="313">
        <f>SUM(AO10*100/AO6)</f>
        <v>20.16987743790926</v>
      </c>
      <c r="AP28" s="313">
        <f>SUM(AP10*100/AP6)</f>
        <v>19.969834586817576</v>
      </c>
      <c r="AQ28" s="313">
        <f>SUM(AQ10*100/AQ6)</f>
        <v>18.438638119949935</v>
      </c>
      <c r="AR28" s="313">
        <f>SUM(AR10*100/AR6)</f>
        <v>20.032641108338318</v>
      </c>
      <c r="AS28" s="313">
        <f>SUM(AS10*100/AS6)</f>
        <v>20.978174748895071</v>
      </c>
      <c r="AT28" s="313">
        <f>SUM(AT10*100/AT6)</f>
        <v>20.268153718902976</v>
      </c>
      <c r="AU28" s="313">
        <f>SUM(AU10*100/AU6)</f>
        <v>17.885190852756288</v>
      </c>
      <c r="AV28" s="313">
        <f>SUM(AV10*100/AV6)</f>
        <v>17.328918644140284</v>
      </c>
      <c r="AW28" s="313">
        <f>SUM(AW10*100/AW6)</f>
        <v>20.191202042754373</v>
      </c>
      <c r="AX28" s="313">
        <f>SUM(AX10*100/AX6)</f>
        <v>19.977460695378564</v>
      </c>
      <c r="AY28" s="313">
        <f>SUM(AY10*100/AY6)</f>
        <v>19.02288332869713</v>
      </c>
      <c r="AZ28" s="313">
        <f>SUM(AZ10*100/AZ6)</f>
        <v>18.91139366469044</v>
      </c>
      <c r="BA28" s="313">
        <f>SUM(BA10*100/BA6)</f>
        <v>19.726992750530968</v>
      </c>
    </row>
    <row r="29" spans="1:53" s="302" customFormat="1" ht="21" customHeight="1">
      <c r="A29" s="318" t="s">
        <v>68</v>
      </c>
      <c r="B29" s="313">
        <f>B11*100/$B$6</f>
        <v>15.391416764149602</v>
      </c>
      <c r="C29" s="313">
        <f>C11*100/$C$6</f>
        <v>19.140617950303294</v>
      </c>
      <c r="D29" s="314" t="s">
        <v>20</v>
      </c>
      <c r="E29" s="313">
        <f>E11*100/$E$6</f>
        <v>16.754281980018177</v>
      </c>
      <c r="F29" s="313">
        <f>F11*100/$F$6</f>
        <v>18.662819734760678</v>
      </c>
      <c r="G29" s="313">
        <f>SUM(G11*100/G6)</f>
        <v>19.549032444062856</v>
      </c>
      <c r="H29" s="313">
        <f>H11*100/$H$6</f>
        <v>15.043265068827605</v>
      </c>
      <c r="I29" s="313">
        <f>I11*100/$I$6</f>
        <v>15.20057276975896</v>
      </c>
      <c r="J29" s="313">
        <f>J11*100/$J$6</f>
        <v>18.341012019768371</v>
      </c>
      <c r="K29" s="313">
        <f>SUM(K11*100/K6)</f>
        <v>19.291431763066022</v>
      </c>
      <c r="L29" s="313">
        <f>SUM(L11*100/L6)</f>
        <v>20.353506502838254</v>
      </c>
      <c r="M29" s="313">
        <f>SUM(M11*100/M6)</f>
        <v>19.250995907601528</v>
      </c>
      <c r="N29" s="313">
        <f>SUM(N11*100/N6)</f>
        <v>20.515464622808238</v>
      </c>
      <c r="O29" s="313">
        <f>SUM(O11*100/O6)</f>
        <v>20.344979468238858</v>
      </c>
      <c r="P29" s="313">
        <f>SUM(P11*100/P6)</f>
        <v>20.861305216301869</v>
      </c>
      <c r="Q29" s="313">
        <f>SUM(Q11*100/Q6)</f>
        <v>21.527128040203564</v>
      </c>
      <c r="R29" s="313">
        <f>SUM(R11*100/R6)</f>
        <v>18.759473797508189</v>
      </c>
      <c r="S29" s="313">
        <f>SUM(S11*100/S6)</f>
        <v>17.408249141098977</v>
      </c>
      <c r="T29" s="313">
        <f>SUM(T11*100/T6)</f>
        <v>19.067495599126122</v>
      </c>
      <c r="U29" s="313">
        <f>SUM(U11*100/U6)</f>
        <v>17.418319340463761</v>
      </c>
      <c r="V29" s="313">
        <f>SUM(V11*100/V6)</f>
        <v>17.994680819486248</v>
      </c>
      <c r="W29" s="313">
        <f>SUM(W11*100/W6)</f>
        <v>19.59593643653017</v>
      </c>
      <c r="X29" s="313">
        <f>SUM(X11*100/X6)</f>
        <v>19.916531336535186</v>
      </c>
      <c r="Y29" s="313">
        <f>SUM(Y11*100/Y6)</f>
        <v>18.41643877503212</v>
      </c>
      <c r="Z29" s="313">
        <f>SUM(Z11*100/Z6)</f>
        <v>18.830268234533637</v>
      </c>
      <c r="AA29" s="313">
        <f>SUM(AA11*100/AA6)</f>
        <v>19.958316784562815</v>
      </c>
      <c r="AB29" s="313">
        <f>SUM(AB11*100/AB6)</f>
        <v>18.334543537861833</v>
      </c>
      <c r="AC29" s="313">
        <f>SUM(AC11*100/AC6)</f>
        <v>18.665979145463048</v>
      </c>
      <c r="AD29" s="313">
        <f>SUM(AD11*100/AD6)</f>
        <v>19.576587673538693</v>
      </c>
      <c r="AE29" s="313">
        <f>SUM(AE11*100/AE6)</f>
        <v>17.950147195442703</v>
      </c>
      <c r="AF29" s="313">
        <f>SUM(AF11*100/AF6)</f>
        <v>18.110407847985446</v>
      </c>
      <c r="AG29" s="313">
        <f>SUM(AG11*100/AG6)</f>
        <v>19.578056428173557</v>
      </c>
      <c r="AH29" s="313">
        <f>SUM(AH11*100/AH6)</f>
        <v>19.329570348540841</v>
      </c>
      <c r="AI29" s="313">
        <f>SUM(AI11*100/AI6)</f>
        <v>17.533018201618148</v>
      </c>
      <c r="AJ29" s="313">
        <f>SUM(AJ11*100/AJ6)-0.04</f>
        <v>18.019212438138247</v>
      </c>
      <c r="AK29" s="313">
        <f>SUM(AK11*100/AK6)</f>
        <v>19.369691064562218</v>
      </c>
      <c r="AL29" s="313">
        <f>SUM(AL11*100/AL6)</f>
        <v>19.390136576779803</v>
      </c>
      <c r="AM29" s="313">
        <f>SUM(AM11*100/AM6)</f>
        <v>18.138596196172774</v>
      </c>
      <c r="AN29" s="313">
        <f>SUM(AN11*100/AN6)</f>
        <v>19.798338929346038</v>
      </c>
      <c r="AO29" s="313">
        <f>SUM(AO11*100/AO6)</f>
        <v>18.113717554407778</v>
      </c>
      <c r="AP29" s="313">
        <f>SUM(AP11*100/AP6)</f>
        <v>18.299587927603007</v>
      </c>
      <c r="AQ29" s="313">
        <f>SUM(AQ11*100/AQ6)</f>
        <v>18.239312013485655</v>
      </c>
      <c r="AR29" s="313">
        <f>SUM(AR11*100/AR6)</f>
        <v>19.302569940020138</v>
      </c>
      <c r="AS29" s="313">
        <f>SUM(AS11*100/AS6)</f>
        <v>21.238046646592217</v>
      </c>
      <c r="AT29" s="313">
        <f>SUM(AT11*100/AT6)</f>
        <v>19.291789427412599</v>
      </c>
      <c r="AU29" s="313">
        <f>SUM(AU11*100/AU6)</f>
        <v>20.499633480265295</v>
      </c>
      <c r="AV29" s="313">
        <f>SUM(AV11*100/AV6)</f>
        <v>20.367395061224411</v>
      </c>
      <c r="AW29" s="313">
        <f>SUM(AW11*100/AW6)</f>
        <v>19.214342437405655</v>
      </c>
      <c r="AX29" s="313">
        <f>SUM(AX11*100/AX6)</f>
        <v>19.846795229245625</v>
      </c>
      <c r="AY29" s="313">
        <f>SUM(AY11*100/AY6)</f>
        <v>18.651352551620477</v>
      </c>
      <c r="AZ29" s="313">
        <f>SUM(AZ11*100/AZ6)</f>
        <v>20.414539466174709</v>
      </c>
      <c r="BA29" s="313">
        <f>SUM(BA11*100/BA6)</f>
        <v>20.727287801238237</v>
      </c>
    </row>
    <row r="30" spans="1:53" s="302" customFormat="1" ht="21" customHeight="1">
      <c r="A30" s="302" t="s">
        <v>69</v>
      </c>
      <c r="B30" s="313">
        <f>B12*100/$B$6</f>
        <v>16.936270758399022</v>
      </c>
      <c r="C30" s="313">
        <f>C12*100/$C$6</f>
        <v>13.793894022692713</v>
      </c>
      <c r="D30" s="314" t="s">
        <v>20</v>
      </c>
      <c r="E30" s="313">
        <f>E12*100/$E$6</f>
        <v>12.799918698820941</v>
      </c>
      <c r="F30" s="313">
        <f>F12*100/$F$6</f>
        <v>13.966545711409561</v>
      </c>
      <c r="G30" s="313">
        <f>SUM(G12*100/G6)</f>
        <v>15.082617740623455</v>
      </c>
      <c r="H30" s="313">
        <f>H12*100/$H$6</f>
        <v>14.72293654244082</v>
      </c>
      <c r="I30" s="313">
        <f>I12*100/$I$6</f>
        <v>13.892109570403889</v>
      </c>
      <c r="J30" s="313">
        <f>J12*100/$J$6</f>
        <v>15.486986390085159</v>
      </c>
      <c r="K30" s="313">
        <f>SUM(K12*100/K6)</f>
        <v>15.9714354836618</v>
      </c>
      <c r="L30" s="313">
        <f>SUM(L12*100/L6)</f>
        <v>15.659366691815764</v>
      </c>
      <c r="M30" s="313">
        <f>SUM(M12*100/M6)</f>
        <v>16.345257032535248</v>
      </c>
      <c r="N30" s="313">
        <f>SUM(N12*100/N6)</f>
        <v>15.086530282748445</v>
      </c>
      <c r="O30" s="313">
        <f>SUM(O12*100/O6)</f>
        <v>15.745773210066298</v>
      </c>
      <c r="P30" s="313">
        <f>SUM(P12*100/P6)</f>
        <v>16.378351403823931</v>
      </c>
      <c r="Q30" s="313">
        <f>SUM(Q12*100/Q6)</f>
        <v>15.459177689095229</v>
      </c>
      <c r="R30" s="313">
        <f>SUM(R12*100/R6)</f>
        <v>15.300061795632942</v>
      </c>
      <c r="S30" s="313">
        <f>SUM(S12*100/S6)</f>
        <v>16.812890472458591</v>
      </c>
      <c r="T30" s="313">
        <f>SUM(T12*100/T6)</f>
        <v>14.976455138847509</v>
      </c>
      <c r="U30" s="313">
        <f>SUM(U12*100/U6)</f>
        <v>16.052550517189665</v>
      </c>
      <c r="V30" s="313">
        <f>SUM(V12*100/V6)</f>
        <v>15.355720196857172</v>
      </c>
      <c r="W30" s="313">
        <f>SUM(W12*100/W6)</f>
        <v>15.502084011738658</v>
      </c>
      <c r="X30" s="313">
        <f>SUM(X12*100/X6)</f>
        <v>14.803471526375802</v>
      </c>
      <c r="Y30" s="313">
        <f>SUM(Y12*100/Y6)</f>
        <v>15.818350845438921</v>
      </c>
      <c r="Z30" s="313">
        <f>SUM(Z12*100/Z6)</f>
        <v>15.979374078364115</v>
      </c>
      <c r="AA30" s="313">
        <f>SUM(AA12*100/AA6)</f>
        <v>15.830005123351707</v>
      </c>
      <c r="AB30" s="313">
        <f>SUM(AB12*100/AB6)</f>
        <v>15.696278326062927</v>
      </c>
      <c r="AC30" s="313">
        <f>SUM(AC12*100/AC6)</f>
        <v>16.083547825540229</v>
      </c>
      <c r="AD30" s="313">
        <f>SUM(AD12*100/AD6)</f>
        <v>15.186997296010757</v>
      </c>
      <c r="AE30" s="313">
        <f>SUM(AE12*100/AE6)</f>
        <v>16.871710776275183</v>
      </c>
      <c r="AF30" s="313">
        <f>SUM(AF12*100/AF6)</f>
        <v>16.144248072829367</v>
      </c>
      <c r="AG30" s="313">
        <f>SUM(AG12*100/AG6)</f>
        <v>14.786575964429165</v>
      </c>
      <c r="AH30" s="313">
        <f>SUM(AH12*100/AH6)</f>
        <v>17.321079661585756</v>
      </c>
      <c r="AI30" s="313">
        <f>SUM(AI12*100/AI6)</f>
        <v>18.616444362112443</v>
      </c>
      <c r="AJ30" s="313">
        <f>SUM(AJ12*100/AJ6)</f>
        <v>16.005497411732989</v>
      </c>
      <c r="AK30" s="313">
        <f>SUM(AK12*100/AK6)</f>
        <v>16.275796892535261</v>
      </c>
      <c r="AL30" s="313">
        <f>SUM(AL12*100/AL6)</f>
        <v>17.288212325278707</v>
      </c>
      <c r="AM30" s="313">
        <f>SUM(AM12*100/AM6)</f>
        <v>18.654596595908558</v>
      </c>
      <c r="AN30" s="313">
        <f>SUM(AN12*100/AN6)</f>
        <v>16.628293544156534</v>
      </c>
      <c r="AO30" s="313">
        <f>SUM(AO12*100/AO6)</f>
        <v>16.876700052843184</v>
      </c>
      <c r="AP30" s="313">
        <f>SUM(AP12*100/AP6)</f>
        <v>17.717944623389975</v>
      </c>
      <c r="AQ30" s="313">
        <f>SUM(AQ12*100/AQ6)</f>
        <v>18.626138971562938</v>
      </c>
      <c r="AR30" s="313">
        <f>SUM(AR12*100/AR6)</f>
        <v>18.452052595478889</v>
      </c>
      <c r="AS30" s="313">
        <f>SUM(AS12*100/AS6)</f>
        <v>16.339293574505607</v>
      </c>
      <c r="AT30" s="313">
        <f>SUM(AT12*100/AT6)</f>
        <v>17.259362598814398</v>
      </c>
      <c r="AU30" s="313">
        <f>SUM(AU12*100/AU6)</f>
        <v>19.372560991022699</v>
      </c>
      <c r="AV30" s="313">
        <f>SUM(AV12*100/AV6)</f>
        <v>19.229072021056766</v>
      </c>
      <c r="AW30" s="313">
        <f>SUM(AW12*100/AW6)</f>
        <v>18.115059481515971</v>
      </c>
      <c r="AX30" s="313">
        <f>SUM(AX12*100/AX6)</f>
        <v>18.815045864750502</v>
      </c>
      <c r="AY30" s="313">
        <f>SUM(AY12*100/AY6)</f>
        <v>18.804542504233588</v>
      </c>
      <c r="AZ30" s="313">
        <f>SUM(AZ12*100/AZ6)</f>
        <v>17.649951171541545</v>
      </c>
      <c r="BA30" s="313">
        <f>SUM(BA12*100/BA6)</f>
        <v>17.143128854252264</v>
      </c>
    </row>
    <row r="31" spans="1:53" s="302" customFormat="1" ht="21" customHeight="1">
      <c r="A31" s="315" t="s">
        <v>70</v>
      </c>
      <c r="B31" s="313">
        <f>B13*100/$B$6</f>
        <v>12.91544129705146</v>
      </c>
      <c r="C31" s="313">
        <f>C13*100/$C$6</f>
        <v>11.558444596694684</v>
      </c>
      <c r="D31" s="314" t="s">
        <v>20</v>
      </c>
      <c r="E31" s="313">
        <f>E13*100/$E$6</f>
        <v>10.624147350668579</v>
      </c>
      <c r="F31" s="313">
        <f>F13*100/$F$6</f>
        <v>11.126506476321923</v>
      </c>
      <c r="G31" s="313">
        <f>SUM(G13*100/G6)</f>
        <v>12.322700015926291</v>
      </c>
      <c r="H31" s="313">
        <f>H13*100/$H$6</f>
        <v>12.978436949783962</v>
      </c>
      <c r="I31" s="313">
        <f>I13*100/$I$6</f>
        <v>11.954626913538952</v>
      </c>
      <c r="J31" s="313">
        <f>J13*100/$J$6</f>
        <v>12.554247165590809</v>
      </c>
      <c r="K31" s="313">
        <f>SUM(K13*100/K6)</f>
        <v>13.659305670644098</v>
      </c>
      <c r="L31" s="313">
        <f>SUM(L13*100/L6)</f>
        <v>12.838254922037795</v>
      </c>
      <c r="M31" s="313">
        <f>SUM(M13*100/M6)</f>
        <v>13.099436672059749</v>
      </c>
      <c r="N31" s="313">
        <f>SUM(N13*100/N6)</f>
        <v>12.213255130359826</v>
      </c>
      <c r="O31" s="313">
        <f>SUM(O13*100/O6)</f>
        <v>12.790530155307287</v>
      </c>
      <c r="P31" s="313">
        <f>SUM(P13*100/P6)</f>
        <v>13.540633239204878</v>
      </c>
      <c r="Q31" s="313">
        <f>SUM(Q13*100/Q6)</f>
        <v>13.410674457152782</v>
      </c>
      <c r="R31" s="313">
        <f>SUM(R13*100/R6)</f>
        <v>13.075468724598789</v>
      </c>
      <c r="S31" s="313">
        <f>SUM(S13*100/S6)</f>
        <v>13.305673224887496</v>
      </c>
      <c r="T31" s="313">
        <f>SUM(T13*100/T6)</f>
        <v>12.204908455378783</v>
      </c>
      <c r="U31" s="313">
        <f>SUM(U13*100/U6)</f>
        <v>13.396242331516602</v>
      </c>
      <c r="V31" s="313">
        <f>SUM(V13*100/V6)</f>
        <v>12.908808111750284</v>
      </c>
      <c r="W31" s="313">
        <f>SUM(W13*100/W6)</f>
        <v>12.990725591861805</v>
      </c>
      <c r="X31" s="313">
        <f>SUM(X13*100/X6)</f>
        <v>11.710411123890005</v>
      </c>
      <c r="Y31" s="313">
        <f>SUM(Y13*100/Y6)</f>
        <v>13.242061603485817</v>
      </c>
      <c r="Z31" s="313">
        <f>SUM(Z13*100/Z6)</f>
        <v>13.632204895453912</v>
      </c>
      <c r="AA31" s="313">
        <f>SUM(AA13*100/AA6)</f>
        <v>13.391259689951095</v>
      </c>
      <c r="AB31" s="313">
        <f>SUM(AB13*100/AB6)</f>
        <v>13.158142624504869</v>
      </c>
      <c r="AC31" s="313">
        <f>SUM(AC13*100/AC6)</f>
        <v>13.547100032615916</v>
      </c>
      <c r="AD31" s="313">
        <f>SUM(AD13*100/AD6)</f>
        <v>12.574629612362775</v>
      </c>
      <c r="AE31" s="313">
        <f>SUM(AE13*100/AE6)</f>
        <v>14.193807741426264</v>
      </c>
      <c r="AF31" s="313">
        <f>SUM(AF13*100/AF6)</f>
        <v>13.530114214677354</v>
      </c>
      <c r="AG31" s="313">
        <f>SUM(AG13*100/AG6)</f>
        <v>11.446230143385632</v>
      </c>
      <c r="AH31" s="313">
        <f>SUM(AH13*100/AH6)</f>
        <v>14.378544920508659</v>
      </c>
      <c r="AI31" s="313">
        <f>SUM(AI13*100/AI6)</f>
        <v>15.138053009970591</v>
      </c>
      <c r="AJ31" s="313">
        <f>SUM(AJ13*100/AJ6)</f>
        <v>12.208835223679115</v>
      </c>
      <c r="AK31" s="313">
        <f>SUM(AK13*100/AK6)</f>
        <v>14.323685375663091</v>
      </c>
      <c r="AL31" s="313">
        <f>SUM(AL13*100/AL6)</f>
        <v>13.992046192963731</v>
      </c>
      <c r="AM31" s="313">
        <f>SUM(AM13*100/AM6)</f>
        <v>13.78547350409851</v>
      </c>
      <c r="AN31" s="313">
        <f>SUM(AN13*100/AN6)</f>
        <v>13.273365382929011</v>
      </c>
      <c r="AO31" s="313">
        <f>SUM(AO13*100/AO6)</f>
        <v>14.236148145983552</v>
      </c>
      <c r="AP31" s="313">
        <f>SUM(AP13*100/AP6)</f>
        <v>15.050671662427799</v>
      </c>
      <c r="AQ31" s="313">
        <f>SUM(AQ13*100/AQ6)</f>
        <v>16.114367246671897</v>
      </c>
      <c r="AR31" s="313">
        <f>SUM(AR13*100/AR6)</f>
        <v>15.254440114997884</v>
      </c>
      <c r="AS31" s="313">
        <f>SUM(AS13*100/AS6)</f>
        <v>14.288431055640212</v>
      </c>
      <c r="AT31" s="313">
        <f>SUM(AT13*100/AT6)</f>
        <v>13.862875254010806</v>
      </c>
      <c r="AU31" s="313">
        <f>SUM(AU13*100/AU6)</f>
        <v>16.373807352560874</v>
      </c>
      <c r="AV31" s="313">
        <f>SUM(AV13*100/AV6)</f>
        <v>16.205904136511286</v>
      </c>
      <c r="AW31" s="313">
        <f>SUM(AW13*100/AW6)</f>
        <v>15.435742563960003</v>
      </c>
      <c r="AX31" s="313">
        <f>SUM(AX13*100/AX6)</f>
        <v>15.41857383233609</v>
      </c>
      <c r="AY31" s="313">
        <f>SUM(AY13*100/AY6)</f>
        <v>15.89744715947079</v>
      </c>
      <c r="AZ31" s="313">
        <f>SUM(AZ13*100/AZ6)</f>
        <v>15.372086511735903</v>
      </c>
      <c r="BA31" s="313">
        <f>SUM(BA13*100/BA6)</f>
        <v>14.25148561688763</v>
      </c>
    </row>
    <row r="32" spans="1:53" s="302" customFormat="1" ht="21" customHeight="1">
      <c r="A32" s="315" t="s">
        <v>71</v>
      </c>
      <c r="B32" s="313">
        <f>B14*100/$B$6</f>
        <v>4.0208294613475601</v>
      </c>
      <c r="C32" s="313">
        <f>C14*100/$C$6</f>
        <v>2.235449425998028</v>
      </c>
      <c r="D32" s="314" t="s">
        <v>20</v>
      </c>
      <c r="E32" s="313">
        <f>E14*100/$E$6</f>
        <v>2.17577134815236</v>
      </c>
      <c r="F32" s="313">
        <f>F14*100/$F$6</f>
        <v>2.8400392350876369</v>
      </c>
      <c r="G32" s="313">
        <f>SUM(G14*100/G6)</f>
        <v>2.7599177246971638</v>
      </c>
      <c r="H32" s="313">
        <f>H14*100/$H$6</f>
        <v>1.7306027531041588</v>
      </c>
      <c r="I32" s="313">
        <f>I14*100/$I$6</f>
        <v>1.8943244805828923</v>
      </c>
      <c r="J32" s="313">
        <f>J14*100/$J$6</f>
        <v>2.9327392244943509</v>
      </c>
      <c r="K32" s="313">
        <f>SUM(K14*100/K$6)</f>
        <v>2.2311639248886839</v>
      </c>
      <c r="L32" s="313">
        <f>SUM(L14*100/L$6)</f>
        <v>2.8211117697779695</v>
      </c>
      <c r="M32" s="313">
        <f>SUM(M14*100/M$6)</f>
        <v>3.2343090735226805</v>
      </c>
      <c r="N32" s="313">
        <f>SUM(N14*100/N$6)</f>
        <v>2.8732751523886191</v>
      </c>
      <c r="O32" s="313">
        <f>SUM(O14*100/O$6)</f>
        <v>2.8810075474295154</v>
      </c>
      <c r="P32" s="313">
        <f>SUM(P14*100/P$6)</f>
        <v>2.5242525005405767</v>
      </c>
      <c r="Q32" s="313">
        <f>SUM(Q14*100/Q$6)</f>
        <v>2.0167702761312709</v>
      </c>
      <c r="R32" s="313">
        <f>SUM(R14*100/R$6)</f>
        <v>2.2245930710341546</v>
      </c>
      <c r="S32" s="313">
        <f>SUM(S14*100/S$6)</f>
        <v>3.5072172475710954</v>
      </c>
      <c r="T32" s="313">
        <f>SUM(T14*100/T$6)</f>
        <v>2.7715466834687263</v>
      </c>
      <c r="U32" s="313">
        <f>SUM(U14*100/U$6)</f>
        <v>2.6563081856730646</v>
      </c>
      <c r="V32" s="313">
        <f>SUM(V14*100/V$6)</f>
        <v>2.4469120851068884</v>
      </c>
      <c r="W32" s="313">
        <f>SUM(W14*100/W$6)</f>
        <v>2.5113584198768519</v>
      </c>
      <c r="X32" s="313">
        <f>SUM(X14*100/X$6)</f>
        <v>3.0930604024857966</v>
      </c>
      <c r="Y32" s="313">
        <f>SUM(Y14*100/Y$6)</f>
        <v>2.5762892419531034</v>
      </c>
      <c r="Z32" s="313">
        <f>SUM(Z14*100/Z$6)</f>
        <v>2.3471691829102039</v>
      </c>
      <c r="AA32" s="313">
        <f>SUM(AA14*100/AA$6)</f>
        <v>2.4387454334006113</v>
      </c>
      <c r="AB32" s="313">
        <f>SUM(AB14*100/AB$6)</f>
        <v>2.5381357015580566</v>
      </c>
      <c r="AC32" s="313">
        <f>SUM(AC14*100/AC$6)</f>
        <v>2.5364477929243114</v>
      </c>
      <c r="AD32" s="313">
        <f>SUM(AD14*100/AD$6)</f>
        <v>2.6123676836479808</v>
      </c>
      <c r="AE32" s="313">
        <f>SUM(AE14*100/AE$6)</f>
        <v>2.6779030348489195</v>
      </c>
      <c r="AF32" s="313">
        <f>SUM(AF14*100/AF$6)</f>
        <v>2.6141338581520124</v>
      </c>
      <c r="AG32" s="313">
        <f>SUM(AG14*100/AG$6)</f>
        <v>3.3403458210435324</v>
      </c>
      <c r="AH32" s="313">
        <f>SUM(AH14*100/AH$6)</f>
        <v>2.9009520958142421</v>
      </c>
      <c r="AI32" s="313">
        <f>SUM(AI14*100/AI$6)</f>
        <v>3.4783913521418515</v>
      </c>
      <c r="AJ32" s="313">
        <f>SUM(AJ14*100/AJ$6)</f>
        <v>3.7966621880538742</v>
      </c>
      <c r="AK32" s="313">
        <f>SUM(AK14*100/AK$6)</f>
        <v>1.9521115168721697</v>
      </c>
      <c r="AL32" s="313">
        <f>SUM(AL14*100/AL$6)</f>
        <v>3.2746034316891692</v>
      </c>
      <c r="AM32" s="313">
        <f>SUM(AM14*100/AM$6)</f>
        <v>4.8691230918100477</v>
      </c>
      <c r="AN32" s="313">
        <f>SUM(AN14*100/AN$6)</f>
        <v>3.3549281612275244</v>
      </c>
      <c r="AO32" s="313">
        <f>SUM(AO14*100/AO$6)</f>
        <v>2.6405519068596295</v>
      </c>
      <c r="AP32" s="313">
        <f>SUM(AP14*100/AP$6)</f>
        <v>2.6672729609621775</v>
      </c>
      <c r="AQ32" s="313">
        <f>SUM(AQ14*100/AQ$6)</f>
        <v>2.5117717248910423</v>
      </c>
      <c r="AR32" s="313">
        <f>SUM(AR14*100/AR$6)</f>
        <v>3.1976124804810064</v>
      </c>
      <c r="AS32" s="313">
        <f>SUM(AS14*100/AS$6)</f>
        <v>2.0508625188653964</v>
      </c>
      <c r="AT32" s="313">
        <f>SUM(AT14*100/AT$6)</f>
        <v>3.3742651982220337</v>
      </c>
      <c r="AU32" s="313">
        <f>SUM(AU14*100/AU$6)</f>
        <v>2.9505810844706462</v>
      </c>
      <c r="AV32" s="313">
        <f>SUM(AV14*100/AV$6)</f>
        <v>3.0231678845454777</v>
      </c>
      <c r="AW32" s="313">
        <f>SUM(AW14*100/AW$6)</f>
        <v>2.6793169175559655</v>
      </c>
      <c r="AX32" s="313">
        <f>SUM(AX14*100/AX$6)</f>
        <v>3.3872434176539006</v>
      </c>
      <c r="AY32" s="313">
        <f>SUM(AY14*100/AY$6)</f>
        <v>2.907095344762797</v>
      </c>
      <c r="AZ32" s="313">
        <f>SUM(AZ14*100/AZ$6)</f>
        <v>2.2778646598056422</v>
      </c>
      <c r="BA32" s="313">
        <f>SUM(BA14*100/BA$6)</f>
        <v>2.8825722569428356</v>
      </c>
    </row>
    <row r="33" spans="1:53" s="302" customFormat="1" ht="21" customHeight="1">
      <c r="A33" s="316" t="s">
        <v>154</v>
      </c>
      <c r="B33" s="314" t="s">
        <v>20</v>
      </c>
      <c r="C33" s="314" t="s">
        <v>20</v>
      </c>
      <c r="D33" s="314" t="s">
        <v>20</v>
      </c>
      <c r="E33" s="313">
        <f>E15*100/$E$6</f>
        <v>0</v>
      </c>
      <c r="F33" s="313">
        <f>F15*100/$F$6</f>
        <v>0</v>
      </c>
      <c r="G33" s="314">
        <f>SUM(G15*100/G6)</f>
        <v>0</v>
      </c>
      <c r="H33" s="314">
        <f>H15*100/$H$6</f>
        <v>0</v>
      </c>
      <c r="I33" s="313">
        <f>I15*100/$I$6</f>
        <v>4.3220815144573627E-2</v>
      </c>
      <c r="J33" s="317">
        <f>0*100/$I$6</f>
        <v>0</v>
      </c>
      <c r="K33" s="313">
        <f>SUM(K15*100/K$6)</f>
        <v>8.0965888129018809E-2</v>
      </c>
      <c r="L33" s="313">
        <f>SUM(L15*100/L$6)</f>
        <v>0</v>
      </c>
      <c r="M33" s="313">
        <f>SUM(M15*100/M$6)</f>
        <v>1.1511286952817319E-2</v>
      </c>
      <c r="N33" s="313">
        <f>SUM(N15*100/N$6)</f>
        <v>0</v>
      </c>
      <c r="O33" s="313">
        <f>SUM(O15*100/O$6)</f>
        <v>7.4235507329494618E-2</v>
      </c>
      <c r="P33" s="313">
        <f>SUM(P15*100/P$6)</f>
        <v>0.31346566407847842</v>
      </c>
      <c r="Q33" s="313">
        <f>SUM(Q15*100/Q$6)</f>
        <v>3.1732955811177091E-2</v>
      </c>
      <c r="R33" s="313">
        <f>SUM(R15*100/R$6)</f>
        <v>0</v>
      </c>
      <c r="S33" s="313">
        <f>SUM(S15*100/S$6)</f>
        <v>0</v>
      </c>
      <c r="T33" s="313">
        <f>SUM(T15*100/T$6)</f>
        <v>0</v>
      </c>
      <c r="U33" s="313">
        <f>SUM(U15*100/U$6)</f>
        <v>0</v>
      </c>
      <c r="V33" s="313">
        <f>SUM(V15*100/V$6)</f>
        <v>0</v>
      </c>
      <c r="W33" s="313">
        <f>SUM(W15*100/W$6)</f>
        <v>0</v>
      </c>
      <c r="X33" s="313">
        <f>SUM(X15*100/X$6)</f>
        <v>0</v>
      </c>
      <c r="Y33" s="313">
        <f>SUM(Y15*100/Y$6)</f>
        <v>0</v>
      </c>
      <c r="Z33" s="313">
        <f>SUM(Z15*100/Z$6)</f>
        <v>0</v>
      </c>
      <c r="AA33" s="313">
        <f>SUM(AA15*100/AA$6)</f>
        <v>0</v>
      </c>
      <c r="AB33" s="313">
        <f>SUM(AB15*100/AB$6)</f>
        <v>0</v>
      </c>
      <c r="AC33" s="313">
        <f>SUM(AC15*100/AC$6)</f>
        <v>0</v>
      </c>
      <c r="AD33" s="313">
        <f>SUM(AD15*100/AD$6)</f>
        <v>0</v>
      </c>
      <c r="AE33" s="313">
        <f>SUM(AE15*100/AE$6)</f>
        <v>0</v>
      </c>
      <c r="AF33" s="313">
        <f>SUM(AF15*100/AF$6)</f>
        <v>0</v>
      </c>
      <c r="AG33" s="313">
        <f>SUM(AG15*100/AG$6)</f>
        <v>0</v>
      </c>
      <c r="AH33" s="313">
        <v>0</v>
      </c>
      <c r="AI33" s="313">
        <v>0</v>
      </c>
      <c r="AJ33" s="313">
        <v>0</v>
      </c>
      <c r="AK33" s="313">
        <v>0</v>
      </c>
      <c r="AL33" s="313">
        <v>0</v>
      </c>
      <c r="AM33" s="313">
        <v>0</v>
      </c>
      <c r="AN33" s="313">
        <v>0</v>
      </c>
      <c r="AO33" s="313">
        <v>0</v>
      </c>
      <c r="AP33" s="313">
        <v>0</v>
      </c>
      <c r="AQ33" s="313">
        <v>0</v>
      </c>
      <c r="AR33" s="313">
        <v>0</v>
      </c>
      <c r="AS33" s="313">
        <v>0</v>
      </c>
      <c r="AT33" s="313">
        <v>0</v>
      </c>
      <c r="AU33" s="313">
        <v>0</v>
      </c>
      <c r="AV33" s="313">
        <v>0</v>
      </c>
      <c r="AW33" s="313">
        <v>0</v>
      </c>
      <c r="AX33" s="313">
        <v>0</v>
      </c>
      <c r="AY33" s="313">
        <v>0</v>
      </c>
      <c r="AZ33" s="313">
        <v>0</v>
      </c>
      <c r="BA33" s="313">
        <v>0</v>
      </c>
    </row>
    <row r="34" spans="1:53" s="302" customFormat="1" ht="21" customHeight="1">
      <c r="A34" s="302" t="s">
        <v>75</v>
      </c>
      <c r="B34" s="313">
        <f>B16*100/$B$6+0.1</f>
        <v>12.839152062447386</v>
      </c>
      <c r="C34" s="313">
        <f>C16*100/$C$6+0.03</f>
        <v>12.479910599401768</v>
      </c>
      <c r="D34" s="314" t="s">
        <v>20</v>
      </c>
      <c r="E34" s="313">
        <f>E16*100/$E$6</f>
        <v>12.956796527719264</v>
      </c>
      <c r="F34" s="313">
        <f>F16*100/$F$6</f>
        <v>12.340904342540947</v>
      </c>
      <c r="G34" s="313">
        <f>SUM(G16*100/G6)</f>
        <v>11.889710218226261</v>
      </c>
      <c r="H34" s="313">
        <f>H16*100/$H$6</f>
        <v>13.917557318088457</v>
      </c>
      <c r="I34" s="313">
        <v>13.5</v>
      </c>
      <c r="J34" s="313">
        <f>J16*100/$J$6</f>
        <v>13.465426191074833</v>
      </c>
      <c r="K34" s="313">
        <f>K16*100/K$6</f>
        <v>10.724641479008373</v>
      </c>
      <c r="L34" s="313">
        <f>L16*100/L$6</f>
        <v>11.136307214198462</v>
      </c>
      <c r="M34" s="313">
        <f>M16*100/M$6</f>
        <v>12.30234803061821</v>
      </c>
      <c r="N34" s="313">
        <f>N16*100/N$6</f>
        <v>11.929845365173984</v>
      </c>
      <c r="O34" s="313">
        <f>O16*100/O$6</f>
        <v>12.272487440067904</v>
      </c>
      <c r="P34" s="313">
        <f>P16*100/P$6</f>
        <v>11.967566311898336</v>
      </c>
      <c r="Q34" s="313">
        <f>Q16*100/Q$6</f>
        <v>10.967009546255102</v>
      </c>
      <c r="R34" s="313">
        <f>R16*100/R$6</f>
        <v>11.554838777033103</v>
      </c>
      <c r="S34" s="313">
        <f>S16*100/S$6</f>
        <v>13.449765482061652</v>
      </c>
      <c r="T34" s="313">
        <f>T16*100/T$6</f>
        <v>10.80064425521747</v>
      </c>
      <c r="U34" s="313">
        <f>U16*100/U$6</f>
        <v>10.962403361282027</v>
      </c>
      <c r="V34" s="313">
        <f>V16*100/V$6</f>
        <v>11.379395299411684</v>
      </c>
      <c r="W34" s="313">
        <f>W16*100/W$6</f>
        <v>10.853348822798965</v>
      </c>
      <c r="X34" s="313">
        <f>X16*100/X$6</f>
        <v>9.3632510822297128</v>
      </c>
      <c r="Y34" s="313">
        <f>Y16*100/Y$6</f>
        <v>10.264962555082374</v>
      </c>
      <c r="Z34" s="313">
        <f>Z16*100/Z$6</f>
        <v>10.853046220609269</v>
      </c>
      <c r="AA34" s="313">
        <f>AA16*100/AA$6</f>
        <v>10.955550371504518</v>
      </c>
      <c r="AB34" s="313">
        <f>AB16*100/AB$6</f>
        <v>11.714975691016296</v>
      </c>
      <c r="AC34" s="313">
        <f>AC16*100/AC$6</f>
        <v>11.193535172137365</v>
      </c>
      <c r="AD34" s="313">
        <f>AD16*100/AD$6</f>
        <v>11.525815490766686</v>
      </c>
      <c r="AE34" s="313">
        <f>AE16*100/AE$6</f>
        <v>12.03551319856555</v>
      </c>
      <c r="AF34" s="313">
        <f>AF16*100/AF$6</f>
        <v>12.237153910131006</v>
      </c>
      <c r="AG34" s="313">
        <f>AG16*100/AG$6</f>
        <v>12.155082030443138</v>
      </c>
      <c r="AH34" s="313">
        <f>AH16*100/AH$6</f>
        <v>10.080758389176379</v>
      </c>
      <c r="AI34" s="313">
        <f>AI16*100/AI$6</f>
        <v>10.823215213520392</v>
      </c>
      <c r="AJ34" s="313">
        <f>AJ16*100/AJ$6</f>
        <v>10.964249729793618</v>
      </c>
      <c r="AK34" s="313">
        <f>AK16*100/AK$6</f>
        <v>11.283438879481155</v>
      </c>
      <c r="AL34" s="313">
        <f>AL16*100/AL$6</f>
        <v>11.961591073627353</v>
      </c>
      <c r="AM34" s="313">
        <f>AM16*100/AM$6</f>
        <v>11.654296794070261</v>
      </c>
      <c r="AN34" s="313">
        <f>AN16*100/AN$6</f>
        <v>11.460637263403635</v>
      </c>
      <c r="AO34" s="313">
        <f>AO16*100/AO$6</f>
        <v>12.081948330569416</v>
      </c>
      <c r="AP34" s="313">
        <f>AP16*100/AP$6</f>
        <v>12.345034683409217</v>
      </c>
      <c r="AQ34" s="313">
        <f>AQ16*100/AQ$6</f>
        <v>12.835754509655832</v>
      </c>
      <c r="AR34" s="313">
        <f>AR16*100/AR$6</f>
        <v>11.645432920333318</v>
      </c>
      <c r="AS34" s="313">
        <f>AS16*100/AS$6</f>
        <v>10.913014655062979</v>
      </c>
      <c r="AT34" s="313">
        <f>AT16*100/AT$6</f>
        <v>12.721862848023372</v>
      </c>
      <c r="AU34" s="313">
        <f>AU16*100/AU$6</f>
        <v>12.278994433177717</v>
      </c>
      <c r="AV34" s="313">
        <f>AV16*100/AV$6</f>
        <v>12.513145898576841</v>
      </c>
      <c r="AW34" s="313">
        <f>AW16*100/AW$6</f>
        <v>12.025238941803467</v>
      </c>
      <c r="AX34" s="313">
        <f>AX16*100/AX$6</f>
        <v>14.17246669641959</v>
      </c>
      <c r="AY34" s="313">
        <f>AY16*100/AY$6</f>
        <v>15.474137299972183</v>
      </c>
      <c r="AZ34" s="313">
        <f>AZ16*100/AZ$6</f>
        <v>15.181406747400287</v>
      </c>
      <c r="BA34" s="313">
        <f>BA16*100/BA$6</f>
        <v>14.454314689867569</v>
      </c>
    </row>
    <row r="35" spans="1:53" s="302" customFormat="1" ht="21" customHeight="1">
      <c r="A35" s="316" t="s">
        <v>76</v>
      </c>
      <c r="B35" s="313">
        <f>B17*100/$B$6</f>
        <v>5.4808869671692051</v>
      </c>
      <c r="C35" s="313">
        <f>C17*100/$C$6</f>
        <v>6.4633791755092496</v>
      </c>
      <c r="D35" s="314" t="s">
        <v>20</v>
      </c>
      <c r="E35" s="313">
        <f>E17*100/$E$6</f>
        <v>6.3855515455264094</v>
      </c>
      <c r="F35" s="313">
        <f>F17*100/$F$6</f>
        <v>5.8031222555562687</v>
      </c>
      <c r="G35" s="313">
        <f>SUM(G17*100/G6)</f>
        <v>5.2593553416911014</v>
      </c>
      <c r="H35" s="313">
        <f>H17*100/$H$6</f>
        <v>5.9258546237590055</v>
      </c>
      <c r="I35" s="313">
        <f>I17*100/$I$6</f>
        <v>6.6891414905418447</v>
      </c>
      <c r="J35" s="313">
        <f>J17*100/$J$6</f>
        <v>8.1004620298748549</v>
      </c>
      <c r="K35" s="313">
        <f>SUM(K17*100/K6)</f>
        <v>6.8541991529383992</v>
      </c>
      <c r="L35" s="313">
        <f>SUM(L17*100/L6)</f>
        <v>5.8304784615937342</v>
      </c>
      <c r="M35" s="313">
        <f>SUM(M17*100/M6)</f>
        <v>6.8574639819082455</v>
      </c>
      <c r="N35" s="313">
        <f>SUM(N17*100/N6)</f>
        <v>6.5301915319132435</v>
      </c>
      <c r="O35" s="313">
        <f>SUM(O17*100/O6)</f>
        <v>5.8401504897800001</v>
      </c>
      <c r="P35" s="313">
        <f>SUM(P17*100/P6)</f>
        <v>6.2096317696624181</v>
      </c>
      <c r="Q35" s="313">
        <f>SUM(Q17*100/Q6)</f>
        <v>6.7280685722806721</v>
      </c>
      <c r="R35" s="313">
        <f>SUM(R17*100/R6)</f>
        <v>6.50022446281797</v>
      </c>
      <c r="S35" s="313">
        <f>SUM(S17*100/S6)</f>
        <v>7.8220019428759704</v>
      </c>
      <c r="T35" s="313">
        <f>SUM(T17*100/T6)</f>
        <v>5.8833648206708959</v>
      </c>
      <c r="U35" s="313">
        <f>SUM(U17*100/U6)</f>
        <v>5.8896892338326134</v>
      </c>
      <c r="V35" s="313">
        <f>SUM(V17*100/V6)</f>
        <v>6.7017617806590009</v>
      </c>
      <c r="W35" s="313">
        <f>SUM(W17*100/W6)</f>
        <v>6.4217150317160154</v>
      </c>
      <c r="X35" s="313">
        <f>SUM(X17*100/X6)</f>
        <v>5.4825239028387243</v>
      </c>
      <c r="Y35" s="313">
        <f>SUM(Y17*100/Y6)</f>
        <v>5.767479021229061</v>
      </c>
      <c r="Z35" s="313">
        <f>SUM(Z17*100/Z6)</f>
        <v>5.9982391304240723</v>
      </c>
      <c r="AA35" s="313">
        <f>SUM(AA17*100/AA6)</f>
        <v>5.8300513860856462</v>
      </c>
      <c r="AB35" s="313">
        <f>SUM(AB17*100/AB6)</f>
        <v>6.9722546189035777</v>
      </c>
      <c r="AC35" s="313">
        <f>SUM(AC17*100/AC6)</f>
        <v>6.947935373334329</v>
      </c>
      <c r="AD35" s="313">
        <f>SUM(AD17*100/AD6)</f>
        <v>7.0436711438708759</v>
      </c>
      <c r="AE35" s="313">
        <f>SUM(AE17*100/AE6)</f>
        <v>6.5417527655829844</v>
      </c>
      <c r="AF35" s="313">
        <f>SUM(AF17*100/AF6)</f>
        <v>6.8325044058710986</v>
      </c>
      <c r="AG35" s="313">
        <f>SUM(AG17*100/AG6)</f>
        <v>6.0227936850410817</v>
      </c>
      <c r="AH35" s="313">
        <f>SUM(AH17*100/AH6)</f>
        <v>5.5805866773118238</v>
      </c>
      <c r="AI35" s="313">
        <f>SUM(AI17*100/AI6)</f>
        <v>6.0979502101013869</v>
      </c>
      <c r="AJ35" s="313">
        <f>SUM(AJ17*100/AJ6)</f>
        <v>6.5979197161038119</v>
      </c>
      <c r="AK35" s="313">
        <f>SUM(AK17*100/AK6)</f>
        <v>6.5924158100042423</v>
      </c>
      <c r="AL35" s="313">
        <f>SUM(AL17*100/AL6)</f>
        <v>5.8843244044889449</v>
      </c>
      <c r="AM35" s="313">
        <f>SUM(AM17*100/AM6)</f>
        <v>6.4282876440206591</v>
      </c>
      <c r="AN35" s="313">
        <f>SUM(AN17*100/AN6)</f>
        <v>5.7115380493137655</v>
      </c>
      <c r="AO35" s="313">
        <f>SUM(AO17*100/AO6)</f>
        <v>6.6052516869638058</v>
      </c>
      <c r="AP35" s="313">
        <f>SUM(AP17*100/AP6)</f>
        <v>5.9218367211812222</v>
      </c>
      <c r="AQ35" s="313">
        <f>SUM(AQ17*100/AQ6)</f>
        <v>6.1943410072586627</v>
      </c>
      <c r="AR35" s="313">
        <f>SUM(AR17*100/AR6)</f>
        <v>5.991662166960972</v>
      </c>
      <c r="AS35" s="313">
        <f>SUM(AS17*100/AS6)</f>
        <v>5.3682053566781924</v>
      </c>
      <c r="AT35" s="313">
        <f>SUM(AT17*100/AT6)</f>
        <v>6.8192328059179959</v>
      </c>
      <c r="AU35" s="313">
        <f>SUM(AU17*100/AU6)</f>
        <v>7.660262455351674</v>
      </c>
      <c r="AV35" s="313">
        <f>SUM(AV17*100/AV6)</f>
        <v>7.8617333341109097</v>
      </c>
      <c r="AW35" s="313">
        <f>SUM(AW17*100/AW6)</f>
        <v>7.0470457529935162</v>
      </c>
      <c r="AX35" s="313">
        <f>SUM(AX17*100/AX6)</f>
        <v>9.4995649367327193</v>
      </c>
      <c r="AY35" s="313">
        <f>SUM(AY17*100/AY6)</f>
        <v>9.2849996827860171</v>
      </c>
      <c r="AZ35" s="313">
        <f>SUM(AZ17*100/AZ6)</f>
        <v>9.1512140774250579</v>
      </c>
      <c r="BA35" s="313">
        <f>SUM(BA17*100/BA6)</f>
        <v>9.6845883554946486</v>
      </c>
    </row>
    <row r="36" spans="1:53" s="302" customFormat="1" ht="21" customHeight="1">
      <c r="A36" s="316" t="s">
        <v>77</v>
      </c>
      <c r="B36" s="313">
        <f>B18*100/$B$6</f>
        <v>4.8746023242847301</v>
      </c>
      <c r="C36" s="313">
        <f>C18*100/$C$6</f>
        <v>3.9352305198603013</v>
      </c>
      <c r="D36" s="314" t="s">
        <v>20</v>
      </c>
      <c r="E36" s="313">
        <f>E18*100/$E$6</f>
        <v>4.6717947299598057</v>
      </c>
      <c r="F36" s="313">
        <f>F18*100/$F$6</f>
        <v>4.3722670880202745</v>
      </c>
      <c r="G36" s="313">
        <f>SUM(G18*100/G6)</f>
        <v>4.7109680702705798</v>
      </c>
      <c r="H36" s="313">
        <f>H18*100/$H$6</f>
        <v>5.3954798298210873</v>
      </c>
      <c r="I36" s="313">
        <f>I18*100/$I$6</f>
        <v>4.7837925701539596</v>
      </c>
      <c r="J36" s="313">
        <f>J18*100/$J$6</f>
        <v>3.1489834580845368</v>
      </c>
      <c r="K36" s="313">
        <f>SUM(K18*100/K6)</f>
        <v>2.0863929494710001</v>
      </c>
      <c r="L36" s="313">
        <f>SUM(L18*100/L6)</f>
        <v>3.3827737658978223</v>
      </c>
      <c r="M36" s="313">
        <f>SUM(M18*100/M6)</f>
        <v>4.037515918659615</v>
      </c>
      <c r="N36" s="313">
        <f>SUM(N18*100/N6)</f>
        <v>3.9945087647685265</v>
      </c>
      <c r="O36" s="313">
        <f>SUM(O18*100/O6)</f>
        <v>4.7550641187401066</v>
      </c>
      <c r="P36" s="313">
        <f>SUM(P18*100/P6)</f>
        <v>3.7699433806087423</v>
      </c>
      <c r="Q36" s="313">
        <f>SUM(Q18*100/Q6)</f>
        <v>3.069549728451368</v>
      </c>
      <c r="R36" s="313">
        <f>SUM(R18*100/R6)</f>
        <v>3.7324960016783755</v>
      </c>
      <c r="S36" s="313">
        <f>SUM(S18*100/S6)</f>
        <v>3.827622962176723</v>
      </c>
      <c r="T36" s="313">
        <f>SUM(T18*100/T6)</f>
        <v>3.3802578111483519</v>
      </c>
      <c r="U36" s="313">
        <f>SUM(U18*100/U6)</f>
        <v>3.6582615911797634</v>
      </c>
      <c r="V36" s="313">
        <f>SUM(V18*100/V6)</f>
        <v>3.5030306268440516</v>
      </c>
      <c r="W36" s="313">
        <f>SUM(W18*100/W6)</f>
        <v>3.5424389781103409</v>
      </c>
      <c r="X36" s="313">
        <f>SUM(X18*100/X6)</f>
        <v>2.7624188636217797</v>
      </c>
      <c r="Y36" s="313">
        <f>SUM(Y18*100/Y6)</f>
        <v>2.9642762909680935</v>
      </c>
      <c r="Z36" s="313">
        <f>SUM(Z18*100/Z6)</f>
        <v>3.1211339330012282</v>
      </c>
      <c r="AA36" s="313">
        <f>SUM(AA18*100/AA6)</f>
        <v>3.3726522277721092</v>
      </c>
      <c r="AB36" s="313">
        <f>SUM(AB18*100/AB6)</f>
        <v>3.0322379212278792</v>
      </c>
      <c r="AC36" s="313">
        <f>SUM(AC18*100/AC6)</f>
        <v>2.5832393497251225</v>
      </c>
      <c r="AD36" s="313">
        <f>SUM(AD18*100/AD6)</f>
        <v>2.71964391749643</v>
      </c>
      <c r="AE36" s="313">
        <f>SUM(AE18*100/AE6)</f>
        <v>3.6308862856988782</v>
      </c>
      <c r="AF36" s="313">
        <f>SUM(AF18*100/AF6)</f>
        <v>3.8841219165024974</v>
      </c>
      <c r="AG36" s="313">
        <f>SUM(AG18*100/AG6)</f>
        <v>4.7648532419132055</v>
      </c>
      <c r="AH36" s="313">
        <f>SUM(AH18*100/AH6)</f>
        <v>3.1925687410046955</v>
      </c>
      <c r="AI36" s="313">
        <f>SUM(AI18*100/AI6)</f>
        <v>3.5896373117775551</v>
      </c>
      <c r="AJ36" s="313">
        <f>SUM(AJ18*100/AJ6)</f>
        <v>3.3592037934875987</v>
      </c>
      <c r="AK36" s="313">
        <f>SUM(AK18*100/AK6)</f>
        <v>3.3597894316519334</v>
      </c>
      <c r="AL36" s="313">
        <f>SUM(AL18*100/AL6)</f>
        <v>3.8623089847187777</v>
      </c>
      <c r="AM36" s="313">
        <f>SUM(AM18*100/AM6)</f>
        <v>3.6684532906298521</v>
      </c>
      <c r="AN36" s="313">
        <f>SUM(AN18*100/AN6)</f>
        <v>4.1777661288908199</v>
      </c>
      <c r="AO36" s="313">
        <f>SUM(AO18*100/AO6)</f>
        <v>3.6979025883418686</v>
      </c>
      <c r="AP36" s="313">
        <f>SUM(AP18*100/AP6)</f>
        <v>4.2865947941780167</v>
      </c>
      <c r="AQ36" s="313">
        <f>SUM(AQ18*100/AQ6)</f>
        <v>4.2268229871275045</v>
      </c>
      <c r="AR36" s="313">
        <f>SUM(AR18*100/AR6)</f>
        <v>3.5071922322918341</v>
      </c>
      <c r="AS36" s="313">
        <f>SUM(AS18*100/AS6)</f>
        <v>3.4891316348680674</v>
      </c>
      <c r="AT36" s="313">
        <f>SUM(AT18*100/AT6)</f>
        <v>3.9540833072778261</v>
      </c>
      <c r="AU36" s="313">
        <f>SUM(AU18*100/AU6)</f>
        <v>3.1617917273482052</v>
      </c>
      <c r="AV36" s="313">
        <f>SUM(AV18*100/AV6)</f>
        <v>3.381873531109854</v>
      </c>
      <c r="AW36" s="313">
        <f>SUM(AW18*100/AW6)</f>
        <v>3.7124553001680587</v>
      </c>
      <c r="AX36" s="313">
        <f>SUM(AX18*100/AX6)</f>
        <v>2.8973455769544398</v>
      </c>
      <c r="AY36" s="313">
        <f>SUM(AY18*100/AY6)</f>
        <v>3.7286307580438147</v>
      </c>
      <c r="AZ36" s="313">
        <f>SUM(AZ18*100/AZ6)</f>
        <v>3.3753586525882011</v>
      </c>
      <c r="BA36" s="313">
        <f>SUM(BA18*100/BA6)</f>
        <v>3.3042753091326729</v>
      </c>
    </row>
    <row r="37" spans="1:53" s="302" customFormat="1" ht="21" customHeight="1">
      <c r="A37" s="316" t="s">
        <v>78</v>
      </c>
      <c r="B37" s="313">
        <f>B19*100/$B$6</f>
        <v>2.3836627709934515</v>
      </c>
      <c r="C37" s="313">
        <f>C19*100/$C$6</f>
        <v>2.0513009040322174</v>
      </c>
      <c r="D37" s="314" t="s">
        <v>20</v>
      </c>
      <c r="E37" s="313">
        <f>E19*100/$E$6</f>
        <v>1.8994502522330488</v>
      </c>
      <c r="F37" s="313">
        <f>F19*100/$F$6</f>
        <v>2.1655149989644036</v>
      </c>
      <c r="G37" s="313">
        <f>SUM(G19*100/G$6)</f>
        <v>1.9193868062645811</v>
      </c>
      <c r="H37" s="313">
        <f>H19*100/$H$6</f>
        <v>2.5960953705675136</v>
      </c>
      <c r="I37" s="313">
        <f>I19*100/$I$6</f>
        <v>2.0780442643785944</v>
      </c>
      <c r="J37" s="313">
        <f>J19*100/$J$6</f>
        <v>2.215980703115441</v>
      </c>
      <c r="K37" s="313">
        <f>SUM(K19*100/K6)</f>
        <v>1.7840493765989729</v>
      </c>
      <c r="L37" s="313">
        <f>SUM(L19*100/L6)</f>
        <v>1.9230549867069053</v>
      </c>
      <c r="M37" s="313">
        <f>SUM(M19*100/M6)</f>
        <v>1.4073681300503504</v>
      </c>
      <c r="N37" s="313">
        <f>SUM(N19*100/N6)</f>
        <v>1.4051450684922135</v>
      </c>
      <c r="O37" s="313">
        <f>SUM(O19*100/O6)</f>
        <v>1.6772728315477965</v>
      </c>
      <c r="P37" s="313">
        <f>SUM(P19*100/P6)</f>
        <v>1.987991161627175</v>
      </c>
      <c r="Q37" s="313">
        <f>SUM(Q19*100/Q6)</f>
        <v>1.169391245523062</v>
      </c>
      <c r="R37" s="313">
        <f>SUM(R19*100/R6)</f>
        <v>1.3221183125367579</v>
      </c>
      <c r="S37" s="313">
        <f>SUM(S19*100/S6)</f>
        <v>1.8001405770089582</v>
      </c>
      <c r="T37" s="313">
        <f>SUM(T19*100/T6)</f>
        <v>1.5370216233982232</v>
      </c>
      <c r="U37" s="313">
        <f>SUM(U19*100/U6)</f>
        <v>1.414452536269651</v>
      </c>
      <c r="V37" s="313">
        <f>SUM(V19*100/V6)</f>
        <v>1.174602891908632</v>
      </c>
      <c r="W37" s="313">
        <f>SUM(W19*100/W6)</f>
        <v>0.88919481297260861</v>
      </c>
      <c r="X37" s="313">
        <f>SUM(X19*100/X6)</f>
        <v>1.11830831576921</v>
      </c>
      <c r="Y37" s="313">
        <f>SUM(Y19*100/Y6)</f>
        <v>1.533207242885219</v>
      </c>
      <c r="Z37" s="313">
        <f>SUM(Z19*100/Z6)</f>
        <v>1.7336731571839685</v>
      </c>
      <c r="AA37" s="313">
        <f>SUM(AA19*100/AA6)</f>
        <v>1.7528467576467626</v>
      </c>
      <c r="AB37" s="313">
        <f>SUM(AB19*100/AB6)</f>
        <v>1.710483150884839</v>
      </c>
      <c r="AC37" s="313">
        <f>SUM(AC19*100/AC6)</f>
        <v>1.6623604490779127</v>
      </c>
      <c r="AD37" s="313">
        <f>SUM(AD19*100/AD6)</f>
        <v>1.7625495036143159</v>
      </c>
      <c r="AE37" s="313">
        <f>SUM(AE19*100/AE6)</f>
        <v>1.8628741472836865</v>
      </c>
      <c r="AF37" s="313">
        <f>SUM(AF19*100/AF6)</f>
        <v>1.5205275877574091</v>
      </c>
      <c r="AG37" s="313">
        <f>SUM(AG19*100/AG6)</f>
        <v>1.3674351034888512</v>
      </c>
      <c r="AH37" s="313">
        <f>SUM(AH19*100/AH6)</f>
        <v>1.3076029708598607</v>
      </c>
      <c r="AI37" s="313">
        <f>SUM(AI19*100/AI6)</f>
        <v>1.1356276916414498</v>
      </c>
      <c r="AJ37" s="313">
        <f>SUM(AJ19*100/AJ6)</f>
        <v>1.0071262202022067</v>
      </c>
      <c r="AK37" s="313">
        <f>SUM(AK19*100/AK6)</f>
        <v>1.3312336378249796</v>
      </c>
      <c r="AL37" s="313">
        <f>SUM(AL19*100/AL6)</f>
        <v>2.2149576844196317</v>
      </c>
      <c r="AM37" s="313">
        <f>SUM(AM19*100/AM6)</f>
        <v>1.5575558594197494</v>
      </c>
      <c r="AN37" s="313">
        <f>SUM(AN19*100/AN6)</f>
        <v>1.5713330851990499</v>
      </c>
      <c r="AO37" s="313">
        <f>SUM(AO19*100/AO6)</f>
        <v>1.7787940552637411</v>
      </c>
      <c r="AP37" s="313">
        <f>SUM(AP19*100/AP6)</f>
        <v>2.1366031680499784</v>
      </c>
      <c r="AQ37" s="313">
        <f>SUM(AQ19*100/AQ6)</f>
        <v>2.4145905152696643</v>
      </c>
      <c r="AR37" s="313">
        <f>SUM(AR19*100/AR6)</f>
        <v>2.1465785210805133</v>
      </c>
      <c r="AS37" s="313">
        <f>SUM(AS19*100/AS6)</f>
        <v>2.0556776635167191</v>
      </c>
      <c r="AT37" s="313">
        <f>SUM(AT19*100/AT6)</f>
        <v>1.9485467348275498</v>
      </c>
      <c r="AU37" s="313">
        <f>SUM(AU19*100/AU6)</f>
        <v>1.4569402504778368</v>
      </c>
      <c r="AV37" s="313">
        <f>SUM(AV19*100/AV6)</f>
        <v>1.2695390333560774</v>
      </c>
      <c r="AW37" s="313">
        <f>SUM(AW19*100/AW6)</f>
        <v>1.2657378886418931</v>
      </c>
      <c r="AX37" s="313">
        <f>SUM(AX19*100/AX6)</f>
        <v>1.7755561827324318</v>
      </c>
      <c r="AY37" s="313">
        <f>SUM(AY19*100/AY6)</f>
        <v>2.4605068591423511</v>
      </c>
      <c r="AZ37" s="313">
        <f>SUM(AZ19*100/AZ6)</f>
        <v>2.6548340173870288</v>
      </c>
      <c r="BA37" s="313">
        <f>SUM(BA19*100/BA6)</f>
        <v>1.4654510252402468</v>
      </c>
    </row>
    <row r="38" spans="1:53" s="302" customFormat="1" ht="21" customHeight="1">
      <c r="A38" s="315" t="s">
        <v>79</v>
      </c>
      <c r="B38" s="313">
        <f>B20*100/$B$6</f>
        <v>0</v>
      </c>
      <c r="C38" s="314" t="s">
        <v>20</v>
      </c>
      <c r="D38" s="314" t="s">
        <v>20</v>
      </c>
      <c r="E38" s="313">
        <f>E20*100/$E$6</f>
        <v>0</v>
      </c>
      <c r="F38" s="313">
        <f>F20*100/$F$6</f>
        <v>0</v>
      </c>
      <c r="G38" s="313">
        <f>SUM(G20*100/G$6)</f>
        <v>0</v>
      </c>
      <c r="H38" s="314">
        <f>H20*100/$H$6</f>
        <v>0</v>
      </c>
      <c r="I38" s="314">
        <f>I20*100/$I$6</f>
        <v>0</v>
      </c>
      <c r="J38" s="314">
        <f>J20*100/$J$6</f>
        <v>0</v>
      </c>
      <c r="K38" s="314">
        <f>SUM(K20*100/K6)</f>
        <v>0</v>
      </c>
      <c r="L38" s="314">
        <f>SUM(L20*100/L6)</f>
        <v>0</v>
      </c>
      <c r="M38" s="314">
        <f>SUM(M20*100/M6)</f>
        <v>0</v>
      </c>
      <c r="N38" s="314">
        <f>SUM(N20*100/N6)</f>
        <v>0</v>
      </c>
      <c r="O38" s="314">
        <f>SUM(O20*100/O6)</f>
        <v>0</v>
      </c>
      <c r="P38" s="314">
        <f>SUM(P20*100/P6)</f>
        <v>0</v>
      </c>
      <c r="Q38" s="314">
        <f>SUM(Q20*100/Q6)</f>
        <v>0</v>
      </c>
      <c r="R38" s="314">
        <f>SUM(R20*100/R6)</f>
        <v>0</v>
      </c>
      <c r="S38" s="314">
        <f>SUM(S20*100/S6)</f>
        <v>0</v>
      </c>
      <c r="T38" s="314">
        <f>SUM(T20*100/T6)</f>
        <v>0</v>
      </c>
      <c r="U38" s="314">
        <f>SUM(U20*100/U6)</f>
        <v>0</v>
      </c>
      <c r="V38" s="314">
        <f>SUM(V20*100/V6)</f>
        <v>4.4128618101440413E-2</v>
      </c>
      <c r="W38" s="314">
        <f>SUM(W20*100/W6)</f>
        <v>0</v>
      </c>
      <c r="X38" s="314">
        <f>SUM(X20*100/X6)</f>
        <v>0</v>
      </c>
      <c r="Y38" s="314">
        <f>SUM(Y20*100/Y6)</f>
        <v>0</v>
      </c>
      <c r="Z38" s="314">
        <f>SUM(Z20*100/Z6)</f>
        <v>0</v>
      </c>
      <c r="AA38" s="314">
        <f>SUM(AA20*100/AA6)</f>
        <v>0</v>
      </c>
      <c r="AB38" s="314">
        <f>SUM(AB20*100/AB6)</f>
        <v>0</v>
      </c>
      <c r="AC38" s="314">
        <f>SUM(AC20*100/AC6)</f>
        <v>0</v>
      </c>
      <c r="AD38" s="314">
        <f>SUM(AD20*100/AD6)</f>
        <v>0</v>
      </c>
      <c r="AE38" s="314">
        <f>SUM(AE20*100/AE6)</f>
        <v>0</v>
      </c>
      <c r="AF38" s="314">
        <f>SUM(AF20*100/AF6)</f>
        <v>0</v>
      </c>
      <c r="AG38" s="314">
        <f>SUM(AG20*100/AG6)</f>
        <v>0</v>
      </c>
      <c r="AH38" s="314">
        <f>SUM(AH20*100/AH6)</f>
        <v>0</v>
      </c>
      <c r="AI38" s="314">
        <f>SUM(AI20*100/AI6)</f>
        <v>0</v>
      </c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</row>
    <row r="39" spans="1:53" s="302" customFormat="1" ht="21" customHeight="1">
      <c r="A39" s="315" t="s">
        <v>80</v>
      </c>
      <c r="B39" s="313">
        <f>B21*100/$B$6</f>
        <v>2.343690211984388E-2</v>
      </c>
      <c r="C39" s="314" t="s">
        <v>20</v>
      </c>
      <c r="D39" s="314" t="s">
        <v>20</v>
      </c>
      <c r="E39" s="313">
        <f>E21*100/$E$6</f>
        <v>0</v>
      </c>
      <c r="F39" s="313">
        <f>F21*100/$F$6</f>
        <v>3.676503175075499E-2</v>
      </c>
      <c r="G39" s="313">
        <f>SUM(G21*100/G$6)</f>
        <v>3.3469120368010086E-2</v>
      </c>
      <c r="H39" s="313">
        <f>H21*100/$H$6</f>
        <v>0</v>
      </c>
      <c r="I39" s="313">
        <f>I21*100/$I$6</f>
        <v>0</v>
      </c>
      <c r="J39" s="313">
        <f>J21*100/$J$6</f>
        <v>0</v>
      </c>
      <c r="K39" s="313">
        <f>SUM(K21*100/K6)</f>
        <v>0.14274655990226282</v>
      </c>
      <c r="L39" s="313">
        <f>SUM(L21*100/L6)</f>
        <v>5.7337249407199829E-2</v>
      </c>
      <c r="M39" s="313">
        <f>SUM(M21*100/M6)</f>
        <v>0</v>
      </c>
      <c r="N39" s="313">
        <f>SUM(N21*100/N6)</f>
        <v>0</v>
      </c>
      <c r="O39" s="313">
        <f>SUM(O21*100/O6)</f>
        <v>0</v>
      </c>
      <c r="P39" s="313">
        <f>SUM(P21*100/P6)</f>
        <v>5.9038787932765562E-2</v>
      </c>
      <c r="Q39" s="313">
        <f>SUM(Q21*100/Q6)</f>
        <v>0.11142904683838833</v>
      </c>
      <c r="R39" s="313">
        <f>SUM(R21*100/R6)</f>
        <v>5.177758145912266E-2</v>
      </c>
      <c r="S39" s="313">
        <f>SUM(S21*100/S6)</f>
        <v>2.390612105978121E-2</v>
      </c>
      <c r="T39" s="313">
        <f>SUM(T21*100/T6)</f>
        <v>1.1897603277393117E-2</v>
      </c>
      <c r="U39" s="313">
        <f>SUM(U21*100/U6)</f>
        <v>2.3166612846318439E-2</v>
      </c>
      <c r="V39" s="313">
        <f>SUM(V21*100/V6)</f>
        <v>0.16142565119394628</v>
      </c>
      <c r="W39" s="313">
        <f>SUM(W21*100/W6)</f>
        <v>0.14191489918917491</v>
      </c>
      <c r="X39" s="313">
        <f>SUM(X21*100/X6)</f>
        <v>2.2051818688885488E-2</v>
      </c>
      <c r="Y39" s="313">
        <f>SUM(Y21*100/Y6)</f>
        <v>0</v>
      </c>
      <c r="Z39" s="313">
        <f>SUM(Z21*100/Z6)</f>
        <v>5.8827036196364056E-2</v>
      </c>
      <c r="AA39" s="313">
        <f>SUM(AA21*100/AA6)</f>
        <v>0</v>
      </c>
      <c r="AB39" s="313">
        <f>SUM(AB21*100/AB6)</f>
        <v>0.13216141479858551</v>
      </c>
      <c r="AC39" s="313">
        <f>SUM(AC21*100/AC6)</f>
        <v>3.5754213543856612E-2</v>
      </c>
      <c r="AD39" s="313">
        <f>SUM(AD21*100/AD6)</f>
        <v>2.8168599372831532E-2</v>
      </c>
      <c r="AE39" s="313">
        <f>SUM(AE21*100/AE6)</f>
        <v>5.4024771975752582E-2</v>
      </c>
      <c r="AF39" s="313">
        <f>SUM(AF21*100/AF6)</f>
        <v>1.0873856408277063E-2</v>
      </c>
      <c r="AG39" s="313">
        <f>SUM(AG21*100/AG6)</f>
        <v>1.346045221245782E-2</v>
      </c>
      <c r="AH39" s="313">
        <f>SUM(AH21*100/AH6)</f>
        <v>0</v>
      </c>
      <c r="AI39" s="313">
        <f>SUM(AI21*100/AI6)</f>
        <v>0</v>
      </c>
      <c r="AJ39" s="313">
        <f>SUM(AJ21*100/AJ6)</f>
        <v>7.2820192731753566E-2</v>
      </c>
      <c r="AK39" s="313">
        <f>SUM(AK21*100/AK6)</f>
        <v>4.0711703052547871E-2</v>
      </c>
      <c r="AL39" s="313">
        <f>SUM(AL21*100/AL6)</f>
        <v>0.11303343291853592</v>
      </c>
      <c r="AM39" s="313">
        <f>SUM(AM21*100/AM6)</f>
        <v>0.17598124166709322</v>
      </c>
      <c r="AN39" s="313">
        <f>SUM(AN21*100/AN6)</f>
        <v>8.9883721156825414E-2</v>
      </c>
      <c r="AO39" s="313">
        <f>SUM(AO21*100/AO6)</f>
        <v>6.6480132668044978E-2</v>
      </c>
      <c r="AP39" s="313">
        <f>SUM(AP21*100/AP6)</f>
        <v>0.30900561244162633</v>
      </c>
      <c r="AQ39" s="313">
        <f>SUM(AQ21*100/AQ6)</f>
        <v>7.4260653921994199E-2</v>
      </c>
      <c r="AR39" s="313">
        <f>SUM(AR21*100/AR6)</f>
        <v>2.9333216584212601E-2</v>
      </c>
      <c r="AS39" s="313">
        <f>SUM(AS21*100/AS6)</f>
        <v>0.11303430474418207</v>
      </c>
      <c r="AT39" s="313">
        <f>SUM(AT21*100/AT6)</f>
        <v>0.16304345183361885</v>
      </c>
      <c r="AU39" s="313">
        <f>SUM(AU21*100/AU6)</f>
        <v>0</v>
      </c>
      <c r="AV39" s="313">
        <f>SUM(AV21*100/AV6)</f>
        <v>5.3069579467321389E-2</v>
      </c>
      <c r="AW39" s="313">
        <f>SUM(AW21*100/AW6)</f>
        <v>0</v>
      </c>
      <c r="AX39" s="313">
        <f>SUM(AX21*100/AX6)</f>
        <v>9.3799835740422999E-2</v>
      </c>
      <c r="AY39" s="313">
        <f>SUM(AY21*100/AY6)</f>
        <v>0.14821213319083104</v>
      </c>
      <c r="AZ39" s="313" t="s">
        <v>74</v>
      </c>
      <c r="BA39" s="313">
        <f>SUM(BA21*100/BA6)</f>
        <v>2.1116852272256213E-2</v>
      </c>
    </row>
    <row r="40" spans="1:53" ht="8.25" customHeight="1">
      <c r="A40" s="312"/>
      <c r="B40" s="312"/>
      <c r="C40" s="311"/>
      <c r="D40" s="311"/>
      <c r="E40" s="311"/>
      <c r="F40" s="311"/>
      <c r="G40" s="311"/>
      <c r="H40" s="311"/>
      <c r="I40" s="311"/>
      <c r="J40" s="311"/>
      <c r="K40" s="311"/>
      <c r="L40" s="310"/>
      <c r="M40" s="310"/>
      <c r="N40" s="311"/>
      <c r="O40" s="310"/>
      <c r="P40" s="310"/>
      <c r="Q40" s="311"/>
      <c r="R40" s="311"/>
      <c r="S40" s="310"/>
      <c r="T40" s="310"/>
      <c r="U40" s="309"/>
      <c r="V40" s="311"/>
      <c r="W40" s="310"/>
      <c r="X40" s="310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</row>
    <row r="41" spans="1:53" ht="26.25" customHeight="1">
      <c r="A41" s="308" t="s">
        <v>32</v>
      </c>
      <c r="U41" s="307"/>
      <c r="Y41" s="307"/>
      <c r="AG41" s="302"/>
      <c r="AQ41" s="306"/>
      <c r="AR41" s="306"/>
      <c r="AS41" s="306"/>
      <c r="AU41" s="306"/>
      <c r="AV41" s="306"/>
      <c r="AW41" s="306"/>
      <c r="AY41" s="306"/>
      <c r="AZ41" s="306"/>
      <c r="BA41" s="306"/>
    </row>
    <row r="42" spans="1:53" ht="26.25" customHeight="1">
      <c r="U42" s="305"/>
      <c r="Y42" s="305"/>
    </row>
    <row r="43" spans="1:53" ht="26.25" customHeight="1">
      <c r="U43" s="305"/>
      <c r="Y43" s="305"/>
    </row>
    <row r="44" spans="1:53" ht="26.25" customHeight="1">
      <c r="U44" s="305"/>
      <c r="Y44" s="305"/>
    </row>
    <row r="45" spans="1:53" ht="26.25" customHeight="1">
      <c r="U45" s="305"/>
      <c r="Y45" s="305"/>
    </row>
    <row r="46" spans="1:53" ht="26.25" customHeight="1">
      <c r="U46" s="305"/>
      <c r="Y46" s="305"/>
    </row>
    <row r="47" spans="1:53" ht="26.25" customHeight="1">
      <c r="U47" s="305"/>
      <c r="Y47" s="305"/>
    </row>
    <row r="48" spans="1:53" ht="26.25" customHeight="1">
      <c r="U48" s="305"/>
      <c r="Y48" s="305"/>
    </row>
    <row r="49" spans="1:25" ht="26.25" customHeight="1">
      <c r="A49" s="301"/>
      <c r="P49" s="301"/>
      <c r="Q49" s="301"/>
      <c r="R49" s="301"/>
      <c r="S49" s="301"/>
      <c r="T49" s="301"/>
      <c r="U49" s="305"/>
      <c r="Y49" s="305"/>
    </row>
    <row r="50" spans="1:25" ht="26.25" customHeight="1">
      <c r="A50" s="301"/>
      <c r="P50" s="301"/>
      <c r="Q50" s="301"/>
      <c r="R50" s="301"/>
      <c r="S50" s="301"/>
      <c r="T50" s="301"/>
      <c r="U50" s="305"/>
      <c r="Y50" s="305"/>
    </row>
    <row r="51" spans="1:25" ht="26.25" customHeight="1">
      <c r="A51" s="301"/>
      <c r="P51" s="301"/>
      <c r="Q51" s="301"/>
      <c r="R51" s="301"/>
      <c r="S51" s="301"/>
      <c r="T51" s="301"/>
      <c r="U51" s="305"/>
      <c r="Y51" s="305"/>
    </row>
    <row r="52" spans="1:25" ht="26.25" customHeight="1">
      <c r="A52" s="301"/>
      <c r="P52" s="301"/>
      <c r="Q52" s="301"/>
      <c r="R52" s="301"/>
      <c r="S52" s="301"/>
      <c r="T52" s="301"/>
      <c r="U52" s="305"/>
      <c r="Y52" s="305"/>
    </row>
    <row r="53" spans="1:25" ht="26.25" customHeight="1">
      <c r="A53" s="301"/>
      <c r="P53" s="301"/>
      <c r="Q53" s="301"/>
      <c r="R53" s="301"/>
      <c r="S53" s="301"/>
      <c r="T53" s="301"/>
      <c r="U53" s="305"/>
      <c r="Y53" s="305"/>
    </row>
    <row r="54" spans="1:25" ht="26.25" customHeight="1">
      <c r="A54" s="301"/>
      <c r="P54" s="301"/>
      <c r="Q54" s="301"/>
      <c r="R54" s="301"/>
      <c r="S54" s="301"/>
      <c r="T54" s="301"/>
      <c r="U54" s="305"/>
      <c r="Y54" s="305"/>
    </row>
    <row r="55" spans="1:25" ht="26.25" customHeight="1">
      <c r="A55" s="301"/>
      <c r="P55" s="301"/>
      <c r="Q55" s="301"/>
      <c r="R55" s="301"/>
      <c r="S55" s="301"/>
      <c r="T55" s="301"/>
      <c r="U55" s="305"/>
      <c r="Y55" s="305"/>
    </row>
    <row r="56" spans="1:25" ht="26.25" customHeight="1">
      <c r="A56" s="301"/>
      <c r="P56" s="301"/>
      <c r="Q56" s="301"/>
      <c r="R56" s="301"/>
      <c r="S56" s="301"/>
      <c r="T56" s="301"/>
      <c r="U56" s="305"/>
      <c r="Y56" s="305"/>
    </row>
    <row r="57" spans="1:25" ht="26.25" customHeight="1">
      <c r="A57" s="301"/>
      <c r="P57" s="301"/>
      <c r="Q57" s="301"/>
      <c r="R57" s="301"/>
      <c r="S57" s="301"/>
      <c r="T57" s="301"/>
      <c r="U57" s="305"/>
      <c r="Y57" s="305"/>
    </row>
    <row r="58" spans="1:25" ht="26.25" customHeight="1">
      <c r="A58" s="301"/>
      <c r="P58" s="301"/>
      <c r="Q58" s="301"/>
      <c r="R58" s="301"/>
      <c r="S58" s="301"/>
      <c r="T58" s="301"/>
      <c r="U58" s="305"/>
      <c r="Y58" s="305"/>
    </row>
    <row r="59" spans="1:25" ht="26.25" customHeight="1">
      <c r="A59" s="301"/>
      <c r="P59" s="301"/>
      <c r="Q59" s="301"/>
      <c r="R59" s="301"/>
      <c r="S59" s="301"/>
      <c r="T59" s="301"/>
      <c r="U59" s="305"/>
      <c r="Y59" s="305"/>
    </row>
    <row r="60" spans="1:25" ht="26.25" customHeight="1">
      <c r="A60" s="301"/>
      <c r="P60" s="301"/>
      <c r="Q60" s="301"/>
      <c r="R60" s="301"/>
      <c r="S60" s="301"/>
      <c r="T60" s="301"/>
      <c r="U60" s="305"/>
      <c r="Y60" s="305"/>
    </row>
    <row r="61" spans="1:25" ht="26.25" customHeight="1">
      <c r="A61" s="301"/>
      <c r="P61" s="301"/>
      <c r="Q61" s="301"/>
      <c r="R61" s="301"/>
      <c r="S61" s="301"/>
      <c r="T61" s="301"/>
      <c r="U61" s="305"/>
      <c r="Y61" s="305"/>
    </row>
    <row r="62" spans="1:25" ht="26.25" customHeight="1">
      <c r="A62" s="301"/>
      <c r="P62" s="301"/>
      <c r="Q62" s="301"/>
      <c r="R62" s="301"/>
      <c r="S62" s="301"/>
      <c r="T62" s="301"/>
      <c r="U62" s="305"/>
      <c r="Y62" s="305"/>
    </row>
    <row r="63" spans="1:25" ht="26.25" customHeight="1">
      <c r="A63" s="301"/>
      <c r="P63" s="301"/>
      <c r="Q63" s="301"/>
      <c r="R63" s="301"/>
      <c r="S63" s="301"/>
      <c r="T63" s="301"/>
      <c r="U63" s="305"/>
      <c r="Y63" s="305"/>
    </row>
    <row r="64" spans="1:25" ht="26.25" customHeight="1">
      <c r="A64" s="301"/>
      <c r="P64" s="301"/>
      <c r="Q64" s="301"/>
      <c r="R64" s="301"/>
      <c r="S64" s="301"/>
      <c r="T64" s="301"/>
      <c r="U64" s="305"/>
      <c r="Y64" s="305"/>
    </row>
    <row r="65" spans="1:25" ht="26.25" customHeight="1">
      <c r="A65" s="301"/>
      <c r="P65" s="301"/>
      <c r="Q65" s="301"/>
      <c r="R65" s="301"/>
      <c r="S65" s="301"/>
      <c r="T65" s="301"/>
      <c r="U65" s="305"/>
      <c r="Y65" s="305"/>
    </row>
    <row r="66" spans="1:25" ht="26.25" customHeight="1">
      <c r="A66" s="301"/>
      <c r="P66" s="301"/>
      <c r="Q66" s="301"/>
      <c r="R66" s="301"/>
      <c r="S66" s="301"/>
      <c r="T66" s="301"/>
      <c r="U66" s="305"/>
      <c r="Y66" s="305"/>
    </row>
    <row r="67" spans="1:25" ht="26.25" customHeight="1">
      <c r="A67" s="301"/>
      <c r="P67" s="301"/>
      <c r="Q67" s="301"/>
      <c r="R67" s="301"/>
      <c r="S67" s="301"/>
      <c r="T67" s="301"/>
      <c r="U67" s="305"/>
      <c r="Y67" s="305"/>
    </row>
    <row r="68" spans="1:25" ht="26.25" customHeight="1">
      <c r="A68" s="301"/>
      <c r="P68" s="301"/>
      <c r="Q68" s="301"/>
      <c r="R68" s="301"/>
      <c r="S68" s="301"/>
      <c r="T68" s="301"/>
      <c r="U68" s="305"/>
      <c r="Y68" s="305"/>
    </row>
    <row r="69" spans="1:25" ht="26.25" customHeight="1">
      <c r="A69" s="301"/>
      <c r="P69" s="301"/>
      <c r="Q69" s="301"/>
      <c r="R69" s="301"/>
      <c r="S69" s="301"/>
      <c r="T69" s="301"/>
      <c r="U69" s="305"/>
      <c r="Y69" s="305"/>
    </row>
    <row r="70" spans="1:25" ht="26.25" customHeight="1">
      <c r="A70" s="301"/>
      <c r="P70" s="301"/>
      <c r="Q70" s="301"/>
      <c r="R70" s="301"/>
      <c r="S70" s="301"/>
      <c r="T70" s="301"/>
      <c r="U70" s="305"/>
      <c r="Y70" s="305"/>
    </row>
    <row r="71" spans="1:25" ht="26.25" customHeight="1">
      <c r="A71" s="301"/>
      <c r="P71" s="301"/>
      <c r="Q71" s="301"/>
      <c r="R71" s="301"/>
      <c r="S71" s="301"/>
      <c r="T71" s="301"/>
      <c r="U71" s="305"/>
      <c r="Y71" s="305"/>
    </row>
    <row r="72" spans="1:25" ht="26.25" customHeight="1">
      <c r="A72" s="301"/>
      <c r="P72" s="301"/>
      <c r="Q72" s="301"/>
      <c r="R72" s="301"/>
      <c r="S72" s="301"/>
      <c r="T72" s="301"/>
      <c r="U72" s="305"/>
      <c r="Y72" s="305"/>
    </row>
    <row r="73" spans="1:25" ht="26.25" customHeight="1">
      <c r="A73" s="301"/>
      <c r="P73" s="301"/>
      <c r="Q73" s="301"/>
      <c r="R73" s="301"/>
      <c r="S73" s="301"/>
      <c r="T73" s="301"/>
      <c r="U73" s="305"/>
      <c r="Y73" s="305"/>
    </row>
    <row r="74" spans="1:25" ht="26.25" customHeight="1">
      <c r="A74" s="301"/>
      <c r="P74" s="301"/>
      <c r="Q74" s="301"/>
      <c r="R74" s="301"/>
      <c r="S74" s="301"/>
      <c r="T74" s="301"/>
      <c r="U74" s="305"/>
      <c r="Y74" s="305"/>
    </row>
    <row r="75" spans="1:25" ht="26.25" customHeight="1">
      <c r="A75" s="301"/>
      <c r="P75" s="301"/>
      <c r="Q75" s="301"/>
      <c r="R75" s="301"/>
      <c r="S75" s="301"/>
      <c r="T75" s="301"/>
      <c r="U75" s="305"/>
      <c r="Y75" s="305"/>
    </row>
    <row r="76" spans="1:25" ht="26.25" customHeight="1">
      <c r="A76" s="301"/>
      <c r="P76" s="301"/>
      <c r="Q76" s="301"/>
      <c r="R76" s="301"/>
      <c r="S76" s="301"/>
      <c r="T76" s="301"/>
      <c r="U76" s="305"/>
      <c r="Y76" s="305"/>
    </row>
    <row r="77" spans="1:25" ht="26.25" customHeight="1">
      <c r="A77" s="301"/>
      <c r="P77" s="301"/>
      <c r="Q77" s="301"/>
      <c r="R77" s="301"/>
      <c r="S77" s="301"/>
      <c r="T77" s="301"/>
      <c r="U77" s="305"/>
      <c r="Y77" s="305"/>
    </row>
    <row r="78" spans="1:25" ht="26.25" customHeight="1">
      <c r="A78" s="301"/>
      <c r="P78" s="301"/>
      <c r="Q78" s="301"/>
      <c r="R78" s="301"/>
      <c r="S78" s="301"/>
      <c r="T78" s="301"/>
      <c r="U78" s="305"/>
      <c r="Y78" s="305"/>
    </row>
    <row r="79" spans="1:25" ht="26.25" customHeight="1">
      <c r="A79" s="301"/>
      <c r="P79" s="301"/>
      <c r="Q79" s="301"/>
      <c r="R79" s="301"/>
      <c r="S79" s="301"/>
      <c r="T79" s="301"/>
      <c r="U79" s="305"/>
      <c r="Y79" s="305"/>
    </row>
    <row r="80" spans="1:25" ht="26.25" customHeight="1">
      <c r="A80" s="301"/>
      <c r="P80" s="301"/>
      <c r="Q80" s="301"/>
      <c r="R80" s="301"/>
      <c r="S80" s="301"/>
      <c r="T80" s="301"/>
      <c r="U80" s="305"/>
      <c r="Y80" s="305"/>
    </row>
    <row r="81" spans="1:25" ht="26.25" customHeight="1">
      <c r="A81" s="301"/>
      <c r="P81" s="301"/>
      <c r="Q81" s="301"/>
      <c r="R81" s="301"/>
      <c r="S81" s="301"/>
      <c r="T81" s="301"/>
      <c r="U81" s="305"/>
      <c r="Y81" s="305"/>
    </row>
    <row r="82" spans="1:25" ht="26.25" customHeight="1">
      <c r="A82" s="301"/>
      <c r="P82" s="301"/>
      <c r="Q82" s="301"/>
      <c r="R82" s="301"/>
      <c r="S82" s="301"/>
      <c r="T82" s="301"/>
      <c r="U82" s="305"/>
      <c r="Y82" s="305"/>
    </row>
    <row r="83" spans="1:25" ht="26.25" customHeight="1">
      <c r="A83" s="301"/>
      <c r="P83" s="301"/>
      <c r="Q83" s="301"/>
      <c r="R83" s="301"/>
      <c r="S83" s="301"/>
      <c r="T83" s="301"/>
      <c r="U83" s="305"/>
      <c r="Y83" s="305"/>
    </row>
    <row r="84" spans="1:25" ht="26.25" customHeight="1">
      <c r="A84" s="301"/>
      <c r="P84" s="301"/>
      <c r="Q84" s="301"/>
      <c r="R84" s="301"/>
      <c r="S84" s="301"/>
      <c r="T84" s="301"/>
      <c r="U84" s="305"/>
      <c r="Y84" s="305"/>
    </row>
    <row r="85" spans="1:25" ht="26.25" customHeight="1">
      <c r="A85" s="301"/>
      <c r="P85" s="301"/>
      <c r="Q85" s="301"/>
      <c r="R85" s="301"/>
      <c r="S85" s="301"/>
      <c r="T85" s="301"/>
      <c r="U85" s="305"/>
      <c r="Y85" s="305"/>
    </row>
    <row r="86" spans="1:25" ht="26.25" customHeight="1">
      <c r="A86" s="301"/>
      <c r="P86" s="301"/>
      <c r="Q86" s="301"/>
      <c r="R86" s="301"/>
      <c r="S86" s="301"/>
      <c r="T86" s="301"/>
      <c r="U86" s="305"/>
      <c r="Y86" s="305"/>
    </row>
    <row r="87" spans="1:25" ht="26.25" customHeight="1">
      <c r="A87" s="301"/>
      <c r="P87" s="301"/>
      <c r="Q87" s="301"/>
      <c r="R87" s="301"/>
      <c r="S87" s="301"/>
      <c r="T87" s="301"/>
      <c r="U87" s="305"/>
      <c r="Y87" s="305"/>
    </row>
    <row r="88" spans="1:25" ht="26.25" customHeight="1">
      <c r="A88" s="301"/>
      <c r="P88" s="301"/>
      <c r="Q88" s="301"/>
      <c r="R88" s="301"/>
      <c r="S88" s="301"/>
      <c r="T88" s="301"/>
      <c r="U88" s="305"/>
      <c r="Y88" s="305"/>
    </row>
    <row r="89" spans="1:25" ht="26.25" customHeight="1">
      <c r="A89" s="301"/>
      <c r="P89" s="301"/>
      <c r="Q89" s="301"/>
      <c r="R89" s="301"/>
      <c r="S89" s="301"/>
      <c r="T89" s="301"/>
      <c r="U89" s="305"/>
      <c r="Y89" s="305"/>
    </row>
    <row r="90" spans="1:25" ht="26.25" customHeight="1">
      <c r="A90" s="301"/>
      <c r="P90" s="301"/>
      <c r="Q90" s="301"/>
      <c r="R90" s="301"/>
      <c r="S90" s="301"/>
      <c r="T90" s="301"/>
      <c r="U90" s="305"/>
      <c r="Y90" s="305"/>
    </row>
    <row r="91" spans="1:25" ht="26.25" customHeight="1">
      <c r="A91" s="301"/>
      <c r="P91" s="301"/>
      <c r="Q91" s="301"/>
      <c r="R91" s="301"/>
      <c r="S91" s="301"/>
      <c r="T91" s="301"/>
      <c r="U91" s="305"/>
      <c r="Y91" s="305"/>
    </row>
    <row r="92" spans="1:25" ht="26.25" customHeight="1">
      <c r="A92" s="301"/>
      <c r="P92" s="301"/>
      <c r="Q92" s="301"/>
      <c r="R92" s="301"/>
      <c r="S92" s="301"/>
      <c r="T92" s="301"/>
      <c r="U92" s="305"/>
      <c r="Y92" s="305"/>
    </row>
    <row r="93" spans="1:25" ht="26.25" customHeight="1">
      <c r="A93" s="301"/>
      <c r="P93" s="301"/>
      <c r="Q93" s="301"/>
      <c r="R93" s="301"/>
      <c r="S93" s="301"/>
      <c r="T93" s="301"/>
      <c r="U93" s="305"/>
      <c r="Y93" s="305"/>
    </row>
    <row r="94" spans="1:25" ht="26.25" customHeight="1">
      <c r="A94" s="301"/>
      <c r="P94" s="301"/>
      <c r="Q94" s="301"/>
      <c r="R94" s="301"/>
      <c r="S94" s="301"/>
      <c r="T94" s="301"/>
      <c r="U94" s="305"/>
      <c r="Y94" s="305"/>
    </row>
    <row r="95" spans="1:25" ht="26.25" customHeight="1">
      <c r="A95" s="301"/>
      <c r="P95" s="301"/>
      <c r="Q95" s="301"/>
      <c r="R95" s="301"/>
      <c r="S95" s="301"/>
      <c r="T95" s="301"/>
      <c r="U95" s="305"/>
      <c r="Y95" s="305"/>
    </row>
    <row r="96" spans="1:25" ht="26.25" customHeight="1">
      <c r="A96" s="301"/>
      <c r="P96" s="301"/>
      <c r="Q96" s="301"/>
      <c r="R96" s="301"/>
      <c r="S96" s="301"/>
      <c r="T96" s="301"/>
      <c r="U96" s="305"/>
      <c r="Y96" s="305"/>
    </row>
    <row r="97" spans="1:25" ht="26.25" customHeight="1">
      <c r="A97" s="301"/>
      <c r="P97" s="301"/>
      <c r="Q97" s="301"/>
      <c r="R97" s="301"/>
      <c r="S97" s="301"/>
      <c r="T97" s="301"/>
      <c r="U97" s="305"/>
      <c r="Y97" s="305"/>
    </row>
    <row r="98" spans="1:25" ht="26.25" customHeight="1">
      <c r="A98" s="301"/>
      <c r="P98" s="301"/>
      <c r="Q98" s="301"/>
      <c r="R98" s="301"/>
      <c r="S98" s="301"/>
      <c r="T98" s="301"/>
      <c r="U98" s="305"/>
      <c r="Y98" s="305"/>
    </row>
    <row r="99" spans="1:25" ht="26.25" customHeight="1">
      <c r="A99" s="301"/>
      <c r="P99" s="301"/>
      <c r="Q99" s="301"/>
      <c r="R99" s="301"/>
      <c r="S99" s="301"/>
      <c r="T99" s="301"/>
      <c r="U99" s="305"/>
      <c r="Y99" s="305"/>
    </row>
    <row r="100" spans="1:25" ht="26.25" customHeight="1">
      <c r="A100" s="301"/>
      <c r="P100" s="301"/>
      <c r="Q100" s="301"/>
      <c r="R100" s="301"/>
      <c r="S100" s="301"/>
      <c r="T100" s="301"/>
      <c r="U100" s="305"/>
      <c r="Y100" s="305"/>
    </row>
    <row r="101" spans="1:25" ht="26.25" customHeight="1">
      <c r="A101" s="301"/>
      <c r="P101" s="301"/>
      <c r="Q101" s="301"/>
      <c r="R101" s="301"/>
      <c r="S101" s="301"/>
      <c r="T101" s="301"/>
      <c r="U101" s="305"/>
      <c r="Y101" s="305"/>
    </row>
    <row r="102" spans="1:25" ht="26.25" customHeight="1">
      <c r="A102" s="301"/>
      <c r="P102" s="301"/>
      <c r="Q102" s="301"/>
      <c r="R102" s="301"/>
      <c r="S102" s="301"/>
      <c r="T102" s="301"/>
      <c r="U102" s="305"/>
      <c r="Y102" s="305"/>
    </row>
    <row r="103" spans="1:25" ht="26.25" customHeight="1">
      <c r="A103" s="301"/>
      <c r="P103" s="301"/>
      <c r="Q103" s="301"/>
      <c r="R103" s="301"/>
      <c r="S103" s="301"/>
      <c r="T103" s="301"/>
      <c r="U103" s="305"/>
      <c r="Y103" s="305"/>
    </row>
    <row r="104" spans="1:25" ht="26.25" customHeight="1">
      <c r="A104" s="301"/>
      <c r="P104" s="301"/>
      <c r="Q104" s="301"/>
      <c r="R104" s="301"/>
      <c r="S104" s="301"/>
      <c r="T104" s="301"/>
      <c r="U104" s="305"/>
      <c r="Y104" s="305"/>
    </row>
    <row r="105" spans="1:25" ht="26.25" customHeight="1">
      <c r="A105" s="301"/>
      <c r="P105" s="301"/>
      <c r="Q105" s="301"/>
      <c r="R105" s="301"/>
      <c r="S105" s="301"/>
      <c r="T105" s="301"/>
      <c r="U105" s="305"/>
      <c r="Y105" s="305"/>
    </row>
    <row r="106" spans="1:25" ht="26.25" customHeight="1">
      <c r="A106" s="301"/>
      <c r="P106" s="301"/>
      <c r="Q106" s="301"/>
      <c r="R106" s="301"/>
      <c r="S106" s="301"/>
      <c r="T106" s="301"/>
      <c r="U106" s="305"/>
      <c r="Y106" s="305"/>
    </row>
    <row r="107" spans="1:25" ht="26.25" customHeight="1">
      <c r="A107" s="301"/>
      <c r="P107" s="301"/>
      <c r="Q107" s="301"/>
      <c r="R107" s="301"/>
      <c r="S107" s="301"/>
      <c r="T107" s="301"/>
      <c r="U107" s="305"/>
      <c r="Y107" s="305"/>
    </row>
    <row r="108" spans="1:25" ht="26.25" customHeight="1">
      <c r="A108" s="301"/>
      <c r="P108" s="301"/>
      <c r="Q108" s="301"/>
      <c r="R108" s="301"/>
      <c r="S108" s="301"/>
      <c r="T108" s="301"/>
      <c r="U108" s="305"/>
      <c r="Y108" s="305"/>
    </row>
    <row r="109" spans="1:25" ht="26.25" customHeight="1">
      <c r="A109" s="301"/>
      <c r="P109" s="301"/>
      <c r="Q109" s="301"/>
      <c r="R109" s="301"/>
      <c r="S109" s="301"/>
      <c r="T109" s="301"/>
      <c r="U109" s="305"/>
      <c r="Y109" s="305"/>
    </row>
    <row r="110" spans="1:25" ht="26.25" customHeight="1">
      <c r="A110" s="301"/>
      <c r="P110" s="301"/>
      <c r="Q110" s="301"/>
      <c r="R110" s="301"/>
      <c r="S110" s="301"/>
      <c r="T110" s="301"/>
      <c r="U110" s="305"/>
      <c r="Y110" s="305"/>
    </row>
    <row r="111" spans="1:25" ht="26.25" customHeight="1">
      <c r="A111" s="301"/>
      <c r="P111" s="301"/>
      <c r="Q111" s="301"/>
      <c r="R111" s="301"/>
      <c r="S111" s="301"/>
      <c r="T111" s="301"/>
      <c r="U111" s="305"/>
      <c r="Y111" s="305"/>
    </row>
    <row r="112" spans="1:25" ht="26.25" customHeight="1">
      <c r="A112" s="301"/>
      <c r="P112" s="301"/>
      <c r="Q112" s="301"/>
      <c r="R112" s="301"/>
      <c r="S112" s="301"/>
      <c r="T112" s="301"/>
      <c r="U112" s="305"/>
      <c r="Y112" s="305"/>
    </row>
    <row r="113" spans="1:25" ht="26.25" customHeight="1">
      <c r="A113" s="301"/>
      <c r="P113" s="301"/>
      <c r="Q113" s="301"/>
      <c r="R113" s="301"/>
      <c r="S113" s="301"/>
      <c r="T113" s="301"/>
      <c r="U113" s="305"/>
      <c r="Y113" s="305"/>
    </row>
    <row r="114" spans="1:25" ht="26.25" customHeight="1">
      <c r="A114" s="301"/>
      <c r="P114" s="301"/>
      <c r="Q114" s="301"/>
      <c r="R114" s="301"/>
      <c r="S114" s="301"/>
      <c r="T114" s="301"/>
      <c r="U114" s="305"/>
      <c r="Y114" s="305"/>
    </row>
    <row r="115" spans="1:25" ht="26.25" customHeight="1">
      <c r="A115" s="301"/>
      <c r="P115" s="301"/>
      <c r="Q115" s="301"/>
      <c r="R115" s="301"/>
      <c r="S115" s="301"/>
      <c r="T115" s="301"/>
      <c r="U115" s="305"/>
      <c r="Y115" s="305"/>
    </row>
    <row r="116" spans="1:25" ht="26.25" customHeight="1">
      <c r="A116" s="301"/>
      <c r="P116" s="301"/>
      <c r="Q116" s="301"/>
      <c r="R116" s="301"/>
      <c r="S116" s="301"/>
      <c r="T116" s="301"/>
      <c r="U116" s="305"/>
      <c r="Y116" s="305"/>
    </row>
    <row r="117" spans="1:25" ht="26.25" customHeight="1">
      <c r="A117" s="301"/>
      <c r="P117" s="301"/>
      <c r="Q117" s="301"/>
      <c r="R117" s="301"/>
      <c r="S117" s="301"/>
      <c r="T117" s="301"/>
      <c r="U117" s="305"/>
      <c r="Y117" s="305"/>
    </row>
    <row r="118" spans="1:25" ht="26.25" customHeight="1">
      <c r="A118" s="301"/>
      <c r="P118" s="301"/>
      <c r="Q118" s="301"/>
      <c r="R118" s="301"/>
      <c r="S118" s="301"/>
      <c r="T118" s="301"/>
      <c r="U118" s="305"/>
      <c r="Y118" s="305"/>
    </row>
    <row r="119" spans="1:25" ht="26.25" customHeight="1">
      <c r="A119" s="301"/>
      <c r="P119" s="301"/>
      <c r="Q119" s="301"/>
      <c r="R119" s="301"/>
      <c r="S119" s="301"/>
      <c r="T119" s="301"/>
      <c r="U119" s="305"/>
      <c r="Y119" s="305"/>
    </row>
    <row r="120" spans="1:25" ht="26.25" customHeight="1">
      <c r="A120" s="301"/>
      <c r="P120" s="301"/>
      <c r="Q120" s="301"/>
      <c r="R120" s="301"/>
      <c r="S120" s="301"/>
      <c r="T120" s="301"/>
      <c r="U120" s="305"/>
      <c r="Y120" s="305"/>
    </row>
    <row r="121" spans="1:25" ht="26.25" customHeight="1">
      <c r="A121" s="301"/>
      <c r="P121" s="301"/>
      <c r="Q121" s="301"/>
      <c r="R121" s="301"/>
      <c r="S121" s="301"/>
      <c r="T121" s="301"/>
      <c r="U121" s="305"/>
      <c r="Y121" s="305"/>
    </row>
    <row r="122" spans="1:25" ht="26.25" customHeight="1">
      <c r="A122" s="301"/>
      <c r="P122" s="301"/>
      <c r="Q122" s="301"/>
      <c r="R122" s="301"/>
      <c r="S122" s="301"/>
      <c r="T122" s="301"/>
      <c r="U122" s="305"/>
      <c r="Y122" s="305"/>
    </row>
    <row r="123" spans="1:25" ht="26.25" customHeight="1">
      <c r="A123" s="301"/>
      <c r="P123" s="301"/>
      <c r="Q123" s="301"/>
      <c r="R123" s="301"/>
      <c r="S123" s="301"/>
      <c r="T123" s="301"/>
      <c r="U123" s="305"/>
      <c r="Y123" s="305"/>
    </row>
    <row r="124" spans="1:25" ht="26.25" customHeight="1">
      <c r="A124" s="301"/>
      <c r="P124" s="301"/>
      <c r="Q124" s="301"/>
      <c r="R124" s="301"/>
      <c r="S124" s="301"/>
      <c r="T124" s="301"/>
      <c r="U124" s="305"/>
      <c r="Y124" s="305"/>
    </row>
    <row r="125" spans="1:25" ht="26.25" customHeight="1">
      <c r="A125" s="301"/>
      <c r="P125" s="301"/>
      <c r="Q125" s="301"/>
      <c r="R125" s="301"/>
      <c r="S125" s="301"/>
      <c r="T125" s="301"/>
      <c r="U125" s="305"/>
      <c r="Y125" s="305"/>
    </row>
    <row r="126" spans="1:25" ht="26.25" customHeight="1">
      <c r="A126" s="301"/>
      <c r="P126" s="301"/>
      <c r="Q126" s="301"/>
      <c r="R126" s="301"/>
      <c r="S126" s="301"/>
      <c r="T126" s="301"/>
      <c r="U126" s="305"/>
      <c r="Y126" s="305"/>
    </row>
    <row r="127" spans="1:25" ht="26.25" customHeight="1">
      <c r="A127" s="301"/>
      <c r="P127" s="301"/>
      <c r="Q127" s="301"/>
      <c r="R127" s="301"/>
      <c r="S127" s="301"/>
      <c r="T127" s="301"/>
      <c r="U127" s="305"/>
      <c r="Y127" s="305"/>
    </row>
    <row r="128" spans="1:25" ht="26.25" customHeight="1">
      <c r="A128" s="301"/>
      <c r="P128" s="301"/>
      <c r="Q128" s="301"/>
      <c r="R128" s="301"/>
      <c r="S128" s="301"/>
      <c r="T128" s="301"/>
      <c r="U128" s="305"/>
      <c r="Y128" s="305"/>
    </row>
    <row r="129" spans="1:25" ht="26.25" customHeight="1">
      <c r="A129" s="301"/>
      <c r="P129" s="301"/>
      <c r="Q129" s="301"/>
      <c r="R129" s="301"/>
      <c r="S129" s="301"/>
      <c r="T129" s="301"/>
      <c r="U129" s="305"/>
      <c r="Y129" s="305"/>
    </row>
    <row r="130" spans="1:25" ht="26.25" customHeight="1">
      <c r="A130" s="301"/>
      <c r="P130" s="301"/>
      <c r="Q130" s="301"/>
      <c r="R130" s="301"/>
      <c r="S130" s="301"/>
      <c r="T130" s="301"/>
      <c r="U130" s="305"/>
      <c r="Y130" s="305"/>
    </row>
    <row r="131" spans="1:25" ht="26.25" customHeight="1">
      <c r="A131" s="301"/>
      <c r="P131" s="301"/>
      <c r="Q131" s="301"/>
      <c r="R131" s="301"/>
      <c r="S131" s="301"/>
      <c r="T131" s="301"/>
      <c r="U131" s="305"/>
      <c r="Y131" s="305"/>
    </row>
    <row r="132" spans="1:25" ht="26.25" customHeight="1">
      <c r="A132" s="301"/>
      <c r="P132" s="301"/>
      <c r="Q132" s="301"/>
      <c r="R132" s="301"/>
      <c r="S132" s="301"/>
      <c r="T132" s="301"/>
      <c r="U132" s="305"/>
      <c r="Y132" s="305"/>
    </row>
    <row r="133" spans="1:25" ht="26.25" customHeight="1">
      <c r="A133" s="301"/>
      <c r="P133" s="301"/>
      <c r="Q133" s="301"/>
      <c r="R133" s="301"/>
      <c r="S133" s="301"/>
      <c r="T133" s="301"/>
      <c r="U133" s="305"/>
      <c r="Y133" s="305"/>
    </row>
    <row r="134" spans="1:25" ht="26.25" customHeight="1">
      <c r="A134" s="301"/>
      <c r="P134" s="301"/>
      <c r="Q134" s="301"/>
      <c r="R134" s="301"/>
      <c r="S134" s="301"/>
      <c r="T134" s="301"/>
      <c r="U134" s="305"/>
      <c r="Y134" s="305"/>
    </row>
    <row r="135" spans="1:25" ht="26.25" customHeight="1">
      <c r="A135" s="301"/>
      <c r="P135" s="301"/>
      <c r="Q135" s="301"/>
      <c r="R135" s="301"/>
      <c r="S135" s="301"/>
      <c r="T135" s="301"/>
      <c r="U135" s="305"/>
      <c r="Y135" s="305"/>
    </row>
    <row r="136" spans="1:25" ht="26.25" customHeight="1">
      <c r="A136" s="301"/>
      <c r="P136" s="301"/>
      <c r="Q136" s="301"/>
      <c r="R136" s="301"/>
      <c r="S136" s="301"/>
      <c r="T136" s="301"/>
      <c r="U136" s="305"/>
      <c r="Y136" s="305"/>
    </row>
    <row r="137" spans="1:25" ht="26.25" customHeight="1">
      <c r="A137" s="301"/>
      <c r="P137" s="301"/>
      <c r="Q137" s="301"/>
      <c r="R137" s="301"/>
      <c r="S137" s="301"/>
      <c r="T137" s="301"/>
      <c r="U137" s="305"/>
      <c r="Y137" s="305"/>
    </row>
    <row r="138" spans="1:25" ht="26.25" customHeight="1">
      <c r="A138" s="301"/>
      <c r="P138" s="301"/>
      <c r="Q138" s="301"/>
      <c r="R138" s="301"/>
      <c r="S138" s="301"/>
      <c r="T138" s="301"/>
      <c r="U138" s="305"/>
      <c r="Y138" s="305"/>
    </row>
    <row r="139" spans="1:25" ht="26.25" customHeight="1">
      <c r="A139" s="301"/>
      <c r="P139" s="301"/>
      <c r="Q139" s="301"/>
      <c r="R139" s="301"/>
      <c r="S139" s="301"/>
      <c r="T139" s="301"/>
      <c r="U139" s="305"/>
      <c r="Y139" s="305"/>
    </row>
    <row r="140" spans="1:25" ht="26.25" customHeight="1">
      <c r="A140" s="301"/>
      <c r="P140" s="301"/>
      <c r="Q140" s="301"/>
      <c r="R140" s="301"/>
      <c r="S140" s="301"/>
      <c r="T140" s="301"/>
      <c r="U140" s="305"/>
      <c r="Y140" s="305"/>
    </row>
    <row r="141" spans="1:25" ht="26.25" customHeight="1">
      <c r="A141" s="301"/>
      <c r="P141" s="301"/>
      <c r="Q141" s="301"/>
      <c r="R141" s="301"/>
      <c r="S141" s="301"/>
      <c r="T141" s="301"/>
      <c r="U141" s="305"/>
      <c r="Y141" s="305"/>
    </row>
    <row r="142" spans="1:25" ht="26.25" customHeight="1">
      <c r="A142" s="301"/>
      <c r="P142" s="301"/>
      <c r="Q142" s="301"/>
      <c r="R142" s="301"/>
      <c r="S142" s="301"/>
      <c r="T142" s="301"/>
      <c r="U142" s="305"/>
      <c r="Y142" s="305"/>
    </row>
    <row r="143" spans="1:25" ht="26.25" customHeight="1">
      <c r="A143" s="301"/>
      <c r="P143" s="301"/>
      <c r="Q143" s="301"/>
      <c r="R143" s="301"/>
      <c r="S143" s="301"/>
      <c r="T143" s="301"/>
      <c r="U143" s="305"/>
      <c r="Y143" s="305"/>
    </row>
    <row r="144" spans="1:25" ht="26.25" customHeight="1">
      <c r="A144" s="301"/>
      <c r="P144" s="301"/>
      <c r="Q144" s="301"/>
      <c r="R144" s="301"/>
      <c r="S144" s="301"/>
      <c r="T144" s="301"/>
      <c r="U144" s="305"/>
      <c r="Y144" s="305"/>
    </row>
    <row r="145" spans="1:25" ht="26.25" customHeight="1">
      <c r="A145" s="301"/>
      <c r="P145" s="301"/>
      <c r="Q145" s="301"/>
      <c r="R145" s="301"/>
      <c r="S145" s="301"/>
      <c r="T145" s="301"/>
      <c r="U145" s="305"/>
      <c r="Y145" s="305"/>
    </row>
    <row r="146" spans="1:25" ht="26.25" customHeight="1">
      <c r="A146" s="301"/>
      <c r="P146" s="301"/>
      <c r="Q146" s="301"/>
      <c r="R146" s="301"/>
      <c r="S146" s="301"/>
      <c r="T146" s="301"/>
      <c r="U146" s="305"/>
      <c r="Y146" s="305"/>
    </row>
    <row r="147" spans="1:25" ht="26.25" customHeight="1">
      <c r="A147" s="301"/>
      <c r="P147" s="301"/>
      <c r="Q147" s="301"/>
      <c r="R147" s="301"/>
      <c r="S147" s="301"/>
      <c r="T147" s="301"/>
      <c r="U147" s="305"/>
      <c r="Y147" s="305"/>
    </row>
    <row r="148" spans="1:25" ht="26.25" customHeight="1">
      <c r="A148" s="301"/>
      <c r="P148" s="301"/>
      <c r="Q148" s="301"/>
      <c r="R148" s="301"/>
      <c r="S148" s="301"/>
      <c r="T148" s="301"/>
      <c r="U148" s="305"/>
      <c r="Y148" s="305"/>
    </row>
    <row r="149" spans="1:25" ht="26.25" customHeight="1">
      <c r="A149" s="301"/>
      <c r="P149" s="301"/>
      <c r="Q149" s="301"/>
      <c r="R149" s="301"/>
      <c r="S149" s="301"/>
      <c r="T149" s="301"/>
      <c r="U149" s="305"/>
      <c r="Y149" s="305"/>
    </row>
    <row r="150" spans="1:25" ht="26.25" customHeight="1">
      <c r="A150" s="301"/>
      <c r="P150" s="301"/>
      <c r="Q150" s="301"/>
      <c r="R150" s="301"/>
      <c r="S150" s="301"/>
      <c r="T150" s="301"/>
      <c r="U150" s="305"/>
      <c r="Y150" s="305"/>
    </row>
    <row r="151" spans="1:25" ht="26.25" customHeight="1">
      <c r="A151" s="301"/>
      <c r="P151" s="301"/>
      <c r="Q151" s="301"/>
      <c r="R151" s="301"/>
      <c r="S151" s="301"/>
      <c r="T151" s="301"/>
      <c r="U151" s="305"/>
      <c r="Y151" s="305"/>
    </row>
    <row r="152" spans="1:25" ht="26.25" customHeight="1">
      <c r="A152" s="301"/>
      <c r="P152" s="301"/>
      <c r="Q152" s="301"/>
      <c r="R152" s="301"/>
      <c r="S152" s="301"/>
      <c r="T152" s="301"/>
      <c r="U152" s="305"/>
      <c r="Y152" s="305"/>
    </row>
    <row r="153" spans="1:25" ht="26.25" customHeight="1">
      <c r="A153" s="301"/>
      <c r="P153" s="301"/>
      <c r="Q153" s="301"/>
      <c r="R153" s="301"/>
      <c r="S153" s="301"/>
      <c r="T153" s="301"/>
      <c r="U153" s="305"/>
      <c r="Y153" s="305"/>
    </row>
    <row r="154" spans="1:25" ht="26.25" customHeight="1">
      <c r="A154" s="301"/>
      <c r="P154" s="301"/>
      <c r="Q154" s="301"/>
      <c r="R154" s="301"/>
      <c r="S154" s="301"/>
      <c r="T154" s="301"/>
      <c r="U154" s="305"/>
      <c r="Y154" s="305"/>
    </row>
    <row r="155" spans="1:25" ht="26.25" customHeight="1">
      <c r="A155" s="301"/>
      <c r="P155" s="301"/>
      <c r="Q155" s="301"/>
      <c r="R155" s="301"/>
      <c r="S155" s="301"/>
      <c r="T155" s="301"/>
      <c r="U155" s="305"/>
      <c r="Y155" s="305"/>
    </row>
    <row r="156" spans="1:25" ht="26.25" customHeight="1">
      <c r="A156" s="301"/>
      <c r="P156" s="301"/>
      <c r="Q156" s="301"/>
      <c r="R156" s="301"/>
      <c r="S156" s="301"/>
      <c r="T156" s="301"/>
      <c r="U156" s="305"/>
      <c r="Y156" s="305"/>
    </row>
    <row r="157" spans="1:25" ht="26.25" customHeight="1">
      <c r="A157" s="301"/>
      <c r="P157" s="301"/>
      <c r="Q157" s="301"/>
      <c r="R157" s="301"/>
      <c r="S157" s="301"/>
      <c r="T157" s="301"/>
      <c r="U157" s="305"/>
      <c r="Y157" s="305"/>
    </row>
    <row r="158" spans="1:25" ht="26.25" customHeight="1">
      <c r="A158" s="301"/>
      <c r="P158" s="301"/>
      <c r="Q158" s="301"/>
      <c r="R158" s="301"/>
      <c r="S158" s="301"/>
      <c r="T158" s="301"/>
      <c r="U158" s="305"/>
      <c r="Y158" s="305"/>
    </row>
    <row r="159" spans="1:25" ht="26.25" customHeight="1">
      <c r="A159" s="301"/>
      <c r="P159" s="301"/>
      <c r="Q159" s="301"/>
      <c r="R159" s="301"/>
      <c r="S159" s="301"/>
      <c r="T159" s="301"/>
      <c r="U159" s="305"/>
      <c r="Y159" s="305"/>
    </row>
    <row r="160" spans="1:25" ht="26.25" customHeight="1">
      <c r="A160" s="301"/>
      <c r="P160" s="301"/>
      <c r="Q160" s="301"/>
      <c r="R160" s="301"/>
      <c r="S160" s="301"/>
      <c r="T160" s="301"/>
      <c r="U160" s="305"/>
      <c r="Y160" s="305"/>
    </row>
    <row r="161" spans="1:25" ht="26.25" customHeight="1">
      <c r="A161" s="301"/>
      <c r="P161" s="301"/>
      <c r="Q161" s="301"/>
      <c r="R161" s="301"/>
      <c r="S161" s="301"/>
      <c r="T161" s="301"/>
      <c r="U161" s="305"/>
      <c r="Y161" s="305"/>
    </row>
    <row r="162" spans="1:25" ht="26.25" customHeight="1">
      <c r="A162" s="301"/>
      <c r="P162" s="301"/>
      <c r="Q162" s="301"/>
      <c r="R162" s="301"/>
      <c r="S162" s="301"/>
      <c r="T162" s="301"/>
      <c r="U162" s="305"/>
      <c r="Y162" s="305"/>
    </row>
    <row r="163" spans="1:25" ht="26.25" customHeight="1">
      <c r="A163" s="301"/>
      <c r="P163" s="301"/>
      <c r="Q163" s="301"/>
      <c r="R163" s="301"/>
      <c r="S163" s="301"/>
      <c r="T163" s="301"/>
      <c r="U163" s="305"/>
      <c r="Y163" s="305"/>
    </row>
    <row r="164" spans="1:25" ht="26.25" customHeight="1">
      <c r="A164" s="301"/>
      <c r="P164" s="301"/>
      <c r="Q164" s="301"/>
      <c r="R164" s="301"/>
      <c r="S164" s="301"/>
      <c r="T164" s="301"/>
      <c r="U164" s="305"/>
      <c r="Y164" s="305"/>
    </row>
    <row r="165" spans="1:25" ht="26.25" customHeight="1">
      <c r="A165" s="301"/>
      <c r="P165" s="301"/>
      <c r="Q165" s="301"/>
      <c r="R165" s="301"/>
      <c r="S165" s="301"/>
      <c r="T165" s="301"/>
      <c r="U165" s="305"/>
      <c r="Y165" s="305"/>
    </row>
    <row r="166" spans="1:25" ht="26.25" customHeight="1">
      <c r="A166" s="301"/>
      <c r="P166" s="301"/>
      <c r="Q166" s="301"/>
      <c r="R166" s="301"/>
      <c r="S166" s="301"/>
      <c r="T166" s="301"/>
      <c r="U166" s="305"/>
      <c r="Y166" s="305"/>
    </row>
    <row r="167" spans="1:25" ht="26.25" customHeight="1">
      <c r="A167" s="301"/>
      <c r="P167" s="301"/>
      <c r="Q167" s="301"/>
      <c r="R167" s="301"/>
      <c r="S167" s="301"/>
      <c r="T167" s="301"/>
      <c r="U167" s="305"/>
      <c r="Y167" s="305"/>
    </row>
    <row r="168" spans="1:25" ht="26.25" customHeight="1">
      <c r="A168" s="301"/>
      <c r="P168" s="301"/>
      <c r="Q168" s="301"/>
      <c r="R168" s="301"/>
      <c r="S168" s="301"/>
      <c r="T168" s="301"/>
      <c r="U168" s="305"/>
      <c r="Y168" s="305"/>
    </row>
    <row r="169" spans="1:25" ht="26.25" customHeight="1">
      <c r="A169" s="301"/>
      <c r="P169" s="301"/>
      <c r="Q169" s="301"/>
      <c r="R169" s="301"/>
      <c r="S169" s="301"/>
      <c r="T169" s="301"/>
      <c r="U169" s="305"/>
      <c r="Y169" s="305"/>
    </row>
    <row r="170" spans="1:25" ht="26.25" customHeight="1">
      <c r="A170" s="301"/>
      <c r="P170" s="301"/>
      <c r="Q170" s="301"/>
      <c r="R170" s="301"/>
      <c r="S170" s="301"/>
      <c r="T170" s="301"/>
      <c r="U170" s="305"/>
      <c r="Y170" s="305"/>
    </row>
    <row r="171" spans="1:25" ht="26.25" customHeight="1">
      <c r="A171" s="301"/>
      <c r="P171" s="301"/>
      <c r="Q171" s="301"/>
      <c r="R171" s="301"/>
      <c r="S171" s="301"/>
      <c r="T171" s="301"/>
      <c r="U171" s="305"/>
      <c r="Y171" s="305"/>
    </row>
    <row r="172" spans="1:25" ht="26.25" customHeight="1">
      <c r="A172" s="301"/>
      <c r="P172" s="301"/>
      <c r="Q172" s="301"/>
      <c r="R172" s="301"/>
      <c r="S172" s="301"/>
      <c r="T172" s="301"/>
      <c r="U172" s="305"/>
      <c r="Y172" s="305"/>
    </row>
    <row r="173" spans="1:25" ht="26.25" customHeight="1">
      <c r="A173" s="301"/>
      <c r="P173" s="301"/>
      <c r="Q173" s="301"/>
      <c r="R173" s="301"/>
      <c r="S173" s="301"/>
      <c r="T173" s="301"/>
      <c r="U173" s="305"/>
      <c r="Y173" s="305"/>
    </row>
    <row r="174" spans="1:25" ht="26.25" customHeight="1">
      <c r="A174" s="301"/>
      <c r="P174" s="301"/>
      <c r="Q174" s="301"/>
      <c r="R174" s="301"/>
      <c r="S174" s="301"/>
      <c r="T174" s="301"/>
      <c r="U174" s="305"/>
      <c r="Y174" s="305"/>
    </row>
    <row r="175" spans="1:25" ht="26.25" customHeight="1">
      <c r="A175" s="301"/>
      <c r="P175" s="301"/>
      <c r="Q175" s="301"/>
      <c r="R175" s="301"/>
      <c r="S175" s="301"/>
      <c r="T175" s="301"/>
      <c r="U175" s="305"/>
      <c r="Y175" s="305"/>
    </row>
    <row r="176" spans="1:25" ht="26.25" customHeight="1">
      <c r="A176" s="301"/>
      <c r="P176" s="301"/>
      <c r="Q176" s="301"/>
      <c r="R176" s="301"/>
      <c r="S176" s="301"/>
      <c r="T176" s="301"/>
      <c r="U176" s="305"/>
      <c r="Y176" s="305"/>
    </row>
    <row r="177" spans="1:25" ht="26.25" customHeight="1">
      <c r="A177" s="301"/>
      <c r="P177" s="301"/>
      <c r="Q177" s="301"/>
      <c r="R177" s="301"/>
      <c r="S177" s="301"/>
      <c r="T177" s="301"/>
      <c r="U177" s="305"/>
      <c r="Y177" s="305"/>
    </row>
    <row r="178" spans="1:25" ht="26.25" customHeight="1">
      <c r="A178" s="301"/>
      <c r="P178" s="301"/>
      <c r="Q178" s="301"/>
      <c r="R178" s="301"/>
      <c r="S178" s="301"/>
      <c r="T178" s="301"/>
      <c r="U178" s="305"/>
      <c r="Y178" s="305"/>
    </row>
    <row r="179" spans="1:25" ht="26.25" customHeight="1">
      <c r="A179" s="301"/>
      <c r="P179" s="301"/>
      <c r="Q179" s="301"/>
      <c r="R179" s="301"/>
      <c r="S179" s="301"/>
      <c r="T179" s="301"/>
      <c r="U179" s="305"/>
      <c r="Y179" s="305"/>
    </row>
    <row r="180" spans="1:25" ht="26.25" customHeight="1">
      <c r="A180" s="301"/>
      <c r="P180" s="301"/>
      <c r="Q180" s="301"/>
      <c r="R180" s="301"/>
      <c r="S180" s="301"/>
      <c r="T180" s="301"/>
      <c r="U180" s="305"/>
      <c r="Y180" s="305"/>
    </row>
    <row r="181" spans="1:25" ht="26.25" customHeight="1">
      <c r="A181" s="301"/>
      <c r="P181" s="301"/>
      <c r="Q181" s="301"/>
      <c r="R181" s="301"/>
      <c r="S181" s="301"/>
      <c r="T181" s="301"/>
      <c r="U181" s="305"/>
      <c r="Y181" s="305"/>
    </row>
    <row r="182" spans="1:25" ht="26.25" customHeight="1">
      <c r="A182" s="301"/>
      <c r="P182" s="301"/>
      <c r="Q182" s="301"/>
      <c r="R182" s="301"/>
      <c r="S182" s="301"/>
      <c r="T182" s="301"/>
      <c r="U182" s="305"/>
      <c r="Y182" s="305"/>
    </row>
    <row r="183" spans="1:25" ht="26.25" customHeight="1">
      <c r="A183" s="301"/>
      <c r="P183" s="301"/>
      <c r="Q183" s="301"/>
      <c r="R183" s="301"/>
      <c r="S183" s="301"/>
      <c r="T183" s="301"/>
      <c r="U183" s="305"/>
      <c r="Y183" s="305"/>
    </row>
    <row r="184" spans="1:25" ht="26.25" customHeight="1">
      <c r="A184" s="301"/>
      <c r="P184" s="301"/>
      <c r="Q184" s="301"/>
      <c r="R184" s="301"/>
      <c r="S184" s="301"/>
      <c r="T184" s="301"/>
      <c r="U184" s="305"/>
      <c r="Y184" s="305"/>
    </row>
    <row r="185" spans="1:25" ht="26.25" customHeight="1">
      <c r="A185" s="301"/>
      <c r="P185" s="301"/>
      <c r="Q185" s="301"/>
      <c r="R185" s="301"/>
      <c r="S185" s="301"/>
      <c r="T185" s="301"/>
      <c r="U185" s="305"/>
      <c r="Y185" s="305"/>
    </row>
    <row r="186" spans="1:25" ht="26.25" customHeight="1">
      <c r="A186" s="301"/>
      <c r="P186" s="301"/>
      <c r="Q186" s="301"/>
      <c r="R186" s="301"/>
      <c r="S186" s="301"/>
      <c r="T186" s="301"/>
      <c r="U186" s="305"/>
      <c r="Y186" s="305"/>
    </row>
    <row r="187" spans="1:25" ht="26.25" customHeight="1">
      <c r="A187" s="301"/>
      <c r="P187" s="301"/>
      <c r="Q187" s="301"/>
      <c r="R187" s="301"/>
      <c r="S187" s="301"/>
      <c r="T187" s="301"/>
      <c r="U187" s="305"/>
      <c r="Y187" s="305"/>
    </row>
    <row r="188" spans="1:25" ht="26.25" customHeight="1">
      <c r="A188" s="301"/>
      <c r="P188" s="301"/>
      <c r="Q188" s="301"/>
      <c r="R188" s="301"/>
      <c r="S188" s="301"/>
      <c r="T188" s="301"/>
      <c r="U188" s="305"/>
      <c r="Y188" s="305"/>
    </row>
    <row r="189" spans="1:25" ht="26.25" customHeight="1">
      <c r="A189" s="301"/>
      <c r="P189" s="301"/>
      <c r="Q189" s="301"/>
      <c r="R189" s="301"/>
      <c r="S189" s="301"/>
      <c r="T189" s="301"/>
      <c r="U189" s="305"/>
      <c r="Y189" s="305"/>
    </row>
    <row r="190" spans="1:25" ht="26.25" customHeight="1">
      <c r="A190" s="301"/>
      <c r="P190" s="301"/>
      <c r="Q190" s="301"/>
      <c r="R190" s="301"/>
      <c r="S190" s="301"/>
      <c r="T190" s="301"/>
      <c r="U190" s="305"/>
      <c r="Y190" s="305"/>
    </row>
    <row r="191" spans="1:25" ht="26.25" customHeight="1">
      <c r="A191" s="301"/>
      <c r="P191" s="301"/>
      <c r="Q191" s="301"/>
      <c r="R191" s="301"/>
      <c r="S191" s="301"/>
      <c r="T191" s="301"/>
      <c r="U191" s="305"/>
      <c r="Y191" s="305"/>
    </row>
    <row r="192" spans="1:25" ht="26.25" customHeight="1">
      <c r="A192" s="301"/>
      <c r="P192" s="301"/>
      <c r="Q192" s="301"/>
      <c r="R192" s="301"/>
      <c r="S192" s="301"/>
      <c r="T192" s="301"/>
      <c r="U192" s="305"/>
      <c r="Y192" s="305"/>
    </row>
    <row r="193" spans="1:25" ht="26.25" customHeight="1">
      <c r="A193" s="301"/>
      <c r="P193" s="301"/>
      <c r="Q193" s="301"/>
      <c r="R193" s="301"/>
      <c r="S193" s="301"/>
      <c r="T193" s="301"/>
      <c r="U193" s="305"/>
      <c r="Y193" s="305"/>
    </row>
    <row r="194" spans="1:25" ht="26.25" customHeight="1">
      <c r="A194" s="301"/>
      <c r="P194" s="301"/>
      <c r="Q194" s="301"/>
      <c r="R194" s="301"/>
      <c r="S194" s="301"/>
      <c r="T194" s="301"/>
      <c r="U194" s="305"/>
      <c r="Y194" s="305"/>
    </row>
    <row r="195" spans="1:25" ht="26.25" customHeight="1">
      <c r="A195" s="301"/>
      <c r="P195" s="301"/>
      <c r="Q195" s="301"/>
      <c r="R195" s="301"/>
      <c r="S195" s="301"/>
      <c r="T195" s="301"/>
      <c r="U195" s="305"/>
      <c r="Y195" s="305"/>
    </row>
    <row r="196" spans="1:25" ht="26.25" customHeight="1">
      <c r="A196" s="301"/>
      <c r="P196" s="301"/>
      <c r="Q196" s="301"/>
      <c r="R196" s="301"/>
      <c r="S196" s="301"/>
      <c r="T196" s="301"/>
      <c r="U196" s="305"/>
      <c r="Y196" s="305"/>
    </row>
    <row r="197" spans="1:25" ht="26.25" customHeight="1">
      <c r="A197" s="301"/>
      <c r="P197" s="301"/>
      <c r="Q197" s="301"/>
      <c r="R197" s="301"/>
      <c r="S197" s="301"/>
      <c r="T197" s="301"/>
      <c r="U197" s="305"/>
      <c r="Y197" s="305"/>
    </row>
    <row r="198" spans="1:25" ht="26.25" customHeight="1">
      <c r="A198" s="301"/>
      <c r="P198" s="301"/>
      <c r="Q198" s="301"/>
      <c r="R198" s="301"/>
      <c r="S198" s="301"/>
      <c r="T198" s="301"/>
      <c r="U198" s="305"/>
      <c r="Y198" s="305"/>
    </row>
    <row r="199" spans="1:25" ht="26.25" customHeight="1">
      <c r="A199" s="301"/>
      <c r="P199" s="301"/>
      <c r="Q199" s="301"/>
      <c r="R199" s="301"/>
      <c r="S199" s="301"/>
      <c r="T199" s="301"/>
      <c r="U199" s="305"/>
      <c r="Y199" s="305"/>
    </row>
    <row r="200" spans="1:25" ht="26.25" customHeight="1">
      <c r="A200" s="301"/>
      <c r="P200" s="301"/>
      <c r="Q200" s="301"/>
      <c r="R200" s="301"/>
      <c r="S200" s="301"/>
      <c r="T200" s="301"/>
      <c r="U200" s="305"/>
      <c r="Y200" s="305"/>
    </row>
    <row r="201" spans="1:25" ht="26.25" customHeight="1">
      <c r="A201" s="301"/>
      <c r="P201" s="301"/>
      <c r="Q201" s="301"/>
      <c r="R201" s="301"/>
      <c r="S201" s="301"/>
      <c r="T201" s="301"/>
      <c r="U201" s="305"/>
      <c r="Y201" s="305"/>
    </row>
    <row r="202" spans="1:25" ht="26.25" customHeight="1">
      <c r="A202" s="301"/>
      <c r="P202" s="301"/>
      <c r="Q202" s="301"/>
      <c r="R202" s="301"/>
      <c r="S202" s="301"/>
      <c r="T202" s="301"/>
      <c r="U202" s="305"/>
      <c r="Y202" s="305"/>
    </row>
    <row r="203" spans="1:25" ht="26.25" customHeight="1">
      <c r="A203" s="301"/>
      <c r="P203" s="301"/>
      <c r="Q203" s="301"/>
      <c r="R203" s="301"/>
      <c r="S203" s="301"/>
      <c r="T203" s="301"/>
      <c r="U203" s="305"/>
      <c r="Y203" s="305"/>
    </row>
    <row r="204" spans="1:25" ht="26.25" customHeight="1">
      <c r="A204" s="301"/>
      <c r="P204" s="301"/>
      <c r="Q204" s="301"/>
      <c r="R204" s="301"/>
      <c r="S204" s="301"/>
      <c r="T204" s="301"/>
      <c r="U204" s="305"/>
      <c r="Y204" s="305"/>
    </row>
    <row r="205" spans="1:25" ht="26.25" customHeight="1">
      <c r="A205" s="301"/>
      <c r="P205" s="301"/>
      <c r="Q205" s="301"/>
      <c r="R205" s="301"/>
      <c r="S205" s="301"/>
      <c r="T205" s="301"/>
      <c r="U205" s="305"/>
      <c r="Y205" s="305"/>
    </row>
    <row r="206" spans="1:25" ht="26.25" customHeight="1">
      <c r="A206" s="301"/>
      <c r="P206" s="301"/>
      <c r="Q206" s="301"/>
      <c r="R206" s="301"/>
      <c r="S206" s="301"/>
      <c r="T206" s="301"/>
      <c r="U206" s="305"/>
      <c r="Y206" s="305"/>
    </row>
    <row r="207" spans="1:25" ht="26.25" customHeight="1">
      <c r="A207" s="301"/>
      <c r="P207" s="301"/>
      <c r="Q207" s="301"/>
      <c r="R207" s="301"/>
      <c r="S207" s="301"/>
      <c r="T207" s="301"/>
      <c r="U207" s="305"/>
      <c r="Y207" s="305"/>
    </row>
    <row r="208" spans="1:25" ht="26.25" customHeight="1">
      <c r="A208" s="301"/>
      <c r="P208" s="301"/>
      <c r="Q208" s="301"/>
      <c r="R208" s="301"/>
      <c r="S208" s="301"/>
      <c r="T208" s="301"/>
      <c r="U208" s="305"/>
      <c r="Y208" s="305"/>
    </row>
    <row r="209" spans="1:25" ht="26.25" customHeight="1">
      <c r="A209" s="301"/>
      <c r="P209" s="301"/>
      <c r="Q209" s="301"/>
      <c r="R209" s="301"/>
      <c r="S209" s="301"/>
      <c r="T209" s="301"/>
      <c r="U209" s="305"/>
      <c r="Y209" s="305"/>
    </row>
    <row r="210" spans="1:25" ht="26.25" customHeight="1">
      <c r="A210" s="301"/>
      <c r="P210" s="301"/>
      <c r="Q210" s="301"/>
      <c r="R210" s="301"/>
      <c r="S210" s="301"/>
      <c r="T210" s="301"/>
      <c r="U210" s="305"/>
      <c r="Y210" s="305"/>
    </row>
    <row r="211" spans="1:25" ht="26.25" customHeight="1">
      <c r="A211" s="301"/>
      <c r="P211" s="301"/>
      <c r="Q211" s="301"/>
      <c r="R211" s="301"/>
      <c r="S211" s="301"/>
      <c r="T211" s="301"/>
      <c r="U211" s="305"/>
      <c r="Y211" s="305"/>
    </row>
    <row r="212" spans="1:25" ht="26.25" customHeight="1">
      <c r="A212" s="301"/>
      <c r="P212" s="301"/>
      <c r="Q212" s="301"/>
      <c r="R212" s="301"/>
      <c r="S212" s="301"/>
      <c r="T212" s="301"/>
      <c r="U212" s="305"/>
      <c r="Y212" s="305"/>
    </row>
    <row r="213" spans="1:25" ht="26.25" customHeight="1">
      <c r="A213" s="301"/>
      <c r="P213" s="301"/>
      <c r="Q213" s="301"/>
      <c r="R213" s="301"/>
      <c r="S213" s="301"/>
      <c r="T213" s="301"/>
      <c r="U213" s="305"/>
      <c r="Y213" s="305"/>
    </row>
    <row r="214" spans="1:25" ht="26.25" customHeight="1">
      <c r="A214" s="301"/>
      <c r="P214" s="301"/>
      <c r="Q214" s="301"/>
      <c r="R214" s="301"/>
      <c r="S214" s="301"/>
      <c r="T214" s="301"/>
      <c r="U214" s="305"/>
      <c r="Y214" s="305"/>
    </row>
    <row r="215" spans="1:25" ht="26.25" customHeight="1">
      <c r="A215" s="301"/>
      <c r="P215" s="301"/>
      <c r="Q215" s="301"/>
      <c r="R215" s="301"/>
      <c r="S215" s="301"/>
      <c r="T215" s="301"/>
      <c r="U215" s="305"/>
      <c r="Y215" s="305"/>
    </row>
    <row r="216" spans="1:25" ht="26.25" customHeight="1">
      <c r="A216" s="301"/>
      <c r="P216" s="301"/>
      <c r="Q216" s="301"/>
      <c r="R216" s="301"/>
      <c r="S216" s="301"/>
      <c r="T216" s="301"/>
      <c r="U216" s="305"/>
      <c r="Y216" s="305"/>
    </row>
    <row r="217" spans="1:25" ht="26.25" customHeight="1">
      <c r="A217" s="301"/>
      <c r="P217" s="301"/>
      <c r="Q217" s="301"/>
      <c r="R217" s="301"/>
      <c r="S217" s="301"/>
      <c r="T217" s="301"/>
      <c r="U217" s="305"/>
      <c r="Y217" s="305"/>
    </row>
    <row r="218" spans="1:25" ht="26.25" customHeight="1">
      <c r="A218" s="301"/>
      <c r="P218" s="301"/>
      <c r="Q218" s="301"/>
      <c r="R218" s="301"/>
      <c r="S218" s="301"/>
      <c r="T218" s="301"/>
      <c r="U218" s="305"/>
      <c r="Y218" s="305"/>
    </row>
    <row r="219" spans="1:25" ht="26.25" customHeight="1">
      <c r="A219" s="301"/>
      <c r="P219" s="301"/>
      <c r="Q219" s="301"/>
      <c r="R219" s="301"/>
      <c r="S219" s="301"/>
      <c r="T219" s="301"/>
      <c r="U219" s="305"/>
      <c r="Y219" s="305"/>
    </row>
    <row r="220" spans="1:25" ht="26.25" customHeight="1">
      <c r="A220" s="301"/>
      <c r="P220" s="301"/>
      <c r="Q220" s="301"/>
      <c r="R220" s="301"/>
      <c r="S220" s="301"/>
      <c r="T220" s="301"/>
      <c r="U220" s="305"/>
      <c r="Y220" s="305"/>
    </row>
    <row r="221" spans="1:25" ht="26.25" customHeight="1">
      <c r="A221" s="301"/>
      <c r="P221" s="301"/>
      <c r="Q221" s="301"/>
      <c r="R221" s="301"/>
      <c r="S221" s="301"/>
      <c r="T221" s="301"/>
      <c r="U221" s="305"/>
      <c r="Y221" s="305"/>
    </row>
    <row r="222" spans="1:25" ht="26.25" customHeight="1">
      <c r="A222" s="301"/>
      <c r="P222" s="301"/>
      <c r="Q222" s="301"/>
      <c r="R222" s="301"/>
      <c r="S222" s="301"/>
      <c r="T222" s="301"/>
      <c r="U222" s="305"/>
      <c r="Y222" s="305"/>
    </row>
    <row r="223" spans="1:25" ht="26.25" customHeight="1">
      <c r="A223" s="301"/>
      <c r="P223" s="301"/>
      <c r="Q223" s="301"/>
      <c r="R223" s="301"/>
      <c r="S223" s="301"/>
      <c r="T223" s="301"/>
      <c r="U223" s="305"/>
      <c r="Y223" s="305"/>
    </row>
    <row r="224" spans="1:25" ht="26.25" customHeight="1">
      <c r="A224" s="301"/>
      <c r="P224" s="301"/>
      <c r="Q224" s="301"/>
      <c r="R224" s="301"/>
      <c r="S224" s="301"/>
      <c r="T224" s="301"/>
      <c r="U224" s="305"/>
      <c r="Y224" s="305"/>
    </row>
    <row r="225" spans="1:25" ht="26.25" customHeight="1">
      <c r="A225" s="301"/>
      <c r="P225" s="301"/>
      <c r="Q225" s="301"/>
      <c r="R225" s="301"/>
      <c r="S225" s="301"/>
      <c r="T225" s="301"/>
      <c r="U225" s="305"/>
      <c r="Y225" s="305"/>
    </row>
    <row r="226" spans="1:25" ht="26.25" customHeight="1">
      <c r="A226" s="301"/>
      <c r="P226" s="301"/>
      <c r="Q226" s="301"/>
      <c r="R226" s="301"/>
      <c r="S226" s="301"/>
      <c r="T226" s="301"/>
      <c r="U226" s="305"/>
      <c r="Y226" s="305"/>
    </row>
    <row r="227" spans="1:25" ht="26.25" customHeight="1">
      <c r="A227" s="301"/>
      <c r="P227" s="301"/>
      <c r="Q227" s="301"/>
      <c r="R227" s="301"/>
      <c r="S227" s="301"/>
      <c r="T227" s="301"/>
      <c r="U227" s="305"/>
      <c r="Y227" s="305"/>
    </row>
    <row r="228" spans="1:25" ht="26.25" customHeight="1">
      <c r="A228" s="301"/>
      <c r="P228" s="301"/>
      <c r="Q228" s="301"/>
      <c r="R228" s="301"/>
      <c r="S228" s="301"/>
      <c r="T228" s="301"/>
      <c r="U228" s="305"/>
      <c r="Y228" s="305"/>
    </row>
    <row r="229" spans="1:25" ht="26.25" customHeight="1">
      <c r="A229" s="301"/>
      <c r="P229" s="301"/>
      <c r="Q229" s="301"/>
      <c r="R229" s="301"/>
      <c r="S229" s="301"/>
      <c r="T229" s="301"/>
      <c r="U229" s="305"/>
      <c r="Y229" s="305"/>
    </row>
    <row r="230" spans="1:25" ht="26.25" customHeight="1">
      <c r="A230" s="301"/>
      <c r="P230" s="301"/>
      <c r="Q230" s="301"/>
      <c r="R230" s="301"/>
      <c r="S230" s="301"/>
      <c r="T230" s="301"/>
      <c r="U230" s="305"/>
      <c r="Y230" s="305"/>
    </row>
    <row r="231" spans="1:25" ht="26.25" customHeight="1">
      <c r="A231" s="301"/>
      <c r="P231" s="301"/>
      <c r="Q231" s="301"/>
      <c r="R231" s="301"/>
      <c r="S231" s="301"/>
      <c r="T231" s="301"/>
      <c r="U231" s="305"/>
      <c r="Y231" s="305"/>
    </row>
    <row r="232" spans="1:25" ht="26.25" customHeight="1">
      <c r="A232" s="301"/>
      <c r="P232" s="301"/>
      <c r="Q232" s="301"/>
      <c r="R232" s="301"/>
      <c r="S232" s="301"/>
      <c r="T232" s="301"/>
      <c r="U232" s="305"/>
      <c r="Y232" s="305"/>
    </row>
    <row r="233" spans="1:25" ht="26.25" customHeight="1">
      <c r="A233" s="301"/>
      <c r="P233" s="301"/>
      <c r="Q233" s="301"/>
      <c r="R233" s="301"/>
      <c r="S233" s="301"/>
      <c r="T233" s="301"/>
      <c r="U233" s="305"/>
      <c r="Y233" s="305"/>
    </row>
    <row r="234" spans="1:25" ht="26.25" customHeight="1">
      <c r="A234" s="301"/>
      <c r="P234" s="301"/>
      <c r="Q234" s="301"/>
      <c r="R234" s="301"/>
      <c r="S234" s="301"/>
      <c r="T234" s="301"/>
      <c r="U234" s="305"/>
      <c r="Y234" s="305"/>
    </row>
    <row r="235" spans="1:25" ht="26.25" customHeight="1">
      <c r="A235" s="301"/>
      <c r="P235" s="301"/>
      <c r="Q235" s="301"/>
      <c r="R235" s="301"/>
      <c r="S235" s="301"/>
      <c r="T235" s="301"/>
      <c r="U235" s="305"/>
      <c r="Y235" s="305"/>
    </row>
    <row r="236" spans="1:25" ht="26.25" customHeight="1">
      <c r="A236" s="301"/>
      <c r="P236" s="301"/>
      <c r="Q236" s="301"/>
      <c r="R236" s="301"/>
      <c r="S236" s="301"/>
      <c r="T236" s="301"/>
      <c r="U236" s="305"/>
      <c r="Y236" s="305"/>
    </row>
    <row r="237" spans="1:25" ht="26.25" customHeight="1">
      <c r="A237" s="301"/>
      <c r="P237" s="301"/>
      <c r="Q237" s="301"/>
      <c r="R237" s="301"/>
      <c r="S237" s="301"/>
      <c r="T237" s="301"/>
      <c r="U237" s="305"/>
      <c r="Y237" s="305"/>
    </row>
    <row r="238" spans="1:25" ht="26.25" customHeight="1">
      <c r="A238" s="301"/>
      <c r="P238" s="301"/>
      <c r="Q238" s="301"/>
      <c r="R238" s="301"/>
      <c r="S238" s="301"/>
      <c r="T238" s="301"/>
      <c r="U238" s="305"/>
      <c r="Y238" s="305"/>
    </row>
    <row r="239" spans="1:25" ht="26.25" customHeight="1">
      <c r="A239" s="301"/>
      <c r="P239" s="301"/>
      <c r="Q239" s="301"/>
      <c r="R239" s="301"/>
      <c r="S239" s="301"/>
      <c r="T239" s="301"/>
      <c r="U239" s="305"/>
      <c r="Y239" s="305"/>
    </row>
    <row r="240" spans="1:25" ht="26.25" customHeight="1">
      <c r="A240" s="301"/>
      <c r="P240" s="301"/>
      <c r="Q240" s="301"/>
      <c r="R240" s="301"/>
      <c r="S240" s="301"/>
      <c r="T240" s="301"/>
      <c r="U240" s="305"/>
      <c r="Y240" s="305"/>
    </row>
    <row r="241" spans="1:25" ht="26.25" customHeight="1">
      <c r="A241" s="301"/>
      <c r="P241" s="301"/>
      <c r="Q241" s="301"/>
      <c r="R241" s="301"/>
      <c r="S241" s="301"/>
      <c r="T241" s="301"/>
      <c r="U241" s="305"/>
      <c r="Y241" s="305"/>
    </row>
    <row r="242" spans="1:25" ht="26.25" customHeight="1">
      <c r="A242" s="301"/>
      <c r="P242" s="301"/>
      <c r="Q242" s="301"/>
      <c r="R242" s="301"/>
      <c r="S242" s="301"/>
      <c r="T242" s="301"/>
      <c r="U242" s="305"/>
      <c r="Y242" s="305"/>
    </row>
    <row r="243" spans="1:25" ht="26.25" customHeight="1">
      <c r="A243" s="301"/>
      <c r="P243" s="301"/>
      <c r="Q243" s="301"/>
      <c r="R243" s="301"/>
      <c r="S243" s="301"/>
      <c r="T243" s="301"/>
      <c r="U243" s="305"/>
      <c r="Y243" s="305"/>
    </row>
    <row r="244" spans="1:25" ht="26.25" customHeight="1">
      <c r="A244" s="301"/>
      <c r="P244" s="301"/>
      <c r="Q244" s="301"/>
      <c r="R244" s="301"/>
      <c r="S244" s="301"/>
      <c r="T244" s="301"/>
      <c r="U244" s="305"/>
      <c r="Y244" s="305"/>
    </row>
    <row r="245" spans="1:25" ht="26.25" customHeight="1">
      <c r="A245" s="301"/>
      <c r="P245" s="301"/>
      <c r="Q245" s="301"/>
      <c r="R245" s="301"/>
      <c r="S245" s="301"/>
      <c r="T245" s="301"/>
      <c r="U245" s="305"/>
      <c r="Y245" s="305"/>
    </row>
    <row r="246" spans="1:25" ht="26.25" customHeight="1">
      <c r="A246" s="301"/>
      <c r="P246" s="301"/>
      <c r="Q246" s="301"/>
      <c r="R246" s="301"/>
      <c r="S246" s="301"/>
      <c r="T246" s="301"/>
      <c r="U246" s="305"/>
      <c r="Y246" s="305"/>
    </row>
    <row r="247" spans="1:25" ht="26.25" customHeight="1">
      <c r="A247" s="301"/>
      <c r="P247" s="301"/>
      <c r="Q247" s="301"/>
      <c r="R247" s="301"/>
      <c r="S247" s="301"/>
      <c r="T247" s="301"/>
      <c r="U247" s="305"/>
      <c r="Y247" s="305"/>
    </row>
    <row r="248" spans="1:25" ht="26.25" customHeight="1">
      <c r="A248" s="301"/>
      <c r="P248" s="301"/>
      <c r="Q248" s="301"/>
      <c r="R248" s="301"/>
      <c r="S248" s="301"/>
      <c r="T248" s="301"/>
      <c r="U248" s="305"/>
      <c r="Y248" s="305"/>
    </row>
    <row r="249" spans="1:25" ht="26.25" customHeight="1">
      <c r="A249" s="301"/>
      <c r="P249" s="301"/>
      <c r="Q249" s="301"/>
      <c r="R249" s="301"/>
      <c r="S249" s="301"/>
      <c r="T249" s="301"/>
      <c r="U249" s="305"/>
      <c r="Y249" s="305"/>
    </row>
    <row r="250" spans="1:25" ht="26.25" customHeight="1">
      <c r="A250" s="301"/>
      <c r="P250" s="301"/>
      <c r="Q250" s="301"/>
      <c r="R250" s="301"/>
      <c r="S250" s="301"/>
      <c r="T250" s="301"/>
      <c r="U250" s="305"/>
      <c r="Y250" s="305"/>
    </row>
    <row r="251" spans="1:25" ht="26.25" customHeight="1">
      <c r="A251" s="301"/>
      <c r="P251" s="301"/>
      <c r="Q251" s="301"/>
      <c r="R251" s="301"/>
      <c r="S251" s="301"/>
      <c r="T251" s="301"/>
      <c r="U251" s="305"/>
      <c r="Y251" s="305"/>
    </row>
    <row r="252" spans="1:25" ht="26.25" customHeight="1">
      <c r="A252" s="301"/>
      <c r="P252" s="301"/>
      <c r="Q252" s="301"/>
      <c r="R252" s="301"/>
      <c r="S252" s="301"/>
      <c r="T252" s="301"/>
      <c r="U252" s="305"/>
      <c r="Y252" s="305"/>
    </row>
    <row r="253" spans="1:25" ht="26.25" customHeight="1">
      <c r="A253" s="301"/>
      <c r="P253" s="301"/>
      <c r="Q253" s="301"/>
      <c r="R253" s="301"/>
      <c r="S253" s="301"/>
      <c r="T253" s="301"/>
      <c r="U253" s="305"/>
      <c r="Y253" s="305"/>
    </row>
    <row r="254" spans="1:25" ht="26.25" customHeight="1">
      <c r="A254" s="301"/>
      <c r="P254" s="301"/>
      <c r="Q254" s="301"/>
      <c r="R254" s="301"/>
      <c r="S254" s="301"/>
      <c r="T254" s="301"/>
      <c r="U254" s="305"/>
      <c r="Y254" s="305"/>
    </row>
    <row r="255" spans="1:25" ht="26.25" customHeight="1">
      <c r="A255" s="301"/>
      <c r="P255" s="301"/>
      <c r="Q255" s="301"/>
      <c r="R255" s="301"/>
      <c r="S255" s="301"/>
      <c r="T255" s="301"/>
      <c r="U255" s="305"/>
      <c r="Y255" s="305"/>
    </row>
    <row r="256" spans="1:25" ht="26.25" customHeight="1">
      <c r="A256" s="301"/>
      <c r="P256" s="301"/>
      <c r="Q256" s="301"/>
      <c r="R256" s="301"/>
      <c r="S256" s="301"/>
      <c r="T256" s="301"/>
      <c r="U256" s="305"/>
      <c r="Y256" s="305"/>
    </row>
    <row r="257" spans="1:25" ht="26.25" customHeight="1">
      <c r="A257" s="301"/>
      <c r="P257" s="301"/>
      <c r="Q257" s="301"/>
      <c r="R257" s="301"/>
      <c r="S257" s="301"/>
      <c r="T257" s="301"/>
      <c r="U257" s="305"/>
      <c r="Y257" s="305"/>
    </row>
    <row r="258" spans="1:25" ht="26.25" customHeight="1">
      <c r="A258" s="301"/>
      <c r="P258" s="301"/>
      <c r="Q258" s="301"/>
      <c r="R258" s="301"/>
      <c r="S258" s="301"/>
      <c r="T258" s="301"/>
      <c r="U258" s="305"/>
      <c r="Y258" s="305"/>
    </row>
    <row r="259" spans="1:25" ht="26.25" customHeight="1">
      <c r="A259" s="301"/>
      <c r="P259" s="301"/>
      <c r="Q259" s="301"/>
      <c r="R259" s="301"/>
      <c r="S259" s="301"/>
      <c r="T259" s="301"/>
      <c r="U259" s="305"/>
      <c r="Y259" s="305"/>
    </row>
    <row r="260" spans="1:25" ht="26.25" customHeight="1">
      <c r="A260" s="301"/>
      <c r="P260" s="301"/>
      <c r="Q260" s="301"/>
      <c r="R260" s="301"/>
      <c r="S260" s="301"/>
      <c r="T260" s="301"/>
      <c r="U260" s="305"/>
      <c r="Y260" s="305"/>
    </row>
    <row r="261" spans="1:25" ht="26.25" customHeight="1">
      <c r="A261" s="301"/>
      <c r="P261" s="301"/>
      <c r="Q261" s="301"/>
      <c r="R261" s="301"/>
      <c r="S261" s="301"/>
      <c r="T261" s="301"/>
      <c r="U261" s="305"/>
      <c r="Y261" s="305"/>
    </row>
    <row r="262" spans="1:25" ht="26.25" customHeight="1">
      <c r="A262" s="301"/>
      <c r="P262" s="301"/>
      <c r="Q262" s="301"/>
      <c r="R262" s="301"/>
      <c r="S262" s="301"/>
      <c r="T262" s="301"/>
      <c r="U262" s="305"/>
      <c r="Y262" s="305"/>
    </row>
    <row r="263" spans="1:25" ht="26.25" customHeight="1">
      <c r="A263" s="301"/>
      <c r="P263" s="301"/>
      <c r="Q263" s="301"/>
      <c r="R263" s="301"/>
      <c r="S263" s="301"/>
      <c r="T263" s="301"/>
      <c r="U263" s="305"/>
      <c r="Y263" s="305"/>
    </row>
    <row r="264" spans="1:25" ht="26.25" customHeight="1">
      <c r="A264" s="301"/>
      <c r="P264" s="301"/>
      <c r="Q264" s="301"/>
      <c r="R264" s="301"/>
      <c r="S264" s="301"/>
      <c r="T264" s="301"/>
      <c r="U264" s="305"/>
      <c r="Y264" s="305"/>
    </row>
    <row r="265" spans="1:25" ht="26.25" customHeight="1">
      <c r="A265" s="301"/>
      <c r="P265" s="301"/>
      <c r="Q265" s="301"/>
      <c r="R265" s="301"/>
      <c r="S265" s="301"/>
      <c r="T265" s="301"/>
      <c r="U265" s="305"/>
      <c r="Y265" s="305"/>
    </row>
    <row r="266" spans="1:25" ht="26.25" customHeight="1">
      <c r="A266" s="301"/>
      <c r="P266" s="301"/>
      <c r="Q266" s="301"/>
      <c r="R266" s="301"/>
      <c r="S266" s="301"/>
      <c r="T266" s="301"/>
      <c r="U266" s="305"/>
      <c r="Y266" s="305"/>
    </row>
    <row r="267" spans="1:25" ht="26.25" customHeight="1">
      <c r="A267" s="301"/>
      <c r="P267" s="301"/>
      <c r="Q267" s="301"/>
      <c r="R267" s="301"/>
      <c r="S267" s="301"/>
      <c r="T267" s="301"/>
      <c r="U267" s="305"/>
      <c r="Y267" s="305"/>
    </row>
    <row r="268" spans="1:25" ht="26.25" customHeight="1">
      <c r="A268" s="301"/>
      <c r="P268" s="301"/>
      <c r="Q268" s="301"/>
      <c r="R268" s="301"/>
      <c r="S268" s="301"/>
      <c r="T268" s="301"/>
      <c r="U268" s="305"/>
      <c r="Y268" s="305"/>
    </row>
    <row r="269" spans="1:25" ht="26.25" customHeight="1">
      <c r="A269" s="301"/>
      <c r="P269" s="301"/>
      <c r="Q269" s="301"/>
      <c r="R269" s="301"/>
      <c r="S269" s="301"/>
      <c r="T269" s="301"/>
      <c r="U269" s="305"/>
      <c r="Y269" s="305"/>
    </row>
    <row r="270" spans="1:25" ht="26.25" customHeight="1">
      <c r="A270" s="301"/>
      <c r="P270" s="301"/>
      <c r="Q270" s="301"/>
      <c r="R270" s="301"/>
      <c r="S270" s="301"/>
      <c r="T270" s="301"/>
      <c r="U270" s="305"/>
      <c r="Y270" s="305"/>
    </row>
    <row r="271" spans="1:25" ht="26.25" customHeight="1">
      <c r="A271" s="301"/>
      <c r="P271" s="301"/>
      <c r="Q271" s="301"/>
      <c r="R271" s="301"/>
      <c r="S271" s="301"/>
      <c r="T271" s="301"/>
      <c r="U271" s="305"/>
      <c r="Y271" s="305"/>
    </row>
    <row r="272" spans="1:25" ht="26.25" customHeight="1">
      <c r="A272" s="301"/>
      <c r="P272" s="301"/>
      <c r="Q272" s="301"/>
      <c r="R272" s="301"/>
      <c r="S272" s="301"/>
      <c r="T272" s="301"/>
      <c r="U272" s="305"/>
      <c r="Y272" s="305"/>
    </row>
    <row r="273" spans="1:25" ht="26.25" customHeight="1">
      <c r="A273" s="301"/>
      <c r="P273" s="301"/>
      <c r="Q273" s="301"/>
      <c r="R273" s="301"/>
      <c r="S273" s="301"/>
      <c r="T273" s="301"/>
      <c r="U273" s="305"/>
      <c r="Y273" s="305"/>
    </row>
    <row r="274" spans="1:25" ht="26.25" customHeight="1">
      <c r="A274" s="301"/>
      <c r="P274" s="301"/>
      <c r="Q274" s="301"/>
      <c r="R274" s="301"/>
      <c r="S274" s="301"/>
      <c r="T274" s="301"/>
      <c r="U274" s="305"/>
      <c r="Y274" s="305"/>
    </row>
    <row r="275" spans="1:25" ht="26.25" customHeight="1">
      <c r="A275" s="301"/>
      <c r="P275" s="301"/>
      <c r="Q275" s="301"/>
      <c r="R275" s="301"/>
      <c r="S275" s="301"/>
      <c r="T275" s="301"/>
      <c r="U275" s="305"/>
      <c r="Y275" s="305"/>
    </row>
    <row r="276" spans="1:25" ht="26.25" customHeight="1">
      <c r="A276" s="301"/>
      <c r="P276" s="301"/>
      <c r="Q276" s="301"/>
      <c r="R276" s="301"/>
      <c r="S276" s="301"/>
      <c r="T276" s="301"/>
      <c r="U276" s="305"/>
      <c r="Y276" s="305"/>
    </row>
    <row r="277" spans="1:25" ht="26.25" customHeight="1">
      <c r="A277" s="301"/>
      <c r="P277" s="301"/>
      <c r="Q277" s="301"/>
      <c r="R277" s="301"/>
      <c r="S277" s="301"/>
      <c r="T277" s="301"/>
      <c r="U277" s="305"/>
      <c r="Y277" s="305"/>
    </row>
    <row r="278" spans="1:25" ht="26.25" customHeight="1">
      <c r="A278" s="301"/>
      <c r="P278" s="301"/>
      <c r="Q278" s="301"/>
      <c r="R278" s="301"/>
      <c r="S278" s="301"/>
      <c r="T278" s="301"/>
      <c r="U278" s="305"/>
      <c r="Y278" s="305"/>
    </row>
    <row r="279" spans="1:25" ht="26.25" customHeight="1">
      <c r="A279" s="301"/>
      <c r="P279" s="301"/>
      <c r="Q279" s="301"/>
      <c r="R279" s="301"/>
      <c r="S279" s="301"/>
      <c r="T279" s="301"/>
      <c r="U279" s="305"/>
      <c r="Y279" s="305"/>
    </row>
    <row r="280" spans="1:25" ht="26.25" customHeight="1">
      <c r="A280" s="301"/>
      <c r="P280" s="301"/>
      <c r="Q280" s="301"/>
      <c r="R280" s="301"/>
      <c r="S280" s="301"/>
      <c r="T280" s="301"/>
      <c r="U280" s="305"/>
      <c r="Y280" s="305"/>
    </row>
    <row r="281" spans="1:25" ht="26.25" customHeight="1">
      <c r="A281" s="301"/>
      <c r="P281" s="301"/>
      <c r="Q281" s="301"/>
      <c r="R281" s="301"/>
      <c r="S281" s="301"/>
      <c r="T281" s="301"/>
      <c r="U281" s="305"/>
      <c r="Y281" s="305"/>
    </row>
    <row r="282" spans="1:25" ht="26.25" customHeight="1">
      <c r="A282" s="301"/>
      <c r="P282" s="301"/>
      <c r="Q282" s="301"/>
      <c r="R282" s="301"/>
      <c r="S282" s="301"/>
      <c r="T282" s="301"/>
      <c r="U282" s="305"/>
      <c r="Y282" s="305"/>
    </row>
    <row r="283" spans="1:25" ht="26.25" customHeight="1">
      <c r="A283" s="301"/>
      <c r="P283" s="301"/>
      <c r="Q283" s="301"/>
      <c r="R283" s="301"/>
      <c r="S283" s="301"/>
      <c r="T283" s="301"/>
      <c r="U283" s="305"/>
      <c r="Y283" s="305"/>
    </row>
    <row r="284" spans="1:25" ht="26.25" customHeight="1">
      <c r="A284" s="301"/>
      <c r="P284" s="301"/>
      <c r="Q284" s="301"/>
      <c r="R284" s="301"/>
      <c r="S284" s="301"/>
      <c r="T284" s="301"/>
      <c r="U284" s="305"/>
      <c r="Y284" s="305"/>
    </row>
    <row r="285" spans="1:25" ht="26.25" customHeight="1">
      <c r="A285" s="301"/>
      <c r="P285" s="301"/>
      <c r="Q285" s="301"/>
      <c r="R285" s="301"/>
      <c r="S285" s="301"/>
      <c r="T285" s="301"/>
      <c r="U285" s="305"/>
      <c r="Y285" s="305"/>
    </row>
    <row r="286" spans="1:25" ht="26.25" customHeight="1">
      <c r="A286" s="301"/>
      <c r="P286" s="301"/>
      <c r="Q286" s="301"/>
      <c r="R286" s="301"/>
      <c r="S286" s="301"/>
      <c r="T286" s="301"/>
      <c r="U286" s="305"/>
      <c r="Y286" s="305"/>
    </row>
    <row r="287" spans="1:25" ht="26.25" customHeight="1">
      <c r="A287" s="301"/>
      <c r="P287" s="301"/>
      <c r="Q287" s="301"/>
      <c r="R287" s="301"/>
      <c r="S287" s="301"/>
      <c r="T287" s="301"/>
      <c r="U287" s="305"/>
      <c r="Y287" s="305"/>
    </row>
    <row r="288" spans="1:25" ht="26.25" customHeight="1">
      <c r="A288" s="301"/>
      <c r="P288" s="301"/>
      <c r="Q288" s="301"/>
      <c r="R288" s="301"/>
      <c r="S288" s="301"/>
      <c r="T288" s="301"/>
      <c r="U288" s="305"/>
      <c r="Y288" s="305"/>
    </row>
    <row r="289" spans="1:25" ht="26.25" customHeight="1">
      <c r="A289" s="301"/>
      <c r="P289" s="301"/>
      <c r="Q289" s="301"/>
      <c r="R289" s="301"/>
      <c r="S289" s="301"/>
      <c r="T289" s="301"/>
      <c r="U289" s="305"/>
      <c r="Y289" s="305"/>
    </row>
    <row r="290" spans="1:25" ht="26.25" customHeight="1">
      <c r="A290" s="301"/>
      <c r="P290" s="301"/>
      <c r="Q290" s="301"/>
      <c r="R290" s="301"/>
      <c r="S290" s="301"/>
      <c r="T290" s="301"/>
      <c r="U290" s="305"/>
      <c r="Y290" s="305"/>
    </row>
    <row r="291" spans="1:25" ht="26.25" customHeight="1">
      <c r="A291" s="301"/>
      <c r="P291" s="301"/>
      <c r="Q291" s="301"/>
      <c r="R291" s="301"/>
      <c r="S291" s="301"/>
      <c r="T291" s="301"/>
      <c r="U291" s="305"/>
      <c r="Y291" s="305"/>
    </row>
    <row r="292" spans="1:25" ht="26.25" customHeight="1">
      <c r="A292" s="301"/>
      <c r="P292" s="301"/>
      <c r="Q292" s="301"/>
      <c r="R292" s="301"/>
      <c r="S292" s="301"/>
      <c r="T292" s="301"/>
      <c r="U292" s="305"/>
      <c r="Y292" s="305"/>
    </row>
    <row r="293" spans="1:25" ht="26.25" customHeight="1">
      <c r="A293" s="301"/>
      <c r="P293" s="301"/>
      <c r="Q293" s="301"/>
      <c r="R293" s="301"/>
      <c r="S293" s="301"/>
      <c r="T293" s="301"/>
      <c r="U293" s="305"/>
      <c r="Y293" s="305"/>
    </row>
    <row r="294" spans="1:25" ht="26.25" customHeight="1">
      <c r="A294" s="301"/>
      <c r="P294" s="301"/>
      <c r="Q294" s="301"/>
      <c r="R294" s="301"/>
      <c r="S294" s="301"/>
      <c r="T294" s="301"/>
      <c r="U294" s="305"/>
      <c r="Y294" s="305"/>
    </row>
    <row r="295" spans="1:25" ht="26.25" customHeight="1">
      <c r="A295" s="301"/>
      <c r="P295" s="301"/>
      <c r="Q295" s="301"/>
      <c r="R295" s="301"/>
      <c r="S295" s="301"/>
      <c r="T295" s="301"/>
      <c r="U295" s="305"/>
      <c r="Y295" s="305"/>
    </row>
    <row r="296" spans="1:25" ht="26.25" customHeight="1">
      <c r="A296" s="301"/>
      <c r="P296" s="301"/>
      <c r="Q296" s="301"/>
      <c r="R296" s="301"/>
      <c r="S296" s="301"/>
      <c r="T296" s="301"/>
      <c r="U296" s="305"/>
      <c r="Y296" s="305"/>
    </row>
    <row r="297" spans="1:25" ht="26.25" customHeight="1">
      <c r="A297" s="301"/>
      <c r="P297" s="301"/>
      <c r="Q297" s="301"/>
      <c r="R297" s="301"/>
      <c r="S297" s="301"/>
      <c r="T297" s="301"/>
      <c r="U297" s="305"/>
      <c r="Y297" s="305"/>
    </row>
    <row r="298" spans="1:25" ht="26.25" customHeight="1">
      <c r="A298" s="301"/>
      <c r="P298" s="301"/>
      <c r="Q298" s="301"/>
      <c r="R298" s="301"/>
      <c r="S298" s="301"/>
      <c r="T298" s="301"/>
      <c r="U298" s="305"/>
      <c r="Y298" s="305"/>
    </row>
    <row r="299" spans="1:25" ht="26.25" customHeight="1">
      <c r="A299" s="301"/>
      <c r="P299" s="301"/>
      <c r="Q299" s="301"/>
      <c r="R299" s="301"/>
      <c r="S299" s="301"/>
      <c r="T299" s="301"/>
      <c r="U299" s="305"/>
      <c r="Y299" s="305"/>
    </row>
    <row r="300" spans="1:25" ht="26.25" customHeight="1">
      <c r="A300" s="301"/>
      <c r="P300" s="301"/>
      <c r="Q300" s="301"/>
      <c r="R300" s="301"/>
      <c r="S300" s="301"/>
      <c r="T300" s="301"/>
      <c r="U300" s="305"/>
      <c r="Y300" s="305"/>
    </row>
    <row r="301" spans="1:25" ht="26.25" customHeight="1">
      <c r="A301" s="301"/>
      <c r="P301" s="301"/>
      <c r="Q301" s="301"/>
      <c r="R301" s="301"/>
      <c r="S301" s="301"/>
      <c r="T301" s="301"/>
      <c r="U301" s="305"/>
      <c r="Y301" s="305"/>
    </row>
    <row r="302" spans="1:25" ht="26.25" customHeight="1">
      <c r="A302" s="301"/>
      <c r="P302" s="301"/>
      <c r="Q302" s="301"/>
      <c r="R302" s="301"/>
      <c r="S302" s="301"/>
      <c r="T302" s="301"/>
      <c r="U302" s="305"/>
      <c r="Y302" s="305"/>
    </row>
    <row r="303" spans="1:25" ht="26.25" customHeight="1">
      <c r="A303" s="301"/>
      <c r="P303" s="301"/>
      <c r="Q303" s="301"/>
      <c r="R303" s="301"/>
      <c r="S303" s="301"/>
      <c r="T303" s="301"/>
      <c r="U303" s="305"/>
      <c r="Y303" s="305"/>
    </row>
    <row r="304" spans="1:25" ht="26.25" customHeight="1">
      <c r="A304" s="301"/>
      <c r="P304" s="301"/>
      <c r="Q304" s="301"/>
      <c r="R304" s="301"/>
      <c r="S304" s="301"/>
      <c r="T304" s="301"/>
      <c r="U304" s="305"/>
      <c r="Y304" s="305"/>
    </row>
    <row r="305" spans="1:25" ht="26.25" customHeight="1">
      <c r="A305" s="301"/>
      <c r="P305" s="301"/>
      <c r="Q305" s="301"/>
      <c r="R305" s="301"/>
      <c r="S305" s="301"/>
      <c r="T305" s="301"/>
      <c r="U305" s="305"/>
      <c r="Y305" s="305"/>
    </row>
    <row r="306" spans="1:25" ht="26.25" customHeight="1">
      <c r="A306" s="301"/>
      <c r="P306" s="301"/>
      <c r="Q306" s="301"/>
      <c r="R306" s="301"/>
      <c r="S306" s="301"/>
      <c r="T306" s="301"/>
      <c r="U306" s="305"/>
      <c r="Y306" s="305"/>
    </row>
    <row r="307" spans="1:25" ht="26.25" customHeight="1">
      <c r="A307" s="301"/>
      <c r="P307" s="301"/>
      <c r="Q307" s="301"/>
      <c r="R307" s="301"/>
      <c r="S307" s="301"/>
      <c r="T307" s="301"/>
      <c r="U307" s="305"/>
      <c r="Y307" s="305"/>
    </row>
    <row r="308" spans="1:25" ht="26.25" customHeight="1">
      <c r="A308" s="301"/>
      <c r="P308" s="301"/>
      <c r="Q308" s="301"/>
      <c r="R308" s="301"/>
      <c r="S308" s="301"/>
      <c r="T308" s="301"/>
      <c r="U308" s="305"/>
      <c r="Y308" s="305"/>
    </row>
    <row r="309" spans="1:25" ht="26.25" customHeight="1">
      <c r="A309" s="301"/>
      <c r="P309" s="301"/>
      <c r="Q309" s="301"/>
      <c r="R309" s="301"/>
      <c r="S309" s="301"/>
      <c r="T309" s="301"/>
      <c r="U309" s="305"/>
      <c r="Y309" s="305"/>
    </row>
    <row r="310" spans="1:25" ht="26.25" customHeight="1">
      <c r="A310" s="301"/>
      <c r="P310" s="301"/>
      <c r="Q310" s="301"/>
      <c r="R310" s="301"/>
      <c r="S310" s="301"/>
      <c r="T310" s="301"/>
      <c r="U310" s="305"/>
      <c r="Y310" s="305"/>
    </row>
    <row r="311" spans="1:25" ht="26.25" customHeight="1">
      <c r="A311" s="301"/>
      <c r="P311" s="301"/>
      <c r="Q311" s="301"/>
      <c r="R311" s="301"/>
      <c r="S311" s="301"/>
      <c r="T311" s="301"/>
      <c r="U311" s="305"/>
      <c r="Y311" s="305"/>
    </row>
    <row r="312" spans="1:25" ht="26.25" customHeight="1">
      <c r="A312" s="301"/>
      <c r="P312" s="301"/>
      <c r="Q312" s="301"/>
      <c r="R312" s="301"/>
      <c r="S312" s="301"/>
      <c r="T312" s="301"/>
      <c r="U312" s="305"/>
      <c r="Y312" s="305"/>
    </row>
    <row r="313" spans="1:25" ht="26.25" customHeight="1">
      <c r="A313" s="301"/>
      <c r="P313" s="301"/>
      <c r="Q313" s="301"/>
      <c r="R313" s="301"/>
      <c r="S313" s="301"/>
      <c r="T313" s="301"/>
      <c r="U313" s="305"/>
      <c r="Y313" s="305"/>
    </row>
    <row r="314" spans="1:25" ht="26.25" customHeight="1">
      <c r="A314" s="301"/>
      <c r="P314" s="301"/>
      <c r="Q314" s="301"/>
      <c r="R314" s="301"/>
      <c r="S314" s="301"/>
      <c r="T314" s="301"/>
      <c r="U314" s="305"/>
      <c r="Y314" s="305"/>
    </row>
    <row r="315" spans="1:25" ht="26.25" customHeight="1">
      <c r="A315" s="301"/>
      <c r="P315" s="301"/>
      <c r="Q315" s="301"/>
      <c r="R315" s="301"/>
      <c r="S315" s="301"/>
      <c r="T315" s="301"/>
      <c r="U315" s="305"/>
      <c r="Y315" s="305"/>
    </row>
    <row r="316" spans="1:25" ht="26.25" customHeight="1">
      <c r="A316" s="301"/>
      <c r="P316" s="301"/>
      <c r="Q316" s="301"/>
      <c r="R316" s="301"/>
      <c r="S316" s="301"/>
      <c r="T316" s="301"/>
      <c r="U316" s="305"/>
      <c r="Y316" s="305"/>
    </row>
    <row r="317" spans="1:25" ht="26.25" customHeight="1">
      <c r="A317" s="301"/>
      <c r="P317" s="301"/>
      <c r="Q317" s="301"/>
      <c r="R317" s="301"/>
      <c r="S317" s="301"/>
      <c r="T317" s="301"/>
      <c r="U317" s="305"/>
      <c r="Y317" s="305"/>
    </row>
    <row r="318" spans="1:25" ht="26.25" customHeight="1">
      <c r="A318" s="301"/>
      <c r="P318" s="301"/>
      <c r="Q318" s="301"/>
      <c r="R318" s="301"/>
      <c r="S318" s="301"/>
      <c r="T318" s="301"/>
      <c r="U318" s="305"/>
      <c r="Y318" s="305"/>
    </row>
    <row r="319" spans="1:25" ht="26.25" customHeight="1">
      <c r="A319" s="301"/>
      <c r="P319" s="301"/>
      <c r="Q319" s="301"/>
      <c r="R319" s="301"/>
      <c r="S319" s="301"/>
      <c r="T319" s="301"/>
      <c r="U319" s="305"/>
      <c r="Y319" s="305"/>
    </row>
    <row r="320" spans="1:25" ht="26.25" customHeight="1">
      <c r="A320" s="301"/>
      <c r="P320" s="301"/>
      <c r="Q320" s="301"/>
      <c r="R320" s="301"/>
      <c r="S320" s="301"/>
      <c r="T320" s="301"/>
      <c r="U320" s="305"/>
      <c r="Y320" s="305"/>
    </row>
    <row r="321" spans="1:25" ht="26.25" customHeight="1">
      <c r="A321" s="301"/>
      <c r="P321" s="301"/>
      <c r="Q321" s="301"/>
      <c r="R321" s="301"/>
      <c r="S321" s="301"/>
      <c r="T321" s="301"/>
      <c r="U321" s="305"/>
      <c r="Y321" s="305"/>
    </row>
    <row r="322" spans="1:25" ht="26.25" customHeight="1">
      <c r="A322" s="301"/>
      <c r="P322" s="301"/>
      <c r="Q322" s="301"/>
      <c r="R322" s="301"/>
      <c r="S322" s="301"/>
      <c r="T322" s="301"/>
      <c r="U322" s="305"/>
      <c r="Y322" s="305"/>
    </row>
    <row r="323" spans="1:25" ht="26.25" customHeight="1">
      <c r="A323" s="301"/>
      <c r="P323" s="301"/>
      <c r="Q323" s="301"/>
      <c r="R323" s="301"/>
      <c r="S323" s="301"/>
      <c r="T323" s="301"/>
      <c r="U323" s="305"/>
      <c r="Y323" s="305"/>
    </row>
    <row r="324" spans="1:25" ht="26.25" customHeight="1">
      <c r="A324" s="301"/>
      <c r="P324" s="301"/>
      <c r="Q324" s="301"/>
      <c r="R324" s="301"/>
      <c r="S324" s="301"/>
      <c r="T324" s="301"/>
      <c r="U324" s="305"/>
      <c r="Y324" s="305"/>
    </row>
    <row r="325" spans="1:25" ht="26.25" customHeight="1">
      <c r="A325" s="301"/>
      <c r="P325" s="301"/>
      <c r="Q325" s="301"/>
      <c r="R325" s="301"/>
      <c r="S325" s="301"/>
      <c r="T325" s="301"/>
      <c r="U325" s="305"/>
      <c r="Y325" s="305"/>
    </row>
    <row r="326" spans="1:25" ht="26.25" customHeight="1">
      <c r="A326" s="301"/>
      <c r="P326" s="301"/>
      <c r="Q326" s="301"/>
      <c r="R326" s="301"/>
      <c r="S326" s="301"/>
      <c r="T326" s="301"/>
      <c r="U326" s="305"/>
      <c r="Y326" s="305"/>
    </row>
    <row r="327" spans="1:25" ht="26.25" customHeight="1">
      <c r="A327" s="301"/>
      <c r="P327" s="301"/>
      <c r="Q327" s="301"/>
      <c r="R327" s="301"/>
      <c r="S327" s="301"/>
      <c r="T327" s="301"/>
      <c r="U327" s="305"/>
      <c r="Y327" s="305"/>
    </row>
    <row r="328" spans="1:25" ht="26.25" customHeight="1">
      <c r="A328" s="301"/>
      <c r="P328" s="301"/>
      <c r="Q328" s="301"/>
      <c r="R328" s="301"/>
      <c r="S328" s="301"/>
      <c r="T328" s="301"/>
      <c r="U328" s="305"/>
      <c r="Y328" s="305"/>
    </row>
    <row r="329" spans="1:25" ht="26.25" customHeight="1">
      <c r="A329" s="301"/>
      <c r="P329" s="301"/>
      <c r="Q329" s="301"/>
      <c r="R329" s="301"/>
      <c r="S329" s="301"/>
      <c r="T329" s="301"/>
      <c r="U329" s="305"/>
      <c r="Y329" s="305"/>
    </row>
    <row r="330" spans="1:25" ht="26.25" customHeight="1">
      <c r="A330" s="301"/>
      <c r="P330" s="301"/>
      <c r="Q330" s="301"/>
      <c r="R330" s="301"/>
      <c r="S330" s="301"/>
      <c r="T330" s="301"/>
      <c r="U330" s="305"/>
      <c r="Y330" s="305"/>
    </row>
    <row r="331" spans="1:25" ht="26.25" customHeight="1">
      <c r="A331" s="301"/>
      <c r="P331" s="301"/>
      <c r="Q331" s="301"/>
      <c r="R331" s="301"/>
      <c r="S331" s="301"/>
      <c r="T331" s="301"/>
      <c r="U331" s="305"/>
      <c r="Y331" s="305"/>
    </row>
    <row r="332" spans="1:25" ht="26.25" customHeight="1">
      <c r="A332" s="301"/>
      <c r="P332" s="301"/>
      <c r="Q332" s="301"/>
      <c r="R332" s="301"/>
      <c r="S332" s="301"/>
      <c r="T332" s="301"/>
      <c r="U332" s="305"/>
      <c r="Y332" s="305"/>
    </row>
    <row r="333" spans="1:25" ht="26.25" customHeight="1">
      <c r="A333" s="301"/>
      <c r="P333" s="301"/>
      <c r="Q333" s="301"/>
      <c r="R333" s="301"/>
      <c r="S333" s="301"/>
      <c r="T333" s="301"/>
      <c r="U333" s="305"/>
      <c r="Y333" s="305"/>
    </row>
    <row r="334" spans="1:25" ht="26.25" customHeight="1">
      <c r="A334" s="301"/>
      <c r="P334" s="301"/>
      <c r="Q334" s="301"/>
      <c r="R334" s="301"/>
      <c r="S334" s="301"/>
      <c r="T334" s="301"/>
      <c r="U334" s="305"/>
      <c r="Y334" s="305"/>
    </row>
    <row r="335" spans="1:25" ht="26.25" customHeight="1">
      <c r="A335" s="301"/>
      <c r="P335" s="301"/>
      <c r="Q335" s="301"/>
      <c r="R335" s="301"/>
      <c r="S335" s="301"/>
      <c r="T335" s="301"/>
      <c r="U335" s="305"/>
      <c r="Y335" s="305"/>
    </row>
    <row r="336" spans="1:25" ht="26.25" customHeight="1">
      <c r="A336" s="301"/>
      <c r="P336" s="301"/>
      <c r="Q336" s="301"/>
      <c r="R336" s="301"/>
      <c r="S336" s="301"/>
      <c r="T336" s="301"/>
      <c r="U336" s="305"/>
      <c r="Y336" s="305"/>
    </row>
    <row r="337" spans="1:25" ht="26.25" customHeight="1">
      <c r="A337" s="301"/>
      <c r="P337" s="301"/>
      <c r="Q337" s="301"/>
      <c r="R337" s="301"/>
      <c r="S337" s="301"/>
      <c r="T337" s="301"/>
      <c r="U337" s="305"/>
      <c r="Y337" s="305"/>
    </row>
    <row r="338" spans="1:25" ht="26.25" customHeight="1">
      <c r="A338" s="301"/>
      <c r="P338" s="301"/>
      <c r="Q338" s="301"/>
      <c r="R338" s="301"/>
      <c r="S338" s="301"/>
      <c r="T338" s="301"/>
      <c r="U338" s="305"/>
      <c r="Y338" s="305"/>
    </row>
    <row r="339" spans="1:25" ht="26.25" customHeight="1">
      <c r="A339" s="301"/>
      <c r="P339" s="301"/>
      <c r="Q339" s="301"/>
      <c r="R339" s="301"/>
      <c r="S339" s="301"/>
      <c r="T339" s="301"/>
      <c r="U339" s="305"/>
      <c r="Y339" s="305"/>
    </row>
    <row r="340" spans="1:25" ht="26.25" customHeight="1">
      <c r="A340" s="301"/>
      <c r="P340" s="301"/>
      <c r="Q340" s="301"/>
      <c r="R340" s="301"/>
      <c r="S340" s="301"/>
      <c r="T340" s="301"/>
      <c r="U340" s="305"/>
      <c r="Y340" s="305"/>
    </row>
    <row r="341" spans="1:25" ht="26.25" customHeight="1">
      <c r="A341" s="301"/>
      <c r="P341" s="301"/>
      <c r="Q341" s="301"/>
      <c r="R341" s="301"/>
      <c r="S341" s="301"/>
      <c r="T341" s="301"/>
      <c r="U341" s="305"/>
      <c r="Y341" s="305"/>
    </row>
    <row r="342" spans="1:25" ht="26.25" customHeight="1">
      <c r="A342" s="301"/>
      <c r="P342" s="301"/>
      <c r="Q342" s="301"/>
      <c r="R342" s="301"/>
      <c r="S342" s="301"/>
      <c r="T342" s="301"/>
      <c r="U342" s="305"/>
      <c r="Y342" s="305"/>
    </row>
    <row r="343" spans="1:25" ht="26.25" customHeight="1">
      <c r="A343" s="301"/>
      <c r="P343" s="301"/>
      <c r="Q343" s="301"/>
      <c r="R343" s="301"/>
      <c r="S343" s="301"/>
      <c r="T343" s="301"/>
      <c r="U343" s="305"/>
      <c r="Y343" s="305"/>
    </row>
    <row r="344" spans="1:25" ht="26.25" customHeight="1">
      <c r="A344" s="301"/>
      <c r="P344" s="301"/>
      <c r="Q344" s="301"/>
      <c r="R344" s="301"/>
      <c r="S344" s="301"/>
      <c r="T344" s="301"/>
      <c r="U344" s="305"/>
      <c r="Y344" s="305"/>
    </row>
    <row r="345" spans="1:25" ht="26.25" customHeight="1">
      <c r="A345" s="301"/>
      <c r="P345" s="301"/>
      <c r="Q345" s="301"/>
      <c r="R345" s="301"/>
      <c r="S345" s="301"/>
      <c r="T345" s="301"/>
      <c r="U345" s="305"/>
      <c r="Y345" s="305"/>
    </row>
    <row r="346" spans="1:25" ht="26.25" customHeight="1">
      <c r="A346" s="301"/>
      <c r="P346" s="301"/>
      <c r="Q346" s="301"/>
      <c r="R346" s="301"/>
      <c r="S346" s="301"/>
      <c r="T346" s="301"/>
      <c r="U346" s="305"/>
      <c r="Y346" s="305"/>
    </row>
    <row r="347" spans="1:25" ht="26.25" customHeight="1">
      <c r="A347" s="301"/>
      <c r="P347" s="301"/>
      <c r="Q347" s="301"/>
      <c r="R347" s="301"/>
      <c r="S347" s="301"/>
      <c r="T347" s="301"/>
      <c r="U347" s="305"/>
      <c r="Y347" s="305"/>
    </row>
    <row r="348" spans="1:25" ht="26.25" customHeight="1">
      <c r="A348" s="301"/>
      <c r="P348" s="301"/>
      <c r="Q348" s="301"/>
      <c r="R348" s="301"/>
      <c r="S348" s="301"/>
      <c r="T348" s="301"/>
      <c r="U348" s="305"/>
      <c r="Y348" s="305"/>
    </row>
    <row r="349" spans="1:25" ht="26.25" customHeight="1">
      <c r="A349" s="301"/>
      <c r="P349" s="301"/>
      <c r="Q349" s="301"/>
      <c r="R349" s="301"/>
      <c r="S349" s="301"/>
      <c r="T349" s="301"/>
      <c r="U349" s="305"/>
      <c r="Y349" s="305"/>
    </row>
    <row r="350" spans="1:25" ht="26.25" customHeight="1">
      <c r="A350" s="301"/>
      <c r="P350" s="301"/>
      <c r="Q350" s="301"/>
      <c r="R350" s="301"/>
      <c r="S350" s="301"/>
      <c r="T350" s="301"/>
      <c r="U350" s="305"/>
      <c r="Y350" s="305"/>
    </row>
    <row r="351" spans="1:25" ht="26.25" customHeight="1">
      <c r="A351" s="301"/>
      <c r="P351" s="301"/>
      <c r="Q351" s="301"/>
      <c r="R351" s="301"/>
      <c r="S351" s="301"/>
      <c r="T351" s="301"/>
      <c r="U351" s="305"/>
      <c r="Y351" s="305"/>
    </row>
    <row r="352" spans="1:25" ht="26.25" customHeight="1">
      <c r="A352" s="301"/>
      <c r="P352" s="301"/>
      <c r="Q352" s="301"/>
      <c r="R352" s="301"/>
      <c r="S352" s="301"/>
      <c r="T352" s="301"/>
      <c r="U352" s="305"/>
      <c r="Y352" s="305"/>
    </row>
    <row r="353" spans="1:25" ht="26.25" customHeight="1">
      <c r="A353" s="301"/>
      <c r="P353" s="301"/>
      <c r="Q353" s="301"/>
      <c r="R353" s="301"/>
      <c r="S353" s="301"/>
      <c r="T353" s="301"/>
      <c r="U353" s="305"/>
      <c r="Y353" s="305"/>
    </row>
    <row r="354" spans="1:25" ht="26.25" customHeight="1">
      <c r="A354" s="301"/>
      <c r="P354" s="301"/>
      <c r="Q354" s="301"/>
      <c r="R354" s="301"/>
      <c r="S354" s="301"/>
      <c r="T354" s="301"/>
      <c r="U354" s="305"/>
      <c r="Y354" s="305"/>
    </row>
    <row r="355" spans="1:25" ht="26.25" customHeight="1">
      <c r="A355" s="301"/>
      <c r="P355" s="301"/>
      <c r="Q355" s="301"/>
      <c r="R355" s="301"/>
      <c r="S355" s="301"/>
      <c r="T355" s="301"/>
      <c r="U355" s="305"/>
      <c r="Y355" s="305"/>
    </row>
    <row r="356" spans="1:25" ht="26.25" customHeight="1">
      <c r="A356" s="301"/>
      <c r="P356" s="301"/>
      <c r="Q356" s="301"/>
      <c r="R356" s="301"/>
      <c r="S356" s="301"/>
      <c r="T356" s="301"/>
      <c r="U356" s="305"/>
      <c r="Y356" s="305"/>
    </row>
    <row r="357" spans="1:25" ht="26.25" customHeight="1">
      <c r="A357" s="301"/>
      <c r="P357" s="301"/>
      <c r="Q357" s="301"/>
      <c r="R357" s="301"/>
      <c r="S357" s="301"/>
      <c r="T357" s="301"/>
      <c r="U357" s="305"/>
      <c r="Y357" s="305"/>
    </row>
    <row r="358" spans="1:25" ht="26.25" customHeight="1">
      <c r="A358" s="301"/>
      <c r="P358" s="301"/>
      <c r="Q358" s="301"/>
      <c r="R358" s="301"/>
      <c r="S358" s="301"/>
      <c r="T358" s="301"/>
      <c r="U358" s="305"/>
      <c r="Y358" s="305"/>
    </row>
    <row r="359" spans="1:25" ht="26.25" customHeight="1">
      <c r="A359" s="301"/>
      <c r="P359" s="301"/>
      <c r="Q359" s="301"/>
      <c r="R359" s="301"/>
      <c r="S359" s="301"/>
      <c r="T359" s="301"/>
      <c r="U359" s="305"/>
      <c r="Y359" s="305"/>
    </row>
    <row r="360" spans="1:25" ht="26.25" customHeight="1">
      <c r="A360" s="301"/>
      <c r="P360" s="301"/>
      <c r="Q360" s="301"/>
      <c r="R360" s="301"/>
      <c r="S360" s="301"/>
      <c r="T360" s="301"/>
      <c r="U360" s="305"/>
      <c r="Y360" s="305"/>
    </row>
    <row r="361" spans="1:25" ht="26.25" customHeight="1">
      <c r="A361" s="301"/>
      <c r="P361" s="301"/>
      <c r="Q361" s="301"/>
      <c r="R361" s="301"/>
      <c r="S361" s="301"/>
      <c r="T361" s="301"/>
      <c r="U361" s="305"/>
      <c r="Y361" s="305"/>
    </row>
    <row r="362" spans="1:25" ht="26.25" customHeight="1">
      <c r="A362" s="301"/>
      <c r="P362" s="301"/>
      <c r="Q362" s="301"/>
      <c r="R362" s="301"/>
      <c r="S362" s="301"/>
      <c r="T362" s="301"/>
      <c r="U362" s="305"/>
      <c r="Y362" s="305"/>
    </row>
    <row r="363" spans="1:25" ht="26.25" customHeight="1">
      <c r="A363" s="301"/>
      <c r="P363" s="301"/>
      <c r="Q363" s="301"/>
      <c r="R363" s="301"/>
      <c r="S363" s="301"/>
      <c r="T363" s="301"/>
      <c r="U363" s="305"/>
      <c r="Y363" s="305"/>
    </row>
    <row r="364" spans="1:25" ht="26.25" customHeight="1">
      <c r="A364" s="301"/>
      <c r="P364" s="301"/>
      <c r="Q364" s="301"/>
      <c r="R364" s="301"/>
      <c r="S364" s="301"/>
      <c r="T364" s="301"/>
      <c r="U364" s="305"/>
      <c r="Y364" s="305"/>
    </row>
    <row r="365" spans="1:25" ht="26.25" customHeight="1">
      <c r="A365" s="301"/>
      <c r="P365" s="301"/>
      <c r="Q365" s="301"/>
      <c r="R365" s="301"/>
      <c r="S365" s="301"/>
      <c r="T365" s="301"/>
      <c r="U365" s="305"/>
      <c r="Y365" s="305"/>
    </row>
    <row r="366" spans="1:25" ht="26.25" customHeight="1">
      <c r="A366" s="301"/>
      <c r="P366" s="301"/>
      <c r="Q366" s="301"/>
      <c r="R366" s="301"/>
      <c r="S366" s="301"/>
      <c r="T366" s="301"/>
      <c r="U366" s="305"/>
      <c r="Y366" s="305"/>
    </row>
    <row r="367" spans="1:25" ht="26.25" customHeight="1">
      <c r="A367" s="301"/>
      <c r="P367" s="301"/>
      <c r="Q367" s="301"/>
      <c r="R367" s="301"/>
      <c r="S367" s="301"/>
      <c r="T367" s="301"/>
      <c r="U367" s="305"/>
      <c r="Y367" s="305"/>
    </row>
    <row r="368" spans="1:25" ht="26.25" customHeight="1">
      <c r="A368" s="301"/>
      <c r="P368" s="301"/>
      <c r="Q368" s="301"/>
      <c r="R368" s="301"/>
      <c r="S368" s="301"/>
      <c r="T368" s="301"/>
      <c r="U368" s="305"/>
      <c r="Y368" s="305"/>
    </row>
    <row r="369" spans="1:25" ht="26.25" customHeight="1">
      <c r="A369" s="301"/>
      <c r="P369" s="301"/>
      <c r="Q369" s="301"/>
      <c r="R369" s="301"/>
      <c r="S369" s="301"/>
      <c r="T369" s="301"/>
      <c r="U369" s="305"/>
      <c r="Y369" s="305"/>
    </row>
    <row r="370" spans="1:25" ht="26.25" customHeight="1">
      <c r="A370" s="301"/>
      <c r="P370" s="301"/>
      <c r="Q370" s="301"/>
      <c r="R370" s="301"/>
      <c r="S370" s="301"/>
      <c r="T370" s="301"/>
      <c r="U370" s="305"/>
      <c r="Y370" s="305"/>
    </row>
    <row r="371" spans="1:25" ht="26.25" customHeight="1">
      <c r="A371" s="301"/>
      <c r="P371" s="301"/>
      <c r="Q371" s="301"/>
      <c r="R371" s="301"/>
      <c r="S371" s="301"/>
      <c r="T371" s="301"/>
      <c r="U371" s="305"/>
      <c r="Y371" s="305"/>
    </row>
    <row r="372" spans="1:25" ht="26.25" customHeight="1">
      <c r="A372" s="301"/>
      <c r="P372" s="301"/>
      <c r="Q372" s="301"/>
      <c r="R372" s="301"/>
      <c r="S372" s="301"/>
      <c r="T372" s="301"/>
      <c r="U372" s="305"/>
      <c r="Y372" s="305"/>
    </row>
    <row r="373" spans="1:25" ht="26.25" customHeight="1">
      <c r="A373" s="301"/>
      <c r="P373" s="301"/>
      <c r="Q373" s="301"/>
      <c r="R373" s="301"/>
      <c r="S373" s="301"/>
      <c r="T373" s="301"/>
      <c r="U373" s="305"/>
      <c r="Y373" s="305"/>
    </row>
    <row r="374" spans="1:25" ht="26.25" customHeight="1">
      <c r="A374" s="301"/>
      <c r="P374" s="301"/>
      <c r="Q374" s="301"/>
      <c r="R374" s="301"/>
      <c r="S374" s="301"/>
      <c r="T374" s="301"/>
      <c r="U374" s="305"/>
      <c r="Y374" s="305"/>
    </row>
    <row r="375" spans="1:25" ht="26.25" customHeight="1">
      <c r="A375" s="301"/>
      <c r="P375" s="301"/>
      <c r="Q375" s="301"/>
      <c r="R375" s="301"/>
      <c r="S375" s="301"/>
      <c r="T375" s="301"/>
      <c r="U375" s="305"/>
      <c r="Y375" s="305"/>
    </row>
    <row r="376" spans="1:25" ht="26.25" customHeight="1">
      <c r="A376" s="301"/>
      <c r="P376" s="301"/>
      <c r="Q376" s="301"/>
      <c r="R376" s="301"/>
      <c r="S376" s="301"/>
      <c r="T376" s="301"/>
      <c r="U376" s="305"/>
      <c r="Y376" s="305"/>
    </row>
    <row r="377" spans="1:25" ht="26.25" customHeight="1">
      <c r="A377" s="301"/>
      <c r="P377" s="301"/>
      <c r="Q377" s="301"/>
      <c r="R377" s="301"/>
      <c r="S377" s="301"/>
      <c r="T377" s="301"/>
      <c r="U377" s="305"/>
      <c r="Y377" s="305"/>
    </row>
    <row r="378" spans="1:25" ht="26.25" customHeight="1">
      <c r="A378" s="301"/>
      <c r="P378" s="301"/>
      <c r="Q378" s="301"/>
      <c r="R378" s="301"/>
      <c r="S378" s="301"/>
      <c r="T378" s="301"/>
      <c r="U378" s="305"/>
      <c r="Y378" s="305"/>
    </row>
    <row r="379" spans="1:25" ht="26.25" customHeight="1">
      <c r="A379" s="301"/>
      <c r="P379" s="301"/>
      <c r="Q379" s="301"/>
      <c r="R379" s="301"/>
      <c r="S379" s="301"/>
      <c r="T379" s="301"/>
      <c r="U379" s="305"/>
      <c r="Y379" s="305"/>
    </row>
    <row r="380" spans="1:25" ht="26.25" customHeight="1">
      <c r="A380" s="301"/>
      <c r="P380" s="301"/>
      <c r="Q380" s="301"/>
      <c r="R380" s="301"/>
      <c r="S380" s="301"/>
      <c r="T380" s="301"/>
      <c r="U380" s="305"/>
      <c r="Y380" s="305"/>
    </row>
    <row r="381" spans="1:25" ht="26.25" customHeight="1">
      <c r="A381" s="301"/>
      <c r="P381" s="301"/>
      <c r="Q381" s="301"/>
      <c r="R381" s="301"/>
      <c r="S381" s="301"/>
      <c r="T381" s="301"/>
      <c r="U381" s="305"/>
      <c r="Y381" s="305"/>
    </row>
    <row r="382" spans="1:25" ht="26.25" customHeight="1">
      <c r="A382" s="301"/>
      <c r="P382" s="301"/>
      <c r="Q382" s="301"/>
      <c r="R382" s="301"/>
      <c r="S382" s="301"/>
      <c r="T382" s="301"/>
      <c r="U382" s="305"/>
      <c r="Y382" s="305"/>
    </row>
    <row r="383" spans="1:25" ht="26.25" customHeight="1">
      <c r="A383" s="301"/>
      <c r="P383" s="301"/>
      <c r="Q383" s="301"/>
      <c r="R383" s="301"/>
      <c r="S383" s="301"/>
      <c r="T383" s="301"/>
      <c r="U383" s="305"/>
      <c r="Y383" s="305"/>
    </row>
    <row r="384" spans="1:25" ht="26.25" customHeight="1">
      <c r="A384" s="301"/>
      <c r="P384" s="301"/>
      <c r="Q384" s="301"/>
      <c r="R384" s="301"/>
      <c r="S384" s="301"/>
      <c r="T384" s="301"/>
      <c r="U384" s="305"/>
      <c r="Y384" s="305"/>
    </row>
    <row r="385" spans="1:25" ht="26.25" customHeight="1">
      <c r="A385" s="301"/>
      <c r="P385" s="301"/>
      <c r="Q385" s="301"/>
      <c r="R385" s="301"/>
      <c r="S385" s="301"/>
      <c r="T385" s="301"/>
      <c r="U385" s="305"/>
      <c r="Y385" s="305"/>
    </row>
    <row r="386" spans="1:25" ht="26.25" customHeight="1">
      <c r="A386" s="301"/>
      <c r="P386" s="301"/>
      <c r="Q386" s="301"/>
      <c r="R386" s="301"/>
      <c r="S386" s="301"/>
      <c r="T386" s="301"/>
      <c r="U386" s="305"/>
      <c r="Y386" s="305"/>
    </row>
    <row r="387" spans="1:25" ht="26.25" customHeight="1">
      <c r="A387" s="301"/>
      <c r="P387" s="301"/>
      <c r="Q387" s="301"/>
      <c r="R387" s="301"/>
      <c r="S387" s="301"/>
      <c r="T387" s="301"/>
      <c r="U387" s="305"/>
      <c r="Y387" s="305"/>
    </row>
    <row r="388" spans="1:25" ht="26.25" customHeight="1">
      <c r="A388" s="301"/>
      <c r="P388" s="301"/>
      <c r="Q388" s="301"/>
      <c r="R388" s="301"/>
      <c r="S388" s="301"/>
      <c r="T388" s="301"/>
      <c r="U388" s="305"/>
      <c r="Y388" s="305"/>
    </row>
    <row r="389" spans="1:25" ht="26.25" customHeight="1">
      <c r="A389" s="301"/>
      <c r="P389" s="301"/>
      <c r="Q389" s="301"/>
      <c r="R389" s="301"/>
      <c r="S389" s="301"/>
      <c r="T389" s="301"/>
      <c r="U389" s="305"/>
      <c r="Y389" s="305"/>
    </row>
    <row r="390" spans="1:25" ht="26.25" customHeight="1">
      <c r="A390" s="301"/>
      <c r="P390" s="301"/>
      <c r="Q390" s="301"/>
      <c r="R390" s="301"/>
      <c r="S390" s="301"/>
      <c r="T390" s="301"/>
      <c r="U390" s="305"/>
      <c r="Y390" s="305"/>
    </row>
    <row r="391" spans="1:25" ht="26.25" customHeight="1">
      <c r="A391" s="301"/>
      <c r="P391" s="301"/>
      <c r="Q391" s="301"/>
      <c r="R391" s="301"/>
      <c r="S391" s="301"/>
      <c r="T391" s="301"/>
      <c r="U391" s="305"/>
      <c r="Y391" s="305"/>
    </row>
    <row r="392" spans="1:25" ht="26.25" customHeight="1">
      <c r="A392" s="301"/>
      <c r="P392" s="301"/>
      <c r="Q392" s="301"/>
      <c r="R392" s="301"/>
      <c r="S392" s="301"/>
      <c r="T392" s="301"/>
      <c r="U392" s="305"/>
      <c r="Y392" s="305"/>
    </row>
    <row r="393" spans="1:25" ht="26.25" customHeight="1">
      <c r="A393" s="301"/>
      <c r="P393" s="301"/>
      <c r="Q393" s="301"/>
      <c r="R393" s="301"/>
      <c r="S393" s="301"/>
      <c r="T393" s="301"/>
      <c r="U393" s="305"/>
      <c r="Y393" s="305"/>
    </row>
    <row r="394" spans="1:25" ht="26.25" customHeight="1">
      <c r="A394" s="301"/>
      <c r="P394" s="301"/>
      <c r="Q394" s="301"/>
      <c r="R394" s="301"/>
      <c r="S394" s="301"/>
      <c r="T394" s="301"/>
      <c r="U394" s="305"/>
      <c r="Y394" s="305"/>
    </row>
    <row r="395" spans="1:25" ht="26.25" customHeight="1">
      <c r="A395" s="301"/>
      <c r="P395" s="301"/>
      <c r="Q395" s="301"/>
      <c r="R395" s="301"/>
      <c r="S395" s="301"/>
      <c r="T395" s="301"/>
      <c r="U395" s="305"/>
      <c r="Y395" s="305"/>
    </row>
    <row r="396" spans="1:25" ht="26.25" customHeight="1">
      <c r="A396" s="301"/>
      <c r="P396" s="301"/>
      <c r="Q396" s="301"/>
      <c r="R396" s="301"/>
      <c r="S396" s="301"/>
      <c r="T396" s="301"/>
      <c r="U396" s="305"/>
      <c r="Y396" s="305"/>
    </row>
    <row r="397" spans="1:25" ht="26.25" customHeight="1">
      <c r="A397" s="301"/>
      <c r="P397" s="301"/>
      <c r="Q397" s="301"/>
      <c r="R397" s="301"/>
      <c r="S397" s="301"/>
      <c r="T397" s="301"/>
      <c r="U397" s="305"/>
      <c r="Y397" s="305"/>
    </row>
    <row r="398" spans="1:25" ht="26.25" customHeight="1">
      <c r="A398" s="301"/>
      <c r="P398" s="301"/>
      <c r="Q398" s="301"/>
      <c r="R398" s="301"/>
      <c r="S398" s="301"/>
      <c r="T398" s="301"/>
      <c r="U398" s="305"/>
      <c r="Y398" s="305"/>
    </row>
    <row r="399" spans="1:25" ht="26.25" customHeight="1">
      <c r="A399" s="301"/>
      <c r="P399" s="301"/>
      <c r="Q399" s="301"/>
      <c r="R399" s="301"/>
      <c r="S399" s="301"/>
      <c r="T399" s="301"/>
      <c r="U399" s="305"/>
      <c r="Y399" s="305"/>
    </row>
    <row r="400" spans="1:25" ht="26.25" customHeight="1">
      <c r="A400" s="301"/>
      <c r="P400" s="301"/>
      <c r="Q400" s="301"/>
      <c r="R400" s="301"/>
      <c r="S400" s="301"/>
      <c r="T400" s="301"/>
      <c r="U400" s="305"/>
      <c r="Y400" s="305"/>
    </row>
    <row r="401" spans="1:25" ht="26.25" customHeight="1">
      <c r="A401" s="301"/>
      <c r="P401" s="301"/>
      <c r="Q401" s="301"/>
      <c r="R401" s="301"/>
      <c r="S401" s="301"/>
      <c r="T401" s="301"/>
      <c r="U401" s="305"/>
      <c r="Y401" s="305"/>
    </row>
    <row r="402" spans="1:25" ht="26.25" customHeight="1">
      <c r="A402" s="301"/>
      <c r="P402" s="301"/>
      <c r="Q402" s="301"/>
      <c r="R402" s="301"/>
      <c r="S402" s="301"/>
      <c r="T402" s="301"/>
      <c r="U402" s="305"/>
      <c r="Y402" s="305"/>
    </row>
    <row r="403" spans="1:25" ht="26.25" customHeight="1">
      <c r="A403" s="301"/>
      <c r="P403" s="301"/>
      <c r="Q403" s="301"/>
      <c r="R403" s="301"/>
      <c r="S403" s="301"/>
      <c r="T403" s="301"/>
      <c r="U403" s="305"/>
      <c r="Y403" s="305"/>
    </row>
    <row r="404" spans="1:25" ht="26.25" customHeight="1">
      <c r="A404" s="301"/>
      <c r="P404" s="301"/>
      <c r="Q404" s="301"/>
      <c r="R404" s="301"/>
      <c r="S404" s="301"/>
      <c r="T404" s="301"/>
      <c r="U404" s="305"/>
      <c r="Y404" s="305"/>
    </row>
    <row r="405" spans="1:25" ht="26.25" customHeight="1">
      <c r="A405" s="301"/>
      <c r="P405" s="301"/>
      <c r="Q405" s="301"/>
      <c r="R405" s="301"/>
      <c r="S405" s="301"/>
      <c r="T405" s="301"/>
      <c r="U405" s="305"/>
      <c r="Y405" s="305"/>
    </row>
    <row r="406" spans="1:25" ht="26.25" customHeight="1">
      <c r="A406" s="301"/>
      <c r="P406" s="301"/>
      <c r="Q406" s="301"/>
      <c r="R406" s="301"/>
      <c r="S406" s="301"/>
      <c r="T406" s="301"/>
      <c r="U406" s="305"/>
      <c r="Y406" s="305"/>
    </row>
    <row r="407" spans="1:25" ht="26.25" customHeight="1">
      <c r="A407" s="301"/>
      <c r="P407" s="301"/>
      <c r="Q407" s="301"/>
      <c r="R407" s="301"/>
      <c r="S407" s="301"/>
      <c r="T407" s="301"/>
      <c r="U407" s="305"/>
      <c r="Y407" s="305"/>
    </row>
    <row r="408" spans="1:25" ht="26.25" customHeight="1">
      <c r="A408" s="301"/>
      <c r="P408" s="301"/>
      <c r="Q408" s="301"/>
      <c r="R408" s="301"/>
      <c r="S408" s="301"/>
      <c r="T408" s="301"/>
      <c r="U408" s="305"/>
      <c r="Y408" s="305"/>
    </row>
    <row r="409" spans="1:25" ht="26.25" customHeight="1">
      <c r="A409" s="301"/>
      <c r="P409" s="301"/>
      <c r="Q409" s="301"/>
      <c r="R409" s="301"/>
      <c r="S409" s="301"/>
      <c r="T409" s="301"/>
      <c r="U409" s="305"/>
      <c r="Y409" s="305"/>
    </row>
    <row r="410" spans="1:25" ht="26.25" customHeight="1">
      <c r="A410" s="301"/>
      <c r="P410" s="301"/>
      <c r="Q410" s="301"/>
      <c r="R410" s="301"/>
      <c r="S410" s="301"/>
      <c r="T410" s="301"/>
      <c r="U410" s="305"/>
      <c r="Y410" s="305"/>
    </row>
    <row r="411" spans="1:25" ht="26.25" customHeight="1">
      <c r="A411" s="301"/>
      <c r="P411" s="301"/>
      <c r="Q411" s="301"/>
      <c r="R411" s="301"/>
      <c r="S411" s="301"/>
      <c r="T411" s="301"/>
      <c r="U411" s="305"/>
      <c r="Y411" s="305"/>
    </row>
    <row r="412" spans="1:25" ht="26.25" customHeight="1">
      <c r="A412" s="301"/>
      <c r="P412" s="301"/>
      <c r="Q412" s="301"/>
      <c r="R412" s="301"/>
      <c r="S412" s="301"/>
      <c r="T412" s="301"/>
      <c r="U412" s="305"/>
      <c r="Y412" s="305"/>
    </row>
    <row r="413" spans="1:25" ht="26.25" customHeight="1">
      <c r="A413" s="301"/>
      <c r="P413" s="301"/>
      <c r="Q413" s="301"/>
      <c r="R413" s="301"/>
      <c r="S413" s="301"/>
      <c r="T413" s="301"/>
      <c r="U413" s="305"/>
      <c r="Y413" s="305"/>
    </row>
    <row r="414" spans="1:25" ht="26.25" customHeight="1">
      <c r="A414" s="301"/>
      <c r="P414" s="301"/>
      <c r="Q414" s="301"/>
      <c r="R414" s="301"/>
      <c r="S414" s="301"/>
      <c r="T414" s="301"/>
      <c r="U414" s="305"/>
      <c r="Y414" s="305"/>
    </row>
    <row r="415" spans="1:25" ht="26.25" customHeight="1">
      <c r="A415" s="301"/>
      <c r="P415" s="301"/>
      <c r="Q415" s="301"/>
      <c r="R415" s="301"/>
      <c r="S415" s="301"/>
      <c r="T415" s="301"/>
      <c r="U415" s="305"/>
      <c r="Y415" s="305"/>
    </row>
    <row r="416" spans="1:25" ht="26.25" customHeight="1">
      <c r="A416" s="301"/>
      <c r="P416" s="301"/>
      <c r="Q416" s="301"/>
      <c r="R416" s="301"/>
      <c r="S416" s="301"/>
      <c r="T416" s="301"/>
      <c r="U416" s="305"/>
      <c r="Y416" s="305"/>
    </row>
    <row r="417" spans="1:25" ht="26.25" customHeight="1">
      <c r="A417" s="301"/>
      <c r="P417" s="301"/>
      <c r="Q417" s="301"/>
      <c r="R417" s="301"/>
      <c r="S417" s="301"/>
      <c r="T417" s="301"/>
      <c r="U417" s="305"/>
      <c r="Y417" s="305"/>
    </row>
    <row r="418" spans="1:25" ht="26.25" customHeight="1">
      <c r="A418" s="301"/>
      <c r="P418" s="301"/>
      <c r="Q418" s="301"/>
      <c r="R418" s="301"/>
      <c r="S418" s="301"/>
      <c r="T418" s="301"/>
      <c r="U418" s="305"/>
      <c r="Y418" s="305"/>
    </row>
    <row r="419" spans="1:25" ht="26.25" customHeight="1">
      <c r="A419" s="301"/>
      <c r="P419" s="301"/>
      <c r="Q419" s="301"/>
      <c r="R419" s="301"/>
      <c r="S419" s="301"/>
      <c r="T419" s="301"/>
      <c r="U419" s="305"/>
      <c r="Y419" s="305"/>
    </row>
    <row r="420" spans="1:25" ht="26.25" customHeight="1">
      <c r="A420" s="301"/>
      <c r="P420" s="301"/>
      <c r="Q420" s="301"/>
      <c r="R420" s="301"/>
      <c r="S420" s="301"/>
      <c r="T420" s="301"/>
      <c r="U420" s="305"/>
      <c r="Y420" s="305"/>
    </row>
    <row r="421" spans="1:25" ht="26.25" customHeight="1">
      <c r="A421" s="301"/>
      <c r="P421" s="301"/>
      <c r="Q421" s="301"/>
      <c r="R421" s="301"/>
      <c r="S421" s="301"/>
      <c r="T421" s="301"/>
      <c r="U421" s="305"/>
      <c r="Y421" s="305"/>
    </row>
    <row r="422" spans="1:25" ht="26.25" customHeight="1">
      <c r="A422" s="301"/>
      <c r="P422" s="301"/>
      <c r="Q422" s="301"/>
      <c r="R422" s="301"/>
      <c r="S422" s="301"/>
      <c r="T422" s="301"/>
      <c r="U422" s="305"/>
      <c r="Y422" s="305"/>
    </row>
    <row r="423" spans="1:25" ht="26.25" customHeight="1">
      <c r="A423" s="301"/>
      <c r="P423" s="301"/>
      <c r="Q423" s="301"/>
      <c r="R423" s="301"/>
      <c r="S423" s="301"/>
      <c r="T423" s="301"/>
      <c r="U423" s="305"/>
      <c r="Y423" s="305"/>
    </row>
    <row r="424" spans="1:25" ht="26.25" customHeight="1">
      <c r="A424" s="301"/>
      <c r="P424" s="301"/>
      <c r="Q424" s="301"/>
      <c r="R424" s="301"/>
      <c r="S424" s="301"/>
      <c r="T424" s="301"/>
      <c r="U424" s="305"/>
      <c r="Y424" s="305"/>
    </row>
    <row r="425" spans="1:25" ht="26.25" customHeight="1">
      <c r="A425" s="301"/>
      <c r="P425" s="301"/>
      <c r="Q425" s="301"/>
      <c r="R425" s="301"/>
      <c r="S425" s="301"/>
      <c r="T425" s="301"/>
      <c r="U425" s="305"/>
      <c r="Y425" s="305"/>
    </row>
    <row r="426" spans="1:25" ht="26.25" customHeight="1">
      <c r="A426" s="301"/>
      <c r="P426" s="301"/>
      <c r="Q426" s="301"/>
      <c r="R426" s="301"/>
      <c r="S426" s="301"/>
      <c r="T426" s="301"/>
      <c r="U426" s="305"/>
      <c r="Y426" s="305"/>
    </row>
    <row r="427" spans="1:25" ht="26.25" customHeight="1">
      <c r="A427" s="301"/>
      <c r="P427" s="301"/>
      <c r="Q427" s="301"/>
      <c r="R427" s="301"/>
      <c r="S427" s="301"/>
      <c r="T427" s="301"/>
      <c r="U427" s="305"/>
      <c r="Y427" s="305"/>
    </row>
    <row r="428" spans="1:25" ht="26.25" customHeight="1">
      <c r="A428" s="301"/>
      <c r="P428" s="301"/>
      <c r="Q428" s="301"/>
      <c r="R428" s="301"/>
      <c r="S428" s="301"/>
      <c r="T428" s="301"/>
      <c r="U428" s="305"/>
      <c r="Y428" s="305"/>
    </row>
    <row r="429" spans="1:25" ht="26.25" customHeight="1">
      <c r="A429" s="301"/>
      <c r="P429" s="301"/>
      <c r="Q429" s="301"/>
      <c r="R429" s="301"/>
      <c r="S429" s="301"/>
      <c r="T429" s="301"/>
      <c r="U429" s="305"/>
      <c r="Y429" s="305"/>
    </row>
    <row r="430" spans="1:25" ht="26.25" customHeight="1">
      <c r="A430" s="301"/>
      <c r="P430" s="301"/>
      <c r="Q430" s="301"/>
      <c r="R430" s="301"/>
      <c r="S430" s="301"/>
      <c r="T430" s="301"/>
      <c r="U430" s="305"/>
      <c r="Y430" s="305"/>
    </row>
    <row r="431" spans="1:25" ht="26.25" customHeight="1">
      <c r="A431" s="301"/>
      <c r="P431" s="301"/>
      <c r="Q431" s="301"/>
      <c r="R431" s="301"/>
      <c r="S431" s="301"/>
      <c r="T431" s="301"/>
      <c r="U431" s="305"/>
      <c r="Y431" s="305"/>
    </row>
    <row r="432" spans="1:25" ht="26.25" customHeight="1">
      <c r="A432" s="301"/>
      <c r="P432" s="301"/>
      <c r="Q432" s="301"/>
      <c r="R432" s="301"/>
      <c r="S432" s="301"/>
      <c r="T432" s="301"/>
      <c r="U432" s="305"/>
      <c r="Y432" s="305"/>
    </row>
    <row r="433" spans="1:25" ht="26.25" customHeight="1">
      <c r="A433" s="301"/>
      <c r="P433" s="301"/>
      <c r="Q433" s="301"/>
      <c r="R433" s="301"/>
      <c r="S433" s="301"/>
      <c r="T433" s="301"/>
      <c r="U433" s="305"/>
      <c r="Y433" s="305"/>
    </row>
    <row r="434" spans="1:25" ht="26.25" customHeight="1">
      <c r="A434" s="301"/>
      <c r="P434" s="301"/>
      <c r="Q434" s="301"/>
      <c r="R434" s="301"/>
      <c r="S434" s="301"/>
      <c r="T434" s="301"/>
      <c r="U434" s="305"/>
      <c r="Y434" s="305"/>
    </row>
    <row r="435" spans="1:25" ht="26.25" customHeight="1">
      <c r="A435" s="301"/>
      <c r="P435" s="301"/>
      <c r="Q435" s="301"/>
      <c r="R435" s="301"/>
      <c r="S435" s="301"/>
      <c r="T435" s="301"/>
      <c r="U435" s="305"/>
      <c r="Y435" s="305"/>
    </row>
    <row r="436" spans="1:25" ht="26.25" customHeight="1">
      <c r="A436" s="301"/>
      <c r="P436" s="301"/>
      <c r="Q436" s="301"/>
      <c r="R436" s="301"/>
      <c r="S436" s="301"/>
      <c r="T436" s="301"/>
      <c r="U436" s="305"/>
      <c r="Y436" s="305"/>
    </row>
    <row r="437" spans="1:25" ht="26.25" customHeight="1">
      <c r="A437" s="301"/>
      <c r="P437" s="301"/>
      <c r="Q437" s="301"/>
      <c r="R437" s="301"/>
      <c r="S437" s="301"/>
      <c r="T437" s="301"/>
      <c r="U437" s="305"/>
      <c r="Y437" s="305"/>
    </row>
    <row r="438" spans="1:25" ht="26.25" customHeight="1">
      <c r="A438" s="301"/>
      <c r="P438" s="301"/>
      <c r="Q438" s="301"/>
      <c r="R438" s="301"/>
      <c r="S438" s="301"/>
      <c r="T438" s="301"/>
      <c r="U438" s="305"/>
      <c r="Y438" s="305"/>
    </row>
    <row r="439" spans="1:25" ht="26.25" customHeight="1">
      <c r="A439" s="301"/>
      <c r="P439" s="301"/>
      <c r="Q439" s="301"/>
      <c r="R439" s="301"/>
      <c r="S439" s="301"/>
      <c r="T439" s="301"/>
      <c r="U439" s="305"/>
      <c r="Y439" s="305"/>
    </row>
    <row r="440" spans="1:25" ht="26.25" customHeight="1">
      <c r="A440" s="301"/>
      <c r="P440" s="301"/>
      <c r="Q440" s="301"/>
      <c r="R440" s="301"/>
      <c r="S440" s="301"/>
      <c r="T440" s="301"/>
      <c r="U440" s="305"/>
      <c r="Y440" s="305"/>
    </row>
    <row r="441" spans="1:25" ht="26.25" customHeight="1">
      <c r="A441" s="301"/>
      <c r="P441" s="301"/>
      <c r="Q441" s="301"/>
      <c r="R441" s="301"/>
      <c r="S441" s="301"/>
      <c r="T441" s="301"/>
      <c r="U441" s="305"/>
      <c r="Y441" s="305"/>
    </row>
    <row r="442" spans="1:25" ht="26.25" customHeight="1">
      <c r="A442" s="301"/>
      <c r="P442" s="301"/>
      <c r="Q442" s="301"/>
      <c r="R442" s="301"/>
      <c r="S442" s="301"/>
      <c r="T442" s="301"/>
      <c r="U442" s="305"/>
      <c r="Y442" s="305"/>
    </row>
    <row r="443" spans="1:25" ht="26.25" customHeight="1">
      <c r="A443" s="301"/>
      <c r="P443" s="301"/>
      <c r="Q443" s="301"/>
      <c r="R443" s="301"/>
      <c r="S443" s="301"/>
      <c r="T443" s="301"/>
      <c r="U443" s="305"/>
      <c r="Y443" s="305"/>
    </row>
    <row r="444" spans="1:25" ht="26.25" customHeight="1">
      <c r="A444" s="301"/>
      <c r="P444" s="301"/>
      <c r="Q444" s="301"/>
      <c r="R444" s="301"/>
      <c r="S444" s="301"/>
      <c r="T444" s="301"/>
      <c r="U444" s="305"/>
      <c r="Y444" s="305"/>
    </row>
    <row r="445" spans="1:25" ht="26.25" customHeight="1">
      <c r="A445" s="301"/>
      <c r="P445" s="301"/>
      <c r="Q445" s="301"/>
      <c r="R445" s="301"/>
      <c r="S445" s="301"/>
      <c r="T445" s="301"/>
      <c r="U445" s="305"/>
      <c r="Y445" s="305"/>
    </row>
    <row r="446" spans="1:25" ht="26.25" customHeight="1">
      <c r="A446" s="301"/>
      <c r="P446" s="301"/>
      <c r="Q446" s="301"/>
      <c r="R446" s="301"/>
      <c r="S446" s="301"/>
      <c r="T446" s="301"/>
      <c r="U446" s="305"/>
      <c r="Y446" s="305"/>
    </row>
    <row r="447" spans="1:25" ht="26.25" customHeight="1">
      <c r="A447" s="301"/>
      <c r="P447" s="301"/>
      <c r="Q447" s="301"/>
      <c r="R447" s="301"/>
      <c r="S447" s="301"/>
      <c r="T447" s="301"/>
      <c r="U447" s="305"/>
      <c r="Y447" s="305"/>
    </row>
    <row r="448" spans="1:25" ht="26.25" customHeight="1">
      <c r="A448" s="301"/>
      <c r="P448" s="301"/>
      <c r="Q448" s="301"/>
      <c r="R448" s="301"/>
      <c r="S448" s="301"/>
      <c r="T448" s="301"/>
      <c r="U448" s="305"/>
      <c r="Y448" s="305"/>
    </row>
    <row r="449" spans="1:25" ht="26.25" customHeight="1">
      <c r="A449" s="301"/>
      <c r="P449" s="301"/>
      <c r="Q449" s="301"/>
      <c r="R449" s="301"/>
      <c r="S449" s="301"/>
      <c r="T449" s="301"/>
      <c r="U449" s="305"/>
      <c r="Y449" s="305"/>
    </row>
    <row r="450" spans="1:25" ht="26.25" customHeight="1">
      <c r="A450" s="301"/>
      <c r="P450" s="301"/>
      <c r="Q450" s="301"/>
      <c r="R450" s="301"/>
      <c r="S450" s="301"/>
      <c r="T450" s="301"/>
      <c r="U450" s="305"/>
      <c r="Y450" s="305"/>
    </row>
    <row r="451" spans="1:25" ht="26.25" customHeight="1">
      <c r="A451" s="301"/>
      <c r="P451" s="301"/>
      <c r="Q451" s="301"/>
      <c r="R451" s="301"/>
      <c r="S451" s="301"/>
      <c r="T451" s="301"/>
      <c r="U451" s="305"/>
      <c r="Y451" s="305"/>
    </row>
    <row r="452" spans="1:25" ht="26.25" customHeight="1">
      <c r="A452" s="301"/>
      <c r="P452" s="301"/>
      <c r="Q452" s="301"/>
      <c r="R452" s="301"/>
      <c r="S452" s="301"/>
      <c r="T452" s="301"/>
      <c r="U452" s="305"/>
      <c r="Y452" s="305"/>
    </row>
    <row r="453" spans="1:25" ht="26.25" customHeight="1">
      <c r="A453" s="301"/>
      <c r="P453" s="301"/>
      <c r="Q453" s="301"/>
      <c r="R453" s="301"/>
      <c r="S453" s="301"/>
      <c r="T453" s="301"/>
      <c r="U453" s="305"/>
      <c r="Y453" s="305"/>
    </row>
    <row r="454" spans="1:25" ht="26.25" customHeight="1">
      <c r="A454" s="301"/>
      <c r="P454" s="301"/>
      <c r="Q454" s="301"/>
      <c r="R454" s="301"/>
      <c r="S454" s="301"/>
      <c r="T454" s="301"/>
      <c r="U454" s="305"/>
      <c r="Y454" s="305"/>
    </row>
    <row r="455" spans="1:25" ht="26.25" customHeight="1">
      <c r="A455" s="301"/>
      <c r="P455" s="301"/>
      <c r="Q455" s="301"/>
      <c r="R455" s="301"/>
      <c r="S455" s="301"/>
      <c r="T455" s="301"/>
      <c r="U455" s="305"/>
      <c r="Y455" s="305"/>
    </row>
    <row r="456" spans="1:25" ht="26.25" customHeight="1">
      <c r="A456" s="301"/>
      <c r="P456" s="301"/>
      <c r="Q456" s="301"/>
      <c r="R456" s="301"/>
      <c r="S456" s="301"/>
      <c r="T456" s="301"/>
      <c r="U456" s="305"/>
      <c r="Y456" s="305"/>
    </row>
    <row r="457" spans="1:25" ht="26.25" customHeight="1">
      <c r="A457" s="301"/>
      <c r="P457" s="301"/>
      <c r="Q457" s="301"/>
      <c r="R457" s="301"/>
      <c r="S457" s="301"/>
      <c r="T457" s="301"/>
      <c r="U457" s="305"/>
      <c r="Y457" s="305"/>
    </row>
    <row r="458" spans="1:25" ht="26.25" customHeight="1">
      <c r="A458" s="301"/>
      <c r="P458" s="301"/>
      <c r="Q458" s="301"/>
      <c r="R458" s="301"/>
      <c r="S458" s="301"/>
      <c r="T458" s="301"/>
      <c r="U458" s="305"/>
      <c r="Y458" s="305"/>
    </row>
    <row r="459" spans="1:25" ht="26.25" customHeight="1">
      <c r="A459" s="301"/>
      <c r="P459" s="301"/>
      <c r="Q459" s="301"/>
      <c r="R459" s="301"/>
      <c r="S459" s="301"/>
      <c r="T459" s="301"/>
      <c r="U459" s="305"/>
      <c r="Y459" s="305"/>
    </row>
    <row r="460" spans="1:25" ht="26.25" customHeight="1">
      <c r="A460" s="301"/>
      <c r="P460" s="301"/>
      <c r="Q460" s="301"/>
      <c r="R460" s="301"/>
      <c r="S460" s="301"/>
      <c r="T460" s="301"/>
      <c r="U460" s="305"/>
      <c r="Y460" s="305"/>
    </row>
    <row r="461" spans="1:25" ht="26.25" customHeight="1">
      <c r="A461" s="301"/>
      <c r="P461" s="301"/>
      <c r="Q461" s="301"/>
      <c r="R461" s="301"/>
      <c r="S461" s="301"/>
      <c r="T461" s="301"/>
      <c r="U461" s="305"/>
      <c r="Y461" s="305"/>
    </row>
    <row r="462" spans="1:25" ht="26.25" customHeight="1">
      <c r="A462" s="301"/>
      <c r="P462" s="301"/>
      <c r="Q462" s="301"/>
      <c r="R462" s="301"/>
      <c r="S462" s="301"/>
      <c r="T462" s="301"/>
      <c r="U462" s="305"/>
      <c r="Y462" s="305"/>
    </row>
    <row r="463" spans="1:25" ht="26.25" customHeight="1">
      <c r="A463" s="301"/>
      <c r="P463" s="301"/>
      <c r="Q463" s="301"/>
      <c r="R463" s="301"/>
      <c r="S463" s="301"/>
      <c r="T463" s="301"/>
      <c r="U463" s="305"/>
      <c r="Y463" s="305"/>
    </row>
    <row r="464" spans="1:25" ht="26.25" customHeight="1">
      <c r="A464" s="301"/>
      <c r="P464" s="301"/>
      <c r="Q464" s="301"/>
      <c r="R464" s="301"/>
      <c r="S464" s="301"/>
      <c r="T464" s="301"/>
      <c r="U464" s="305"/>
      <c r="Y464" s="305"/>
    </row>
    <row r="465" spans="1:25" ht="26.25" customHeight="1">
      <c r="A465" s="301"/>
      <c r="P465" s="301"/>
      <c r="Q465" s="301"/>
      <c r="R465" s="301"/>
      <c r="S465" s="301"/>
      <c r="T465" s="301"/>
      <c r="U465" s="305"/>
      <c r="Y465" s="305"/>
    </row>
    <row r="466" spans="1:25" ht="26.25" customHeight="1">
      <c r="A466" s="301"/>
      <c r="P466" s="301"/>
      <c r="Q466" s="301"/>
      <c r="R466" s="301"/>
      <c r="S466" s="301"/>
      <c r="T466" s="301"/>
      <c r="U466" s="305"/>
      <c r="Y466" s="305"/>
    </row>
    <row r="467" spans="1:25" ht="26.25" customHeight="1">
      <c r="A467" s="301"/>
      <c r="P467" s="301"/>
      <c r="Q467" s="301"/>
      <c r="R467" s="301"/>
      <c r="S467" s="301"/>
      <c r="T467" s="301"/>
      <c r="U467" s="305"/>
      <c r="Y467" s="305"/>
    </row>
    <row r="468" spans="1:25" ht="26.25" customHeight="1">
      <c r="A468" s="301"/>
      <c r="P468" s="301"/>
      <c r="Q468" s="301"/>
      <c r="R468" s="301"/>
      <c r="S468" s="301"/>
      <c r="T468" s="301"/>
      <c r="U468" s="305"/>
      <c r="Y468" s="305"/>
    </row>
    <row r="469" spans="1:25" ht="26.25" customHeight="1">
      <c r="A469" s="301"/>
      <c r="P469" s="301"/>
      <c r="Q469" s="301"/>
      <c r="R469" s="301"/>
      <c r="S469" s="301"/>
      <c r="T469" s="301"/>
      <c r="U469" s="305"/>
      <c r="Y469" s="305"/>
    </row>
    <row r="470" spans="1:25" ht="26.25" customHeight="1">
      <c r="A470" s="301"/>
      <c r="P470" s="301"/>
      <c r="Q470" s="301"/>
      <c r="R470" s="301"/>
      <c r="S470" s="301"/>
      <c r="T470" s="301"/>
      <c r="U470" s="305"/>
      <c r="Y470" s="305"/>
    </row>
    <row r="471" spans="1:25" ht="26.25" customHeight="1">
      <c r="A471" s="301"/>
      <c r="P471" s="301"/>
      <c r="Q471" s="301"/>
      <c r="R471" s="301"/>
      <c r="S471" s="301"/>
      <c r="T471" s="301"/>
      <c r="U471" s="305"/>
      <c r="Y471" s="305"/>
    </row>
    <row r="472" spans="1:25" ht="26.25" customHeight="1">
      <c r="A472" s="301"/>
      <c r="P472" s="301"/>
      <c r="Q472" s="301"/>
      <c r="R472" s="301"/>
      <c r="S472" s="301"/>
      <c r="T472" s="301"/>
      <c r="U472" s="305"/>
      <c r="Y472" s="305"/>
    </row>
    <row r="473" spans="1:25" ht="26.25" customHeight="1">
      <c r="A473" s="301"/>
      <c r="P473" s="301"/>
      <c r="Q473" s="301"/>
      <c r="R473" s="301"/>
      <c r="S473" s="301"/>
      <c r="T473" s="301"/>
      <c r="U473" s="305"/>
      <c r="Y473" s="305"/>
    </row>
    <row r="474" spans="1:25" ht="26.25" customHeight="1">
      <c r="A474" s="301"/>
      <c r="P474" s="301"/>
      <c r="Q474" s="301"/>
      <c r="R474" s="301"/>
      <c r="S474" s="301"/>
      <c r="T474" s="301"/>
      <c r="U474" s="305"/>
      <c r="Y474" s="305"/>
    </row>
    <row r="475" spans="1:25" ht="26.25" customHeight="1">
      <c r="A475" s="301"/>
      <c r="P475" s="301"/>
      <c r="Q475" s="301"/>
      <c r="R475" s="301"/>
      <c r="S475" s="301"/>
      <c r="T475" s="301"/>
      <c r="U475" s="305"/>
      <c r="Y475" s="305"/>
    </row>
    <row r="476" spans="1:25" ht="26.25" customHeight="1">
      <c r="A476" s="301"/>
      <c r="P476" s="301"/>
      <c r="Q476" s="301"/>
      <c r="R476" s="301"/>
      <c r="S476" s="301"/>
      <c r="T476" s="301"/>
      <c r="U476" s="305"/>
      <c r="Y476" s="305"/>
    </row>
    <row r="477" spans="1:25" ht="26.25" customHeight="1">
      <c r="A477" s="301"/>
      <c r="P477" s="301"/>
      <c r="Q477" s="301"/>
      <c r="R477" s="301"/>
      <c r="S477" s="301"/>
      <c r="T477" s="301"/>
      <c r="U477" s="305"/>
      <c r="Y477" s="305"/>
    </row>
    <row r="478" spans="1:25" ht="26.25" customHeight="1">
      <c r="A478" s="301"/>
      <c r="P478" s="301"/>
      <c r="Q478" s="301"/>
      <c r="R478" s="301"/>
      <c r="S478" s="301"/>
      <c r="T478" s="301"/>
      <c r="U478" s="305"/>
      <c r="Y478" s="305"/>
    </row>
    <row r="479" spans="1:25" ht="26.25" customHeight="1">
      <c r="A479" s="301"/>
      <c r="P479" s="301"/>
      <c r="Q479" s="301"/>
      <c r="R479" s="301"/>
      <c r="S479" s="301"/>
      <c r="T479" s="301"/>
      <c r="U479" s="305"/>
      <c r="Y479" s="305"/>
    </row>
    <row r="480" spans="1:25" ht="26.25" customHeight="1">
      <c r="A480" s="301"/>
      <c r="P480" s="301"/>
      <c r="Q480" s="301"/>
      <c r="R480" s="301"/>
      <c r="S480" s="301"/>
      <c r="T480" s="301"/>
      <c r="U480" s="305"/>
      <c r="Y480" s="305"/>
    </row>
    <row r="481" spans="1:25" ht="26.25" customHeight="1">
      <c r="A481" s="301"/>
      <c r="P481" s="301"/>
      <c r="Q481" s="301"/>
      <c r="R481" s="301"/>
      <c r="S481" s="301"/>
      <c r="T481" s="301"/>
      <c r="U481" s="305"/>
      <c r="Y481" s="305"/>
    </row>
    <row r="482" spans="1:25" ht="26.25" customHeight="1">
      <c r="A482" s="301"/>
      <c r="P482" s="301"/>
      <c r="Q482" s="301"/>
      <c r="R482" s="301"/>
      <c r="S482" s="301"/>
      <c r="T482" s="301"/>
      <c r="U482" s="305"/>
      <c r="Y482" s="305"/>
    </row>
    <row r="483" spans="1:25" ht="26.25" customHeight="1">
      <c r="A483" s="301"/>
      <c r="P483" s="301"/>
      <c r="Q483" s="301"/>
      <c r="R483" s="301"/>
      <c r="S483" s="301"/>
      <c r="T483" s="301"/>
      <c r="U483" s="305"/>
      <c r="Y483" s="305"/>
    </row>
    <row r="484" spans="1:25" ht="26.25" customHeight="1">
      <c r="A484" s="301"/>
      <c r="P484" s="301"/>
      <c r="Q484" s="301"/>
      <c r="R484" s="301"/>
      <c r="S484" s="301"/>
      <c r="T484" s="301"/>
      <c r="U484" s="305"/>
      <c r="Y484" s="305"/>
    </row>
    <row r="485" spans="1:25" ht="26.25" customHeight="1">
      <c r="A485" s="301"/>
      <c r="P485" s="301"/>
      <c r="Q485" s="301"/>
      <c r="R485" s="301"/>
      <c r="S485" s="301"/>
      <c r="T485" s="301"/>
      <c r="U485" s="305"/>
      <c r="Y485" s="305"/>
    </row>
    <row r="486" spans="1:25" ht="26.25" customHeight="1">
      <c r="A486" s="301"/>
      <c r="P486" s="301"/>
      <c r="Q486" s="301"/>
      <c r="R486" s="301"/>
      <c r="S486" s="301"/>
      <c r="T486" s="301"/>
      <c r="U486" s="305"/>
      <c r="Y486" s="305"/>
    </row>
    <row r="487" spans="1:25" ht="26.25" customHeight="1">
      <c r="A487" s="301"/>
      <c r="P487" s="301"/>
      <c r="Q487" s="301"/>
      <c r="R487" s="301"/>
      <c r="S487" s="301"/>
      <c r="T487" s="301"/>
      <c r="U487" s="305"/>
      <c r="Y487" s="305"/>
    </row>
    <row r="488" spans="1:25" ht="26.25" customHeight="1">
      <c r="A488" s="301"/>
      <c r="P488" s="301"/>
      <c r="Q488" s="301"/>
      <c r="R488" s="301"/>
      <c r="S488" s="301"/>
      <c r="T488" s="301"/>
      <c r="U488" s="305"/>
      <c r="Y488" s="305"/>
    </row>
    <row r="489" spans="1:25" ht="26.25" customHeight="1">
      <c r="A489" s="301"/>
      <c r="P489" s="301"/>
      <c r="Q489" s="301"/>
      <c r="R489" s="301"/>
      <c r="S489" s="301"/>
      <c r="T489" s="301"/>
      <c r="U489" s="305"/>
      <c r="Y489" s="305"/>
    </row>
    <row r="490" spans="1:25" ht="26.25" customHeight="1">
      <c r="A490" s="301"/>
      <c r="P490" s="301"/>
      <c r="Q490" s="301"/>
      <c r="R490" s="301"/>
      <c r="S490" s="301"/>
      <c r="T490" s="301"/>
      <c r="U490" s="305"/>
      <c r="Y490" s="305"/>
    </row>
    <row r="491" spans="1:25" ht="26.25" customHeight="1">
      <c r="A491" s="301"/>
      <c r="P491" s="301"/>
      <c r="Q491" s="301"/>
      <c r="R491" s="301"/>
      <c r="S491" s="301"/>
      <c r="T491" s="301"/>
      <c r="U491" s="305"/>
      <c r="Y491" s="305"/>
    </row>
    <row r="492" spans="1:25" ht="26.25" customHeight="1">
      <c r="A492" s="301"/>
      <c r="P492" s="301"/>
      <c r="Q492" s="301"/>
      <c r="R492" s="301"/>
      <c r="S492" s="301"/>
      <c r="T492" s="301"/>
      <c r="U492" s="305"/>
      <c r="Y492" s="305"/>
    </row>
    <row r="493" spans="1:25" ht="26.25" customHeight="1">
      <c r="A493" s="301"/>
      <c r="P493" s="301"/>
      <c r="Q493" s="301"/>
      <c r="R493" s="301"/>
      <c r="S493" s="301"/>
      <c r="T493" s="301"/>
      <c r="U493" s="305"/>
      <c r="Y493" s="305"/>
    </row>
    <row r="494" spans="1:25" ht="26.25" customHeight="1">
      <c r="A494" s="301"/>
      <c r="P494" s="301"/>
      <c r="Q494" s="301"/>
      <c r="R494" s="301"/>
      <c r="S494" s="301"/>
      <c r="T494" s="301"/>
      <c r="U494" s="305"/>
      <c r="Y494" s="305"/>
    </row>
    <row r="495" spans="1:25" ht="26.25" customHeight="1">
      <c r="A495" s="301"/>
      <c r="P495" s="301"/>
      <c r="Q495" s="301"/>
      <c r="R495" s="301"/>
      <c r="S495" s="301"/>
      <c r="T495" s="301"/>
      <c r="U495" s="305"/>
      <c r="Y495" s="305"/>
    </row>
    <row r="496" spans="1:25" ht="26.25" customHeight="1">
      <c r="A496" s="301"/>
      <c r="P496" s="301"/>
      <c r="Q496" s="301"/>
      <c r="R496" s="301"/>
      <c r="S496" s="301"/>
      <c r="T496" s="301"/>
      <c r="U496" s="305"/>
      <c r="Y496" s="305"/>
    </row>
    <row r="497" spans="1:25" ht="26.25" customHeight="1">
      <c r="A497" s="301"/>
      <c r="P497" s="301"/>
      <c r="Q497" s="301"/>
      <c r="R497" s="301"/>
      <c r="S497" s="301"/>
      <c r="T497" s="301"/>
      <c r="U497" s="305"/>
      <c r="Y497" s="305"/>
    </row>
    <row r="498" spans="1:25" ht="26.25" customHeight="1">
      <c r="A498" s="301"/>
      <c r="P498" s="301"/>
      <c r="Q498" s="301"/>
      <c r="R498" s="301"/>
      <c r="S498" s="301"/>
      <c r="T498" s="301"/>
      <c r="U498" s="305"/>
      <c r="Y498" s="305"/>
    </row>
    <row r="499" spans="1:25" ht="26.25" customHeight="1">
      <c r="A499" s="301"/>
      <c r="P499" s="301"/>
      <c r="Q499" s="301"/>
      <c r="R499" s="301"/>
      <c r="S499" s="301"/>
      <c r="T499" s="301"/>
      <c r="U499" s="305"/>
      <c r="Y499" s="305"/>
    </row>
    <row r="500" spans="1:25" ht="26.25" customHeight="1">
      <c r="A500" s="301"/>
      <c r="P500" s="301"/>
      <c r="Q500" s="301"/>
      <c r="R500" s="301"/>
      <c r="S500" s="301"/>
      <c r="T500" s="301"/>
      <c r="U500" s="305"/>
      <c r="Y500" s="305"/>
    </row>
    <row r="501" spans="1:25" ht="26.25" customHeight="1">
      <c r="A501" s="301"/>
      <c r="P501" s="301"/>
      <c r="Q501" s="301"/>
      <c r="R501" s="301"/>
      <c r="S501" s="301"/>
      <c r="T501" s="301"/>
      <c r="U501" s="305"/>
      <c r="Y501" s="305"/>
    </row>
    <row r="502" spans="1:25" ht="26.25" customHeight="1">
      <c r="A502" s="301"/>
      <c r="P502" s="301"/>
      <c r="Q502" s="301"/>
      <c r="R502" s="301"/>
      <c r="S502" s="301"/>
      <c r="T502" s="301"/>
      <c r="U502" s="305"/>
      <c r="Y502" s="305"/>
    </row>
    <row r="503" spans="1:25" ht="26.25" customHeight="1">
      <c r="A503" s="301"/>
      <c r="P503" s="301"/>
      <c r="Q503" s="301"/>
      <c r="R503" s="301"/>
      <c r="S503" s="301"/>
      <c r="T503" s="301"/>
      <c r="U503" s="305"/>
      <c r="Y503" s="305"/>
    </row>
    <row r="504" spans="1:25" ht="26.25" customHeight="1">
      <c r="A504" s="301"/>
      <c r="P504" s="301"/>
      <c r="Q504" s="301"/>
      <c r="R504" s="301"/>
      <c r="S504" s="301"/>
      <c r="T504" s="301"/>
      <c r="U504" s="305"/>
      <c r="Y504" s="305"/>
    </row>
    <row r="505" spans="1:25" ht="26.25" customHeight="1">
      <c r="A505" s="301"/>
      <c r="P505" s="301"/>
      <c r="Q505" s="301"/>
      <c r="R505" s="301"/>
      <c r="S505" s="301"/>
      <c r="T505" s="301"/>
      <c r="U505" s="305"/>
      <c r="Y505" s="305"/>
    </row>
    <row r="506" spans="1:25" ht="26.25" customHeight="1">
      <c r="A506" s="301"/>
      <c r="P506" s="301"/>
      <c r="Q506" s="301"/>
      <c r="R506" s="301"/>
      <c r="S506" s="301"/>
      <c r="T506" s="301"/>
      <c r="U506" s="305"/>
      <c r="Y506" s="305"/>
    </row>
    <row r="507" spans="1:25" ht="26.25" customHeight="1">
      <c r="A507" s="301"/>
      <c r="P507" s="301"/>
      <c r="Q507" s="301"/>
      <c r="R507" s="301"/>
      <c r="S507" s="301"/>
      <c r="T507" s="301"/>
      <c r="U507" s="305"/>
      <c r="Y507" s="305"/>
    </row>
    <row r="508" spans="1:25" ht="26.25" customHeight="1">
      <c r="A508" s="301"/>
      <c r="P508" s="301"/>
      <c r="Q508" s="301"/>
      <c r="R508" s="301"/>
      <c r="S508" s="301"/>
      <c r="T508" s="301"/>
      <c r="U508" s="305"/>
      <c r="Y508" s="305"/>
    </row>
    <row r="509" spans="1:25" ht="26.25" customHeight="1">
      <c r="A509" s="301"/>
      <c r="P509" s="301"/>
      <c r="Q509" s="301"/>
      <c r="R509" s="301"/>
      <c r="S509" s="301"/>
      <c r="T509" s="301"/>
      <c r="U509" s="305"/>
      <c r="Y509" s="305"/>
    </row>
    <row r="510" spans="1:25" ht="26.25" customHeight="1">
      <c r="A510" s="301"/>
      <c r="P510" s="301"/>
      <c r="Q510" s="301"/>
      <c r="R510" s="301"/>
      <c r="S510" s="301"/>
      <c r="T510" s="301"/>
      <c r="U510" s="305"/>
      <c r="Y510" s="305"/>
    </row>
    <row r="511" spans="1:25" ht="26.25" customHeight="1">
      <c r="A511" s="301"/>
      <c r="P511" s="301"/>
      <c r="Q511" s="301"/>
      <c r="R511" s="301"/>
      <c r="S511" s="301"/>
      <c r="T511" s="301"/>
      <c r="U511" s="305"/>
      <c r="Y511" s="305"/>
    </row>
    <row r="512" spans="1:25" ht="26.25" customHeight="1">
      <c r="A512" s="301"/>
      <c r="P512" s="301"/>
      <c r="Q512" s="301"/>
      <c r="R512" s="301"/>
      <c r="S512" s="301"/>
      <c r="T512" s="301"/>
      <c r="U512" s="305"/>
      <c r="Y512" s="305"/>
    </row>
    <row r="513" spans="1:25" ht="26.25" customHeight="1">
      <c r="A513" s="301"/>
      <c r="P513" s="301"/>
      <c r="Q513" s="301"/>
      <c r="R513" s="301"/>
      <c r="S513" s="301"/>
      <c r="T513" s="301"/>
      <c r="U513" s="305"/>
      <c r="Y513" s="305"/>
    </row>
    <row r="514" spans="1:25" ht="26.25" customHeight="1">
      <c r="A514" s="301"/>
      <c r="P514" s="301"/>
      <c r="Q514" s="301"/>
      <c r="R514" s="301"/>
      <c r="S514" s="301"/>
      <c r="T514" s="301"/>
      <c r="U514" s="305"/>
      <c r="Y514" s="305"/>
    </row>
    <row r="515" spans="1:25" ht="26.25" customHeight="1">
      <c r="A515" s="301"/>
      <c r="P515" s="301"/>
      <c r="Q515" s="301"/>
      <c r="R515" s="301"/>
      <c r="S515" s="301"/>
      <c r="T515" s="301"/>
      <c r="U515" s="305"/>
      <c r="Y515" s="305"/>
    </row>
    <row r="516" spans="1:25" ht="26.25" customHeight="1">
      <c r="A516" s="301"/>
      <c r="P516" s="301"/>
      <c r="Q516" s="301"/>
      <c r="R516" s="301"/>
      <c r="S516" s="301"/>
      <c r="T516" s="301"/>
      <c r="U516" s="305"/>
      <c r="Y516" s="305"/>
    </row>
    <row r="517" spans="1:25" ht="26.25" customHeight="1">
      <c r="A517" s="301"/>
      <c r="P517" s="301"/>
      <c r="Q517" s="301"/>
      <c r="R517" s="301"/>
      <c r="S517" s="301"/>
      <c r="T517" s="301"/>
      <c r="U517" s="305"/>
      <c r="Y517" s="305"/>
    </row>
    <row r="518" spans="1:25" ht="26.25" customHeight="1">
      <c r="A518" s="301"/>
      <c r="P518" s="301"/>
      <c r="Q518" s="301"/>
      <c r="R518" s="301"/>
      <c r="S518" s="301"/>
      <c r="T518" s="301"/>
      <c r="U518" s="305"/>
      <c r="Y518" s="305"/>
    </row>
    <row r="519" spans="1:25" ht="26.25" customHeight="1">
      <c r="A519" s="301"/>
      <c r="P519" s="301"/>
      <c r="Q519" s="301"/>
      <c r="R519" s="301"/>
      <c r="S519" s="301"/>
      <c r="T519" s="301"/>
      <c r="U519" s="305"/>
      <c r="Y519" s="305"/>
    </row>
    <row r="520" spans="1:25" ht="26.25" customHeight="1">
      <c r="A520" s="301"/>
      <c r="P520" s="301"/>
      <c r="Q520" s="301"/>
      <c r="R520" s="301"/>
      <c r="S520" s="301"/>
      <c r="T520" s="301"/>
      <c r="U520" s="305"/>
      <c r="Y520" s="305"/>
    </row>
    <row r="521" spans="1:25" ht="26.25" customHeight="1">
      <c r="A521" s="301"/>
      <c r="P521" s="301"/>
      <c r="Q521" s="301"/>
      <c r="R521" s="301"/>
      <c r="S521" s="301"/>
      <c r="T521" s="301"/>
      <c r="U521" s="305"/>
      <c r="Y521" s="305"/>
    </row>
    <row r="522" spans="1:25" ht="26.25" customHeight="1">
      <c r="A522" s="301"/>
      <c r="P522" s="301"/>
      <c r="Q522" s="301"/>
      <c r="R522" s="301"/>
      <c r="S522" s="301"/>
      <c r="T522" s="301"/>
      <c r="U522" s="305"/>
      <c r="Y522" s="305"/>
    </row>
    <row r="523" spans="1:25" ht="26.25" customHeight="1">
      <c r="A523" s="301"/>
      <c r="P523" s="301"/>
      <c r="Q523" s="301"/>
      <c r="R523" s="301"/>
      <c r="S523" s="301"/>
      <c r="T523" s="301"/>
      <c r="U523" s="305"/>
      <c r="Y523" s="305"/>
    </row>
    <row r="524" spans="1:25" ht="26.25" customHeight="1">
      <c r="A524" s="301"/>
      <c r="P524" s="301"/>
      <c r="Q524" s="301"/>
      <c r="R524" s="301"/>
      <c r="S524" s="301"/>
      <c r="T524" s="301"/>
      <c r="U524" s="305"/>
      <c r="Y524" s="305"/>
    </row>
    <row r="525" spans="1:25" ht="26.25" customHeight="1">
      <c r="A525" s="301"/>
      <c r="P525" s="301"/>
      <c r="Q525" s="301"/>
      <c r="R525" s="301"/>
      <c r="S525" s="301"/>
      <c r="T525" s="301"/>
      <c r="U525" s="305"/>
      <c r="Y525" s="305"/>
    </row>
    <row r="526" spans="1:25" ht="26.25" customHeight="1">
      <c r="A526" s="301"/>
      <c r="P526" s="301"/>
      <c r="Q526" s="301"/>
      <c r="R526" s="301"/>
      <c r="S526" s="301"/>
      <c r="T526" s="301"/>
      <c r="U526" s="305"/>
      <c r="Y526" s="305"/>
    </row>
    <row r="527" spans="1:25" ht="26.25" customHeight="1">
      <c r="A527" s="301"/>
      <c r="P527" s="301"/>
      <c r="Q527" s="301"/>
      <c r="R527" s="301"/>
      <c r="S527" s="301"/>
      <c r="T527" s="301"/>
      <c r="U527" s="305"/>
      <c r="Y527" s="305"/>
    </row>
    <row r="528" spans="1:25" ht="26.25" customHeight="1">
      <c r="A528" s="301"/>
      <c r="P528" s="301"/>
      <c r="Q528" s="301"/>
      <c r="R528" s="301"/>
      <c r="S528" s="301"/>
      <c r="T528" s="301"/>
      <c r="U528" s="305"/>
      <c r="Y528" s="305"/>
    </row>
    <row r="529" spans="1:25" ht="26.25" customHeight="1">
      <c r="A529" s="301"/>
      <c r="P529" s="301"/>
      <c r="Q529" s="301"/>
      <c r="R529" s="301"/>
      <c r="S529" s="301"/>
      <c r="T529" s="301"/>
      <c r="U529" s="305"/>
      <c r="Y529" s="305"/>
    </row>
    <row r="530" spans="1:25" ht="26.25" customHeight="1">
      <c r="A530" s="301"/>
      <c r="P530" s="301"/>
      <c r="Q530" s="301"/>
      <c r="R530" s="301"/>
      <c r="S530" s="301"/>
      <c r="T530" s="301"/>
      <c r="U530" s="305"/>
      <c r="Y530" s="305"/>
    </row>
    <row r="531" spans="1:25" ht="26.25" customHeight="1">
      <c r="A531" s="301"/>
      <c r="P531" s="301"/>
      <c r="Q531" s="301"/>
      <c r="R531" s="301"/>
      <c r="S531" s="301"/>
      <c r="T531" s="301"/>
      <c r="U531" s="305"/>
      <c r="Y531" s="305"/>
    </row>
    <row r="532" spans="1:25" ht="26.25" customHeight="1">
      <c r="A532" s="301"/>
      <c r="P532" s="301"/>
      <c r="Q532" s="301"/>
      <c r="R532" s="301"/>
      <c r="S532" s="301"/>
      <c r="T532" s="301"/>
      <c r="U532" s="305"/>
      <c r="Y532" s="305"/>
    </row>
    <row r="533" spans="1:25" ht="26.25" customHeight="1">
      <c r="A533" s="301"/>
      <c r="P533" s="301"/>
      <c r="Q533" s="301"/>
      <c r="R533" s="301"/>
      <c r="S533" s="301"/>
      <c r="T533" s="301"/>
      <c r="U533" s="305"/>
      <c r="Y533" s="305"/>
    </row>
    <row r="534" spans="1:25" ht="26.25" customHeight="1">
      <c r="A534" s="301"/>
      <c r="P534" s="301"/>
      <c r="Q534" s="301"/>
      <c r="R534" s="301"/>
      <c r="S534" s="301"/>
      <c r="T534" s="301"/>
      <c r="U534" s="305"/>
      <c r="Y534" s="305"/>
    </row>
    <row r="535" spans="1:25" ht="26.25" customHeight="1">
      <c r="A535" s="301"/>
      <c r="P535" s="301"/>
      <c r="Q535" s="301"/>
      <c r="R535" s="301"/>
      <c r="S535" s="301"/>
      <c r="T535" s="301"/>
      <c r="U535" s="305"/>
      <c r="Y535" s="305"/>
    </row>
    <row r="536" spans="1:25" ht="26.25" customHeight="1">
      <c r="A536" s="301"/>
      <c r="P536" s="301"/>
      <c r="Q536" s="301"/>
      <c r="R536" s="301"/>
      <c r="S536" s="301"/>
      <c r="T536" s="301"/>
      <c r="U536" s="305"/>
      <c r="Y536" s="305"/>
    </row>
    <row r="537" spans="1:25" ht="26.25" customHeight="1">
      <c r="A537" s="301"/>
      <c r="P537" s="301"/>
      <c r="Q537" s="301"/>
      <c r="R537" s="301"/>
      <c r="S537" s="301"/>
      <c r="T537" s="301"/>
      <c r="U537" s="305"/>
      <c r="Y537" s="305"/>
    </row>
    <row r="538" spans="1:25" ht="26.25" customHeight="1">
      <c r="A538" s="301"/>
      <c r="P538" s="301"/>
      <c r="Q538" s="301"/>
      <c r="R538" s="301"/>
      <c r="S538" s="301"/>
      <c r="T538" s="301"/>
      <c r="U538" s="305"/>
      <c r="Y538" s="305"/>
    </row>
    <row r="539" spans="1:25" ht="26.25" customHeight="1">
      <c r="A539" s="301"/>
      <c r="P539" s="301"/>
      <c r="Q539" s="301"/>
      <c r="R539" s="301"/>
      <c r="S539" s="301"/>
      <c r="T539" s="301"/>
      <c r="U539" s="305"/>
      <c r="Y539" s="305"/>
    </row>
    <row r="540" spans="1:25" ht="26.25" customHeight="1">
      <c r="A540" s="301"/>
      <c r="P540" s="301"/>
      <c r="Q540" s="301"/>
      <c r="R540" s="301"/>
      <c r="S540" s="301"/>
      <c r="T540" s="301"/>
      <c r="U540" s="305"/>
      <c r="Y540" s="305"/>
    </row>
    <row r="541" spans="1:25" ht="26.25" customHeight="1">
      <c r="A541" s="301"/>
      <c r="P541" s="301"/>
      <c r="Q541" s="301"/>
      <c r="R541" s="301"/>
      <c r="S541" s="301"/>
      <c r="T541" s="301"/>
      <c r="U541" s="305"/>
      <c r="Y541" s="305"/>
    </row>
    <row r="542" spans="1:25" ht="26.25" customHeight="1">
      <c r="A542" s="301"/>
      <c r="P542" s="301"/>
      <c r="Q542" s="301"/>
      <c r="R542" s="301"/>
      <c r="S542" s="301"/>
      <c r="T542" s="301"/>
      <c r="U542" s="305"/>
      <c r="Y542" s="305"/>
    </row>
    <row r="543" spans="1:25" ht="26.25" customHeight="1">
      <c r="A543" s="301"/>
      <c r="P543" s="301"/>
      <c r="Q543" s="301"/>
      <c r="R543" s="301"/>
      <c r="S543" s="301"/>
      <c r="T543" s="301"/>
      <c r="U543" s="305"/>
      <c r="Y543" s="305"/>
    </row>
    <row r="544" spans="1:25" ht="26.25" customHeight="1">
      <c r="A544" s="301"/>
      <c r="P544" s="301"/>
      <c r="Q544" s="301"/>
      <c r="R544" s="301"/>
      <c r="S544" s="301"/>
      <c r="T544" s="301"/>
      <c r="U544" s="305"/>
      <c r="Y544" s="305"/>
    </row>
    <row r="545" spans="1:25" ht="26.25" customHeight="1">
      <c r="A545" s="301"/>
      <c r="P545" s="301"/>
      <c r="Q545" s="301"/>
      <c r="R545" s="301"/>
      <c r="S545" s="301"/>
      <c r="T545" s="301"/>
      <c r="U545" s="305"/>
      <c r="Y545" s="305"/>
    </row>
    <row r="546" spans="1:25" ht="26.25" customHeight="1">
      <c r="A546" s="301"/>
      <c r="P546" s="301"/>
      <c r="Q546" s="301"/>
      <c r="R546" s="301"/>
      <c r="S546" s="301"/>
      <c r="T546" s="301"/>
      <c r="U546" s="305"/>
      <c r="Y546" s="305"/>
    </row>
    <row r="547" spans="1:25" ht="26.25" customHeight="1">
      <c r="A547" s="301"/>
      <c r="P547" s="301"/>
      <c r="Q547" s="301"/>
      <c r="R547" s="301"/>
      <c r="S547" s="301"/>
      <c r="T547" s="301"/>
      <c r="U547" s="305"/>
      <c r="Y547" s="305"/>
    </row>
    <row r="548" spans="1:25" ht="26.25" customHeight="1">
      <c r="A548" s="301"/>
      <c r="P548" s="301"/>
      <c r="Q548" s="301"/>
      <c r="R548" s="301"/>
      <c r="S548" s="301"/>
      <c r="T548" s="301"/>
      <c r="U548" s="305"/>
      <c r="Y548" s="305"/>
    </row>
    <row r="549" spans="1:25" ht="26.25" customHeight="1">
      <c r="A549" s="301"/>
      <c r="P549" s="301"/>
      <c r="Q549" s="301"/>
      <c r="R549" s="301"/>
      <c r="S549" s="301"/>
      <c r="T549" s="301"/>
      <c r="U549" s="305"/>
      <c r="Y549" s="305"/>
    </row>
    <row r="550" spans="1:25" ht="26.25" customHeight="1">
      <c r="A550" s="301"/>
      <c r="P550" s="301"/>
      <c r="Q550" s="301"/>
      <c r="R550" s="301"/>
      <c r="S550" s="301"/>
      <c r="T550" s="301"/>
      <c r="U550" s="305"/>
      <c r="Y550" s="305"/>
    </row>
    <row r="551" spans="1:25" ht="26.25" customHeight="1">
      <c r="A551" s="301"/>
      <c r="P551" s="301"/>
      <c r="Q551" s="301"/>
      <c r="R551" s="301"/>
      <c r="S551" s="301"/>
      <c r="T551" s="301"/>
      <c r="U551" s="305"/>
      <c r="Y551" s="305"/>
    </row>
    <row r="552" spans="1:25" ht="26.25" customHeight="1">
      <c r="A552" s="301"/>
      <c r="P552" s="301"/>
      <c r="Q552" s="301"/>
      <c r="R552" s="301"/>
      <c r="S552" s="301"/>
      <c r="T552" s="301"/>
      <c r="U552" s="305"/>
      <c r="Y552" s="305"/>
    </row>
    <row r="553" spans="1:25" ht="26.25" customHeight="1">
      <c r="A553" s="301"/>
      <c r="P553" s="301"/>
      <c r="Q553" s="301"/>
      <c r="R553" s="301"/>
      <c r="S553" s="301"/>
      <c r="T553" s="301"/>
      <c r="U553" s="305"/>
      <c r="Y553" s="305"/>
    </row>
    <row r="554" spans="1:25" ht="26.25" customHeight="1">
      <c r="A554" s="301"/>
      <c r="P554" s="301"/>
      <c r="Q554" s="301"/>
      <c r="R554" s="301"/>
      <c r="S554" s="301"/>
      <c r="T554" s="301"/>
      <c r="U554" s="305"/>
      <c r="Y554" s="305"/>
    </row>
    <row r="555" spans="1:25" ht="26.25" customHeight="1">
      <c r="A555" s="301"/>
      <c r="P555" s="301"/>
      <c r="Q555" s="301"/>
      <c r="R555" s="301"/>
      <c r="S555" s="301"/>
      <c r="T555" s="301"/>
      <c r="U555" s="305"/>
      <c r="Y555" s="305"/>
    </row>
    <row r="556" spans="1:25" ht="26.25" customHeight="1">
      <c r="A556" s="301"/>
      <c r="P556" s="301"/>
      <c r="Q556" s="301"/>
      <c r="R556" s="301"/>
      <c r="S556" s="301"/>
      <c r="T556" s="301"/>
      <c r="U556" s="305"/>
      <c r="Y556" s="305"/>
    </row>
    <row r="557" spans="1:25" ht="26.25" customHeight="1">
      <c r="A557" s="301"/>
      <c r="P557" s="301"/>
      <c r="Q557" s="301"/>
      <c r="R557" s="301"/>
      <c r="S557" s="301"/>
      <c r="T557" s="301"/>
      <c r="U557" s="305"/>
      <c r="Y557" s="305"/>
    </row>
    <row r="558" spans="1:25" ht="26.25" customHeight="1">
      <c r="A558" s="301"/>
      <c r="P558" s="301"/>
      <c r="Q558" s="301"/>
      <c r="R558" s="301"/>
      <c r="S558" s="301"/>
      <c r="T558" s="301"/>
      <c r="U558" s="305"/>
      <c r="Y558" s="305"/>
    </row>
    <row r="559" spans="1:25" ht="26.25" customHeight="1">
      <c r="A559" s="301"/>
      <c r="P559" s="301"/>
      <c r="Q559" s="301"/>
      <c r="R559" s="301"/>
      <c r="S559" s="301"/>
      <c r="T559" s="301"/>
      <c r="U559" s="305"/>
      <c r="Y559" s="305"/>
    </row>
    <row r="560" spans="1:25" ht="26.25" customHeight="1">
      <c r="A560" s="301"/>
      <c r="P560" s="301"/>
      <c r="Q560" s="301"/>
      <c r="R560" s="301"/>
      <c r="S560" s="301"/>
      <c r="T560" s="301"/>
      <c r="U560" s="305"/>
      <c r="Y560" s="305"/>
    </row>
    <row r="561" spans="1:25" ht="26.25" customHeight="1">
      <c r="A561" s="301"/>
      <c r="P561" s="301"/>
      <c r="Q561" s="301"/>
      <c r="R561" s="301"/>
      <c r="S561" s="301"/>
      <c r="T561" s="301"/>
      <c r="U561" s="305"/>
      <c r="Y561" s="305"/>
    </row>
    <row r="562" spans="1:25" ht="26.25" customHeight="1">
      <c r="A562" s="301"/>
      <c r="P562" s="301"/>
      <c r="Q562" s="301"/>
      <c r="R562" s="301"/>
      <c r="S562" s="301"/>
      <c r="T562" s="301"/>
      <c r="U562" s="305"/>
      <c r="Y562" s="305"/>
    </row>
    <row r="563" spans="1:25" ht="26.25" customHeight="1">
      <c r="A563" s="301"/>
      <c r="P563" s="301"/>
      <c r="Q563" s="301"/>
      <c r="R563" s="301"/>
      <c r="S563" s="301"/>
      <c r="T563" s="301"/>
      <c r="U563" s="305"/>
      <c r="Y563" s="305"/>
    </row>
    <row r="564" spans="1:25" ht="26.25" customHeight="1">
      <c r="A564" s="301"/>
      <c r="P564" s="301"/>
      <c r="Q564" s="301"/>
      <c r="R564" s="301"/>
      <c r="S564" s="301"/>
      <c r="T564" s="301"/>
      <c r="U564" s="305"/>
      <c r="Y564" s="305"/>
    </row>
    <row r="565" spans="1:25" ht="26.25" customHeight="1">
      <c r="A565" s="301"/>
      <c r="P565" s="301"/>
      <c r="Q565" s="301"/>
      <c r="R565" s="301"/>
      <c r="S565" s="301"/>
      <c r="T565" s="301"/>
      <c r="U565" s="305"/>
      <c r="Y565" s="305"/>
    </row>
    <row r="566" spans="1:25" ht="26.25" customHeight="1">
      <c r="A566" s="301"/>
      <c r="P566" s="301"/>
      <c r="Q566" s="301"/>
      <c r="R566" s="301"/>
      <c r="S566" s="301"/>
      <c r="T566" s="301"/>
      <c r="U566" s="305"/>
      <c r="Y566" s="305"/>
    </row>
    <row r="567" spans="1:25" ht="26.25" customHeight="1">
      <c r="A567" s="301"/>
      <c r="P567" s="301"/>
      <c r="Q567" s="301"/>
      <c r="R567" s="301"/>
      <c r="S567" s="301"/>
      <c r="T567" s="301"/>
      <c r="U567" s="305"/>
      <c r="Y567" s="305"/>
    </row>
    <row r="568" spans="1:25" ht="26.25" customHeight="1">
      <c r="A568" s="301"/>
      <c r="P568" s="301"/>
      <c r="Q568" s="301"/>
      <c r="R568" s="301"/>
      <c r="S568" s="301"/>
      <c r="T568" s="301"/>
      <c r="U568" s="305"/>
      <c r="Y568" s="305"/>
    </row>
    <row r="569" spans="1:25" ht="26.25" customHeight="1">
      <c r="A569" s="301"/>
      <c r="P569" s="301"/>
      <c r="Q569" s="301"/>
      <c r="R569" s="301"/>
      <c r="S569" s="301"/>
      <c r="T569" s="301"/>
      <c r="U569" s="305"/>
      <c r="Y569" s="305"/>
    </row>
    <row r="570" spans="1:25" ht="26.25" customHeight="1">
      <c r="A570" s="301"/>
      <c r="P570" s="301"/>
      <c r="Q570" s="301"/>
      <c r="R570" s="301"/>
      <c r="S570" s="301"/>
      <c r="T570" s="301"/>
      <c r="U570" s="305"/>
      <c r="Y570" s="305"/>
    </row>
    <row r="571" spans="1:25" ht="26.25" customHeight="1">
      <c r="A571" s="301"/>
      <c r="P571" s="301"/>
      <c r="Q571" s="301"/>
      <c r="R571" s="301"/>
      <c r="S571" s="301"/>
      <c r="T571" s="301"/>
      <c r="U571" s="305"/>
      <c r="Y571" s="305"/>
    </row>
    <row r="572" spans="1:25" ht="26.25" customHeight="1">
      <c r="A572" s="301"/>
      <c r="P572" s="301"/>
      <c r="Q572" s="301"/>
      <c r="R572" s="301"/>
      <c r="S572" s="301"/>
      <c r="T572" s="301"/>
      <c r="U572" s="305"/>
      <c r="Y572" s="305"/>
    </row>
    <row r="573" spans="1:25" ht="26.25" customHeight="1">
      <c r="A573" s="301"/>
      <c r="P573" s="301"/>
      <c r="Q573" s="301"/>
      <c r="R573" s="301"/>
      <c r="S573" s="301"/>
      <c r="T573" s="301"/>
      <c r="U573" s="305"/>
      <c r="Y573" s="305"/>
    </row>
    <row r="574" spans="1:25" ht="26.25" customHeight="1">
      <c r="A574" s="301"/>
      <c r="P574" s="301"/>
      <c r="Q574" s="301"/>
      <c r="R574" s="301"/>
      <c r="S574" s="301"/>
      <c r="T574" s="301"/>
      <c r="U574" s="305"/>
      <c r="Y574" s="305"/>
    </row>
    <row r="575" spans="1:25" ht="26.25" customHeight="1">
      <c r="A575" s="301"/>
      <c r="P575" s="301"/>
      <c r="Q575" s="301"/>
      <c r="R575" s="301"/>
      <c r="S575" s="301"/>
      <c r="T575" s="301"/>
      <c r="U575" s="305"/>
      <c r="Y575" s="305"/>
    </row>
    <row r="576" spans="1:25" ht="26.25" customHeight="1">
      <c r="A576" s="301"/>
      <c r="P576" s="301"/>
      <c r="Q576" s="301"/>
      <c r="R576" s="301"/>
      <c r="S576" s="301"/>
      <c r="T576" s="301"/>
      <c r="U576" s="305"/>
      <c r="Y576" s="305"/>
    </row>
    <row r="577" spans="1:25" ht="26.25" customHeight="1">
      <c r="A577" s="301"/>
      <c r="P577" s="301"/>
      <c r="Q577" s="301"/>
      <c r="R577" s="301"/>
      <c r="S577" s="301"/>
      <c r="T577" s="301"/>
      <c r="U577" s="305"/>
      <c r="Y577" s="305"/>
    </row>
    <row r="578" spans="1:25" ht="26.25" customHeight="1">
      <c r="A578" s="301"/>
      <c r="P578" s="301"/>
      <c r="Q578" s="301"/>
      <c r="R578" s="301"/>
      <c r="S578" s="301"/>
      <c r="T578" s="301"/>
      <c r="U578" s="305"/>
      <c r="Y578" s="305"/>
    </row>
    <row r="579" spans="1:25" ht="26.25" customHeight="1">
      <c r="A579" s="301"/>
      <c r="P579" s="301"/>
      <c r="Q579" s="301"/>
      <c r="R579" s="301"/>
      <c r="S579" s="301"/>
      <c r="T579" s="301"/>
      <c r="U579" s="305"/>
      <c r="Y579" s="305"/>
    </row>
    <row r="580" spans="1:25" ht="26.25" customHeight="1">
      <c r="A580" s="301"/>
      <c r="P580" s="301"/>
      <c r="Q580" s="301"/>
      <c r="R580" s="301"/>
      <c r="S580" s="301"/>
      <c r="T580" s="301"/>
      <c r="U580" s="305"/>
      <c r="Y580" s="305"/>
    </row>
    <row r="581" spans="1:25" ht="26.25" customHeight="1">
      <c r="A581" s="301"/>
      <c r="P581" s="301"/>
      <c r="Q581" s="301"/>
      <c r="R581" s="301"/>
      <c r="S581" s="301"/>
      <c r="T581" s="301"/>
      <c r="U581" s="305"/>
      <c r="Y581" s="305"/>
    </row>
    <row r="582" spans="1:25" ht="26.25" customHeight="1">
      <c r="A582" s="301"/>
      <c r="P582" s="301"/>
      <c r="Q582" s="301"/>
      <c r="R582" s="301"/>
      <c r="S582" s="301"/>
      <c r="T582" s="301"/>
      <c r="U582" s="305"/>
      <c r="Y582" s="305"/>
    </row>
    <row r="583" spans="1:25" ht="26.25" customHeight="1">
      <c r="A583" s="301"/>
      <c r="P583" s="301"/>
      <c r="Q583" s="301"/>
      <c r="R583" s="301"/>
      <c r="S583" s="301"/>
      <c r="T583" s="301"/>
      <c r="U583" s="305"/>
      <c r="Y583" s="305"/>
    </row>
    <row r="584" spans="1:25" ht="26.25" customHeight="1">
      <c r="A584" s="301"/>
      <c r="P584" s="301"/>
      <c r="Q584" s="301"/>
      <c r="R584" s="301"/>
      <c r="S584" s="301"/>
      <c r="T584" s="301"/>
      <c r="U584" s="305"/>
      <c r="Y584" s="305"/>
    </row>
    <row r="585" spans="1:25" ht="26.25" customHeight="1">
      <c r="A585" s="301"/>
      <c r="P585" s="301"/>
      <c r="Q585" s="301"/>
      <c r="R585" s="301"/>
      <c r="S585" s="301"/>
      <c r="T585" s="301"/>
      <c r="U585" s="305"/>
      <c r="Y585" s="305"/>
    </row>
    <row r="586" spans="1:25" ht="26.25" customHeight="1">
      <c r="A586" s="301"/>
      <c r="P586" s="301"/>
      <c r="Q586" s="301"/>
      <c r="R586" s="301"/>
      <c r="S586" s="301"/>
      <c r="T586" s="301"/>
      <c r="U586" s="305"/>
      <c r="Y586" s="305"/>
    </row>
    <row r="587" spans="1:25" ht="26.25" customHeight="1">
      <c r="A587" s="301"/>
      <c r="P587" s="301"/>
      <c r="Q587" s="301"/>
      <c r="R587" s="301"/>
      <c r="S587" s="301"/>
      <c r="T587" s="301"/>
      <c r="U587" s="305"/>
      <c r="Y587" s="305"/>
    </row>
    <row r="588" spans="1:25" ht="26.25" customHeight="1">
      <c r="A588" s="301"/>
      <c r="P588" s="301"/>
      <c r="Q588" s="301"/>
      <c r="R588" s="301"/>
      <c r="S588" s="301"/>
      <c r="T588" s="301"/>
      <c r="U588" s="305"/>
      <c r="Y588" s="305"/>
    </row>
    <row r="589" spans="1:25" ht="26.25" customHeight="1">
      <c r="A589" s="301"/>
      <c r="P589" s="301"/>
      <c r="Q589" s="301"/>
      <c r="R589" s="301"/>
      <c r="S589" s="301"/>
      <c r="T589" s="301"/>
      <c r="U589" s="305"/>
      <c r="Y589" s="305"/>
    </row>
    <row r="590" spans="1:25" ht="26.25" customHeight="1">
      <c r="A590" s="301"/>
      <c r="P590" s="301"/>
      <c r="Q590" s="301"/>
      <c r="R590" s="301"/>
      <c r="S590" s="301"/>
      <c r="T590" s="301"/>
      <c r="U590" s="305"/>
      <c r="Y590" s="305"/>
    </row>
    <row r="591" spans="1:25" ht="26.25" customHeight="1">
      <c r="A591" s="301"/>
      <c r="P591" s="301"/>
      <c r="Q591" s="301"/>
      <c r="R591" s="301"/>
      <c r="S591" s="301"/>
      <c r="T591" s="301"/>
      <c r="U591" s="305"/>
      <c r="Y591" s="305"/>
    </row>
    <row r="592" spans="1:25" ht="26.25" customHeight="1">
      <c r="A592" s="301"/>
      <c r="P592" s="301"/>
      <c r="Q592" s="301"/>
      <c r="R592" s="301"/>
      <c r="S592" s="301"/>
      <c r="T592" s="301"/>
      <c r="U592" s="305"/>
      <c r="Y592" s="305"/>
    </row>
    <row r="593" spans="1:25" ht="26.25" customHeight="1">
      <c r="A593" s="301"/>
      <c r="P593" s="301"/>
      <c r="Q593" s="301"/>
      <c r="R593" s="301"/>
      <c r="S593" s="301"/>
      <c r="T593" s="301"/>
      <c r="U593" s="305"/>
      <c r="Y593" s="305"/>
    </row>
    <row r="594" spans="1:25" ht="26.25" customHeight="1">
      <c r="A594" s="301"/>
      <c r="P594" s="301"/>
      <c r="Q594" s="301"/>
      <c r="R594" s="301"/>
      <c r="S594" s="301"/>
      <c r="T594" s="301"/>
      <c r="U594" s="305"/>
      <c r="Y594" s="305"/>
    </row>
    <row r="595" spans="1:25" ht="26.25" customHeight="1">
      <c r="A595" s="301"/>
      <c r="P595" s="301"/>
      <c r="Q595" s="301"/>
      <c r="R595" s="301"/>
      <c r="S595" s="301"/>
      <c r="T595" s="301"/>
      <c r="U595" s="305"/>
      <c r="Y595" s="305"/>
    </row>
    <row r="596" spans="1:25" ht="26.25" customHeight="1">
      <c r="A596" s="301"/>
      <c r="P596" s="301"/>
      <c r="Q596" s="301"/>
      <c r="R596" s="301"/>
      <c r="S596" s="301"/>
      <c r="T596" s="301"/>
      <c r="U596" s="305"/>
      <c r="Y596" s="305"/>
    </row>
  </sheetData>
  <mergeCells count="16">
    <mergeCell ref="A3:A4"/>
    <mergeCell ref="B3:E3"/>
    <mergeCell ref="F3:I3"/>
    <mergeCell ref="J3:L3"/>
    <mergeCell ref="N3:Q3"/>
    <mergeCell ref="R3:U3"/>
    <mergeCell ref="AX3:BA3"/>
    <mergeCell ref="A5:L5"/>
    <mergeCell ref="A23:L23"/>
    <mergeCell ref="AT3:AW3"/>
    <mergeCell ref="V3:Y3"/>
    <mergeCell ref="Z3:AC3"/>
    <mergeCell ref="AD3:AG3"/>
    <mergeCell ref="AH3:AK3"/>
    <mergeCell ref="AL3:AO3"/>
    <mergeCell ref="AP3:A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ColWidth="7.125" defaultRowHeight="23.25"/>
  <cols>
    <col min="1" max="1" width="39.75" style="4" customWidth="1"/>
    <col min="2" max="3" width="9.625" style="4" customWidth="1"/>
    <col min="4" max="4" width="6.875" style="4" customWidth="1"/>
    <col min="5" max="15" width="9.25" style="4" customWidth="1"/>
    <col min="16" max="16" width="9.25" style="37" customWidth="1"/>
    <col min="17" max="17" width="9.875" style="4" customWidth="1"/>
    <col min="18" max="24" width="9.25" style="4" customWidth="1"/>
    <col min="25" max="25" width="9.5" style="4" customWidth="1"/>
    <col min="26" max="27" width="9.5" style="169" customWidth="1"/>
    <col min="28" max="28" width="9.125" style="169" customWidth="1"/>
    <col min="29" max="31" width="9.125" style="206" customWidth="1"/>
    <col min="32" max="34" width="9.5" style="206" customWidth="1"/>
    <col min="35" max="35" width="9.125" style="206" customWidth="1"/>
    <col min="36" max="37" width="9.75" style="206" customWidth="1"/>
    <col min="38" max="38" width="9.5" style="207" customWidth="1"/>
    <col min="39" max="39" width="9.125" style="207" customWidth="1"/>
    <col min="40" max="41" width="9.75" style="207" customWidth="1"/>
    <col min="42" max="42" width="9.5" style="207" customWidth="1"/>
    <col min="43" max="43" width="9.125" style="207" customWidth="1"/>
    <col min="44" max="45" width="9.75" style="207" customWidth="1"/>
    <col min="46" max="46" width="9.5" style="207" customWidth="1"/>
    <col min="47" max="47" width="9.125" style="207" customWidth="1"/>
    <col min="48" max="49" width="9.75" style="207" customWidth="1"/>
    <col min="50" max="50" width="9.5" style="207" customWidth="1"/>
    <col min="51" max="51" width="9.125" style="207" customWidth="1"/>
    <col min="52" max="53" width="9.75" style="207" customWidth="1"/>
    <col min="54" max="16384" width="7.125" style="4"/>
  </cols>
  <sheetData>
    <row r="1" spans="1:53" s="160" customFormat="1" ht="27.75">
      <c r="A1" s="159" t="s">
        <v>132</v>
      </c>
      <c r="B1" s="159"/>
      <c r="C1" s="159"/>
      <c r="D1" s="159"/>
      <c r="E1" s="159"/>
      <c r="F1" s="159"/>
      <c r="J1" s="159"/>
      <c r="N1" s="4"/>
      <c r="P1" s="3"/>
      <c r="Q1" s="4"/>
      <c r="R1" s="4"/>
      <c r="S1" s="4"/>
      <c r="T1" s="4"/>
      <c r="U1" s="4"/>
      <c r="V1" s="4"/>
      <c r="W1" s="4"/>
      <c r="X1" s="4"/>
      <c r="Y1" s="4"/>
      <c r="Z1" s="161"/>
      <c r="AA1" s="161"/>
      <c r="AB1" s="161"/>
      <c r="AC1" s="162"/>
      <c r="AD1" s="163"/>
      <c r="AE1" s="163"/>
      <c r="AF1" s="163"/>
      <c r="AG1" s="163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</row>
    <row r="2" spans="1:53" ht="7.5" customHeight="1">
      <c r="A2" s="165"/>
      <c r="B2" s="166"/>
      <c r="C2" s="166"/>
      <c r="D2" s="166"/>
      <c r="E2" s="167"/>
      <c r="F2" s="166"/>
      <c r="J2" s="166"/>
      <c r="P2" s="168"/>
      <c r="AC2" s="162"/>
      <c r="AD2" s="163"/>
      <c r="AE2" s="163"/>
      <c r="AF2" s="163"/>
      <c r="AG2" s="163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</row>
    <row r="3" spans="1:53" ht="19.5" customHeight="1">
      <c r="A3" s="235" t="s">
        <v>113</v>
      </c>
      <c r="B3" s="170"/>
      <c r="C3" s="237" t="s">
        <v>35</v>
      </c>
      <c r="D3" s="237"/>
      <c r="E3" s="237"/>
      <c r="F3" s="237" t="s">
        <v>3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ht="21.75">
      <c r="A4" s="236"/>
      <c r="B4" s="171" t="s">
        <v>14</v>
      </c>
      <c r="C4" s="171" t="s">
        <v>15</v>
      </c>
      <c r="D4" s="172" t="s">
        <v>16</v>
      </c>
      <c r="E4" s="171" t="s">
        <v>17</v>
      </c>
      <c r="F4" s="173" t="s">
        <v>14</v>
      </c>
      <c r="G4" s="171" t="s">
        <v>15</v>
      </c>
      <c r="H4" s="173" t="s">
        <v>16</v>
      </c>
      <c r="I4" s="173" t="s">
        <v>17</v>
      </c>
      <c r="J4" s="171" t="s">
        <v>14</v>
      </c>
      <c r="K4" s="171" t="s">
        <v>15</v>
      </c>
      <c r="L4" s="172" t="s">
        <v>84</v>
      </c>
      <c r="M4" s="171" t="s">
        <v>17</v>
      </c>
      <c r="N4" s="174" t="s">
        <v>14</v>
      </c>
      <c r="O4" s="174" t="s">
        <v>15</v>
      </c>
      <c r="P4" s="174" t="s">
        <v>16</v>
      </c>
      <c r="Q4" s="174" t="s">
        <v>17</v>
      </c>
      <c r="R4" s="174" t="s">
        <v>14</v>
      </c>
      <c r="S4" s="174" t="s">
        <v>15</v>
      </c>
      <c r="T4" s="174" t="s">
        <v>16</v>
      </c>
      <c r="U4" s="174" t="s">
        <v>17</v>
      </c>
      <c r="V4" s="174" t="s">
        <v>14</v>
      </c>
      <c r="W4" s="174" t="s">
        <v>15</v>
      </c>
      <c r="X4" s="174" t="s">
        <v>16</v>
      </c>
      <c r="Y4" s="174" t="s">
        <v>17</v>
      </c>
      <c r="Z4" s="174" t="s">
        <v>14</v>
      </c>
      <c r="AA4" s="174" t="s">
        <v>15</v>
      </c>
      <c r="AB4" s="174" t="s">
        <v>16</v>
      </c>
      <c r="AC4" s="174" t="s">
        <v>17</v>
      </c>
      <c r="AD4" s="174" t="s">
        <v>14</v>
      </c>
      <c r="AE4" s="174" t="s">
        <v>15</v>
      </c>
      <c r="AF4" s="174" t="s">
        <v>16</v>
      </c>
      <c r="AG4" s="174" t="s">
        <v>17</v>
      </c>
      <c r="AH4" s="174" t="s">
        <v>14</v>
      </c>
      <c r="AI4" s="174" t="s">
        <v>15</v>
      </c>
      <c r="AJ4" s="174" t="s">
        <v>16</v>
      </c>
      <c r="AK4" s="174" t="s">
        <v>17</v>
      </c>
      <c r="AL4" s="171" t="s">
        <v>14</v>
      </c>
      <c r="AM4" s="171" t="s">
        <v>15</v>
      </c>
      <c r="AN4" s="171" t="s">
        <v>16</v>
      </c>
      <c r="AO4" s="171" t="s">
        <v>17</v>
      </c>
      <c r="AP4" s="171" t="s">
        <v>14</v>
      </c>
      <c r="AQ4" s="171" t="s">
        <v>15</v>
      </c>
      <c r="AR4" s="171" t="s">
        <v>16</v>
      </c>
      <c r="AS4" s="171" t="s">
        <v>17</v>
      </c>
      <c r="AT4" s="171" t="s">
        <v>14</v>
      </c>
      <c r="AU4" s="171" t="s">
        <v>15</v>
      </c>
      <c r="AV4" s="171" t="s">
        <v>16</v>
      </c>
      <c r="AW4" s="171" t="s">
        <v>17</v>
      </c>
      <c r="AX4" s="171" t="s">
        <v>14</v>
      </c>
      <c r="AY4" s="171" t="s">
        <v>15</v>
      </c>
      <c r="AZ4" s="171" t="s">
        <v>16</v>
      </c>
      <c r="BA4" s="171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4"/>
      <c r="P5" s="13"/>
      <c r="Z5" s="175"/>
      <c r="AA5" s="175"/>
      <c r="AB5" s="175"/>
      <c r="AC5" s="176"/>
      <c r="AD5" s="177"/>
      <c r="AE5" s="177"/>
      <c r="AF5" s="177"/>
      <c r="AG5" s="177"/>
      <c r="AH5" s="177"/>
      <c r="AI5" s="177"/>
      <c r="AJ5" s="177"/>
      <c r="AK5" s="177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</row>
    <row r="6" spans="1:53" ht="24">
      <c r="A6" s="59" t="s">
        <v>19</v>
      </c>
      <c r="B6" s="179">
        <v>1463504</v>
      </c>
      <c r="C6" s="180">
        <v>1463504</v>
      </c>
      <c r="D6" s="181">
        <v>0</v>
      </c>
      <c r="E6" s="180">
        <v>1554713</v>
      </c>
      <c r="F6" s="180">
        <v>1444247</v>
      </c>
      <c r="G6" s="180">
        <v>1502082.64</v>
      </c>
      <c r="H6" s="180">
        <v>1568700</v>
      </c>
      <c r="I6" s="180">
        <v>1596453</v>
      </c>
      <c r="J6" s="180">
        <v>1473724.65</v>
      </c>
      <c r="K6" s="182">
        <v>1558329.53</v>
      </c>
      <c r="L6" s="182">
        <v>1603167.91</v>
      </c>
      <c r="M6" s="182">
        <v>1616084</v>
      </c>
      <c r="N6" s="182">
        <v>1503381</v>
      </c>
      <c r="O6" s="182">
        <v>1501983</v>
      </c>
      <c r="P6" s="182">
        <v>1599586</v>
      </c>
      <c r="Q6" s="182">
        <v>1588286</v>
      </c>
      <c r="R6" s="182">
        <v>1349508</v>
      </c>
      <c r="S6" s="182">
        <v>1397340.87</v>
      </c>
      <c r="T6" s="182">
        <v>1405156</v>
      </c>
      <c r="U6" s="182">
        <v>1416408</v>
      </c>
      <c r="V6" s="182">
        <v>1362575.88</v>
      </c>
      <c r="W6" s="182">
        <v>1368351.78</v>
      </c>
      <c r="X6" s="182">
        <v>1366251.5</v>
      </c>
      <c r="Y6" s="182">
        <v>1389717.13</v>
      </c>
      <c r="Z6" s="182">
        <v>1280208.7</v>
      </c>
      <c r="AA6" s="182">
        <v>1281017.6100000001</v>
      </c>
      <c r="AB6" s="182">
        <v>1332622.46</v>
      </c>
      <c r="AC6" s="182">
        <v>1315215.74</v>
      </c>
      <c r="AD6" s="182">
        <v>1244459</v>
      </c>
      <c r="AE6" s="182">
        <v>1264250</v>
      </c>
      <c r="AF6" s="182">
        <v>1361389</v>
      </c>
      <c r="AG6" s="182">
        <v>1306822.97</v>
      </c>
      <c r="AH6" s="182">
        <v>1236358</v>
      </c>
      <c r="AI6" s="182">
        <v>1252549</v>
      </c>
      <c r="AJ6" s="182">
        <v>1299811</v>
      </c>
      <c r="AK6" s="182">
        <v>1263081</v>
      </c>
      <c r="AL6" s="182">
        <v>1184151</v>
      </c>
      <c r="AM6" s="182">
        <v>1171095</v>
      </c>
      <c r="AN6" s="182">
        <v>1164344</v>
      </c>
      <c r="AO6" s="182">
        <v>1198717</v>
      </c>
      <c r="AP6" s="182">
        <v>1123034</v>
      </c>
      <c r="AQ6" s="182">
        <v>1235110</v>
      </c>
      <c r="AR6" s="182">
        <v>1289307</v>
      </c>
      <c r="AS6" s="182">
        <v>1347607</v>
      </c>
      <c r="AT6" s="182">
        <v>1098034</v>
      </c>
      <c r="AU6" s="182">
        <v>1173778</v>
      </c>
      <c r="AV6" s="182">
        <v>1259323</v>
      </c>
      <c r="AW6" s="182">
        <v>1153205</v>
      </c>
      <c r="AX6" s="182">
        <v>1226447</v>
      </c>
      <c r="AY6" s="182">
        <v>1208730</v>
      </c>
      <c r="AZ6" s="182">
        <v>1269837</v>
      </c>
      <c r="BA6" s="182">
        <v>1166199</v>
      </c>
    </row>
    <row r="7" spans="1:53" ht="4.5" customHeight="1">
      <c r="A7" s="183"/>
      <c r="B7" s="180"/>
      <c r="C7" s="180"/>
      <c r="D7" s="182"/>
      <c r="E7" s="180"/>
      <c r="F7" s="180"/>
      <c r="G7" s="184"/>
      <c r="H7" s="180"/>
      <c r="I7" s="180"/>
      <c r="J7" s="180"/>
      <c r="K7" s="185"/>
      <c r="L7" s="185"/>
      <c r="P7" s="4"/>
      <c r="Q7" s="183"/>
      <c r="R7" s="180"/>
      <c r="S7" s="180"/>
      <c r="T7" s="182"/>
      <c r="U7" s="180"/>
      <c r="V7" s="180"/>
      <c r="W7" s="180"/>
      <c r="X7" s="182"/>
      <c r="Y7" s="180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</row>
    <row r="8" spans="1:53">
      <c r="A8" s="187" t="s">
        <v>114</v>
      </c>
      <c r="B8" s="188"/>
      <c r="C8" s="188"/>
      <c r="D8" s="181"/>
      <c r="E8" s="188"/>
      <c r="F8" s="188"/>
      <c r="G8" s="184"/>
      <c r="H8" s="188"/>
      <c r="I8" s="188"/>
      <c r="J8" s="188"/>
      <c r="K8" s="185"/>
      <c r="L8" s="185"/>
      <c r="P8" s="4"/>
      <c r="Q8" s="187"/>
      <c r="R8" s="188"/>
      <c r="S8" s="188"/>
      <c r="T8" s="181"/>
      <c r="U8" s="188"/>
      <c r="V8" s="188"/>
      <c r="W8" s="188"/>
      <c r="X8" s="181"/>
      <c r="Y8" s="188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</row>
    <row r="9" spans="1:53">
      <c r="A9" s="187" t="s">
        <v>115</v>
      </c>
      <c r="B9" s="188">
        <v>38360</v>
      </c>
      <c r="C9" s="188">
        <v>38360</v>
      </c>
      <c r="D9" s="181">
        <v>0</v>
      </c>
      <c r="E9" s="188">
        <v>21189</v>
      </c>
      <c r="F9" s="188">
        <v>36599.089999999997</v>
      </c>
      <c r="G9" s="188">
        <v>39584.29</v>
      </c>
      <c r="H9" s="188">
        <v>23571</v>
      </c>
      <c r="I9" s="188">
        <v>28343.31</v>
      </c>
      <c r="J9" s="188">
        <v>44046.35</v>
      </c>
      <c r="K9" s="189">
        <v>36526.33</v>
      </c>
      <c r="L9" s="189">
        <v>47623.89</v>
      </c>
      <c r="M9" s="189">
        <v>47938</v>
      </c>
      <c r="N9" s="189">
        <v>46256</v>
      </c>
      <c r="O9" s="189">
        <v>45477</v>
      </c>
      <c r="P9" s="189">
        <v>123528</v>
      </c>
      <c r="Q9" s="189">
        <v>49091</v>
      </c>
      <c r="R9" s="189">
        <v>43562</v>
      </c>
      <c r="S9" s="189">
        <v>52138</v>
      </c>
      <c r="T9" s="189">
        <v>36867</v>
      </c>
      <c r="U9" s="190">
        <v>43484</v>
      </c>
      <c r="V9" s="189">
        <v>36966.080000000002</v>
      </c>
      <c r="W9" s="189">
        <v>27444.83</v>
      </c>
      <c r="X9" s="189">
        <v>31118.29</v>
      </c>
      <c r="Y9" s="189">
        <v>25460.17</v>
      </c>
      <c r="Z9" s="189">
        <v>37339.870000000003</v>
      </c>
      <c r="AA9" s="189">
        <v>36795.26</v>
      </c>
      <c r="AB9" s="189">
        <v>28395.200000000001</v>
      </c>
      <c r="AC9" s="189">
        <v>29694.63</v>
      </c>
      <c r="AD9" s="189">
        <v>36036</v>
      </c>
      <c r="AE9" s="189">
        <v>45374</v>
      </c>
      <c r="AF9" s="189">
        <v>36411</v>
      </c>
      <c r="AG9" s="189">
        <v>25540.799999999999</v>
      </c>
      <c r="AH9" s="189">
        <v>29215</v>
      </c>
      <c r="AI9" s="189">
        <v>25549</v>
      </c>
      <c r="AJ9" s="189">
        <v>27363</v>
      </c>
      <c r="AK9" s="189">
        <v>33548</v>
      </c>
      <c r="AL9" s="189">
        <v>38862</v>
      </c>
      <c r="AM9" s="189">
        <v>35053</v>
      </c>
      <c r="AN9" s="189">
        <v>30501</v>
      </c>
      <c r="AO9" s="189">
        <v>41275</v>
      </c>
      <c r="AP9" s="189">
        <v>44615</v>
      </c>
      <c r="AQ9" s="189">
        <v>37775</v>
      </c>
      <c r="AR9" s="189">
        <v>50923</v>
      </c>
      <c r="AS9" s="189">
        <v>64672</v>
      </c>
      <c r="AT9" s="189">
        <v>41093</v>
      </c>
      <c r="AU9" s="189">
        <v>38582</v>
      </c>
      <c r="AV9" s="189">
        <v>43883</v>
      </c>
      <c r="AW9" s="189">
        <v>18633</v>
      </c>
      <c r="AX9" s="189">
        <v>63113</v>
      </c>
      <c r="AY9" s="189">
        <v>40706</v>
      </c>
      <c r="AZ9" s="189">
        <v>31727</v>
      </c>
      <c r="BA9" s="189">
        <v>41370</v>
      </c>
    </row>
    <row r="10" spans="1:53">
      <c r="A10" s="187" t="s">
        <v>116</v>
      </c>
      <c r="B10" s="188">
        <v>41042</v>
      </c>
      <c r="C10" s="188">
        <v>41042</v>
      </c>
      <c r="D10" s="181">
        <v>0</v>
      </c>
      <c r="E10" s="188">
        <v>47585</v>
      </c>
      <c r="F10" s="188">
        <v>69271.08</v>
      </c>
      <c r="G10" s="188">
        <v>69273.240000000005</v>
      </c>
      <c r="H10" s="188">
        <v>77277</v>
      </c>
      <c r="I10" s="188">
        <f>ROUNDUP(62141.42,0)</f>
        <v>62142</v>
      </c>
      <c r="J10" s="188">
        <v>88159.54</v>
      </c>
      <c r="K10" s="189">
        <v>64559.02</v>
      </c>
      <c r="L10" s="189">
        <v>71653.820000000007</v>
      </c>
      <c r="M10" s="189">
        <v>94059</v>
      </c>
      <c r="N10" s="189">
        <v>63976</v>
      </c>
      <c r="O10" s="189">
        <v>57220</v>
      </c>
      <c r="P10" s="189">
        <v>69245</v>
      </c>
      <c r="Q10" s="189">
        <v>63539</v>
      </c>
      <c r="R10" s="189">
        <v>51027</v>
      </c>
      <c r="S10" s="189">
        <v>49243</v>
      </c>
      <c r="T10" s="189">
        <v>49866</v>
      </c>
      <c r="U10" s="190">
        <v>49008</v>
      </c>
      <c r="V10" s="189">
        <v>46305.74</v>
      </c>
      <c r="W10" s="189">
        <v>36882.71</v>
      </c>
      <c r="X10" s="189">
        <v>38179.71</v>
      </c>
      <c r="Y10" s="189">
        <v>60418.34</v>
      </c>
      <c r="Z10" s="189">
        <v>57938.45</v>
      </c>
      <c r="AA10" s="189">
        <v>39692.92</v>
      </c>
      <c r="AB10" s="189">
        <v>44307.14</v>
      </c>
      <c r="AC10" s="189">
        <v>55513.05</v>
      </c>
      <c r="AD10" s="189">
        <v>58900</v>
      </c>
      <c r="AE10" s="189">
        <v>53102</v>
      </c>
      <c r="AF10" s="189">
        <v>50072</v>
      </c>
      <c r="AG10" s="189">
        <v>46193.19</v>
      </c>
      <c r="AH10" s="189">
        <v>45643</v>
      </c>
      <c r="AI10" s="189">
        <v>54259</v>
      </c>
      <c r="AJ10" s="189">
        <v>60253</v>
      </c>
      <c r="AK10" s="189">
        <v>36974</v>
      </c>
      <c r="AL10" s="189">
        <v>52150</v>
      </c>
      <c r="AM10" s="189">
        <v>50056</v>
      </c>
      <c r="AN10" s="189">
        <v>56131</v>
      </c>
      <c r="AO10" s="189">
        <v>51882</v>
      </c>
      <c r="AP10" s="189">
        <v>50469</v>
      </c>
      <c r="AQ10" s="189">
        <v>44963</v>
      </c>
      <c r="AR10" s="189">
        <v>55179</v>
      </c>
      <c r="AS10" s="189">
        <v>61744</v>
      </c>
      <c r="AT10" s="189">
        <v>49105</v>
      </c>
      <c r="AU10" s="189">
        <v>50047</v>
      </c>
      <c r="AV10" s="189">
        <v>52260</v>
      </c>
      <c r="AW10" s="189">
        <v>33263</v>
      </c>
      <c r="AX10" s="189">
        <v>61642</v>
      </c>
      <c r="AY10" s="189">
        <v>68875</v>
      </c>
      <c r="AZ10" s="189">
        <v>72236</v>
      </c>
      <c r="BA10" s="189">
        <v>66483</v>
      </c>
    </row>
    <row r="11" spans="1:53">
      <c r="A11" s="187" t="s">
        <v>117</v>
      </c>
      <c r="B11" s="188"/>
      <c r="C11" s="188"/>
      <c r="D11" s="181"/>
      <c r="E11" s="188"/>
      <c r="F11" s="188"/>
      <c r="G11" s="188"/>
      <c r="H11" s="188"/>
      <c r="I11" s="188"/>
      <c r="J11" s="188"/>
      <c r="K11" s="189"/>
      <c r="L11" s="189"/>
      <c r="M11" s="189"/>
      <c r="N11" s="189"/>
      <c r="O11" s="189"/>
      <c r="P11" s="189" t="s">
        <v>118</v>
      </c>
      <c r="Q11" s="189"/>
      <c r="R11" s="189"/>
      <c r="S11" s="189"/>
      <c r="T11" s="189"/>
      <c r="U11" s="191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</row>
    <row r="12" spans="1:53">
      <c r="A12" s="187" t="s">
        <v>119</v>
      </c>
      <c r="B12" s="188">
        <v>30921</v>
      </c>
      <c r="C12" s="188">
        <v>30922</v>
      </c>
      <c r="D12" s="181">
        <v>0</v>
      </c>
      <c r="E12" s="188">
        <v>36393</v>
      </c>
      <c r="F12" s="188">
        <v>43505.51</v>
      </c>
      <c r="G12" s="188">
        <v>43111.32</v>
      </c>
      <c r="H12" s="188">
        <v>35857</v>
      </c>
      <c r="I12" s="188">
        <v>41702.97</v>
      </c>
      <c r="J12" s="188">
        <v>34486.68</v>
      </c>
      <c r="K12" s="189">
        <v>34240.15</v>
      </c>
      <c r="L12" s="189">
        <v>24552.84</v>
      </c>
      <c r="M12" s="189">
        <v>33523</v>
      </c>
      <c r="N12" s="189">
        <v>50935</v>
      </c>
      <c r="O12" s="189">
        <v>35400</v>
      </c>
      <c r="P12" s="189">
        <v>79854</v>
      </c>
      <c r="Q12" s="189">
        <v>46694</v>
      </c>
      <c r="R12" s="189">
        <v>49066</v>
      </c>
      <c r="S12" s="189">
        <v>48118</v>
      </c>
      <c r="T12" s="189">
        <v>53629</v>
      </c>
      <c r="U12" s="190">
        <v>46750</v>
      </c>
      <c r="V12" s="189">
        <v>40837.85</v>
      </c>
      <c r="W12" s="189">
        <v>44704.29</v>
      </c>
      <c r="X12" s="189">
        <v>39669.07</v>
      </c>
      <c r="Y12" s="189">
        <v>32546.98</v>
      </c>
      <c r="Z12" s="189">
        <v>36913.58</v>
      </c>
      <c r="AA12" s="189">
        <v>40470.870000000003</v>
      </c>
      <c r="AB12" s="189">
        <v>32696.76</v>
      </c>
      <c r="AC12" s="189">
        <v>44175.67</v>
      </c>
      <c r="AD12" s="189">
        <v>35829</v>
      </c>
      <c r="AE12" s="189">
        <v>34457</v>
      </c>
      <c r="AF12" s="189">
        <v>41557</v>
      </c>
      <c r="AG12" s="189">
        <v>29888.07</v>
      </c>
      <c r="AH12" s="189">
        <v>38528</v>
      </c>
      <c r="AI12" s="189">
        <v>27390</v>
      </c>
      <c r="AJ12" s="189">
        <v>33838</v>
      </c>
      <c r="AK12" s="189">
        <v>35289</v>
      </c>
      <c r="AL12" s="189">
        <v>37305</v>
      </c>
      <c r="AM12" s="189">
        <v>30645</v>
      </c>
      <c r="AN12" s="189">
        <v>37933</v>
      </c>
      <c r="AO12" s="189">
        <v>24148</v>
      </c>
      <c r="AP12" s="189">
        <v>34773</v>
      </c>
      <c r="AQ12" s="189">
        <v>34047</v>
      </c>
      <c r="AR12" s="189">
        <v>39682</v>
      </c>
      <c r="AS12" s="189">
        <v>33444</v>
      </c>
      <c r="AT12" s="189">
        <v>43173</v>
      </c>
      <c r="AU12" s="189">
        <v>32629</v>
      </c>
      <c r="AV12" s="189">
        <v>30809</v>
      </c>
      <c r="AW12" s="189">
        <v>36601</v>
      </c>
      <c r="AX12" s="189">
        <v>40929</v>
      </c>
      <c r="AY12" s="189">
        <v>49523</v>
      </c>
      <c r="AZ12" s="189">
        <v>38497</v>
      </c>
      <c r="BA12" s="189">
        <v>45048</v>
      </c>
    </row>
    <row r="13" spans="1:53">
      <c r="A13" s="187" t="s">
        <v>120</v>
      </c>
      <c r="B13" s="188">
        <v>54596</v>
      </c>
      <c r="C13" s="188">
        <v>54596</v>
      </c>
      <c r="D13" s="181">
        <v>0</v>
      </c>
      <c r="E13" s="188">
        <v>58093</v>
      </c>
      <c r="F13" s="188">
        <v>40446.800000000003</v>
      </c>
      <c r="G13" s="188">
        <v>34699.339999999997</v>
      </c>
      <c r="H13" s="188">
        <v>47830</v>
      </c>
      <c r="I13" s="188">
        <v>40982.839999999997</v>
      </c>
      <c r="J13" s="188">
        <v>45455.3</v>
      </c>
      <c r="K13" s="189">
        <f>ROUNDUP(45257.41,0)</f>
        <v>45258</v>
      </c>
      <c r="L13" s="189">
        <v>53792.13</v>
      </c>
      <c r="M13" s="189">
        <v>49895</v>
      </c>
      <c r="N13" s="189">
        <v>48560</v>
      </c>
      <c r="O13" s="189">
        <v>50172</v>
      </c>
      <c r="P13" s="189">
        <v>37046</v>
      </c>
      <c r="Q13" s="189">
        <v>47553</v>
      </c>
      <c r="R13" s="189">
        <v>46765</v>
      </c>
      <c r="S13" s="189">
        <v>31331</v>
      </c>
      <c r="T13" s="189">
        <v>28957</v>
      </c>
      <c r="U13" s="190">
        <v>41394</v>
      </c>
      <c r="V13" s="189">
        <v>46773.53</v>
      </c>
      <c r="W13" s="189">
        <v>43633.18</v>
      </c>
      <c r="X13" s="189">
        <v>31542.86</v>
      </c>
      <c r="Y13" s="189">
        <v>27080.63</v>
      </c>
      <c r="Z13" s="189">
        <v>28023.26</v>
      </c>
      <c r="AA13" s="189">
        <v>34193.1</v>
      </c>
      <c r="AB13" s="189">
        <v>42656.79</v>
      </c>
      <c r="AC13" s="189">
        <v>30445.83</v>
      </c>
      <c r="AD13" s="189">
        <v>34859</v>
      </c>
      <c r="AE13" s="189">
        <v>31681</v>
      </c>
      <c r="AF13" s="189">
        <v>33030</v>
      </c>
      <c r="AG13" s="189">
        <v>31538.38</v>
      </c>
      <c r="AH13" s="189">
        <v>44345</v>
      </c>
      <c r="AI13" s="189">
        <v>35243</v>
      </c>
      <c r="AJ13" s="189">
        <v>27146</v>
      </c>
      <c r="AK13" s="189">
        <v>37792</v>
      </c>
      <c r="AL13" s="189">
        <v>47492</v>
      </c>
      <c r="AM13" s="189">
        <v>45570</v>
      </c>
      <c r="AN13" s="189">
        <v>40136</v>
      </c>
      <c r="AO13" s="189">
        <v>40415</v>
      </c>
      <c r="AP13" s="189">
        <v>40432</v>
      </c>
      <c r="AQ13" s="189">
        <v>33091</v>
      </c>
      <c r="AR13" s="189">
        <v>23856</v>
      </c>
      <c r="AS13" s="189">
        <v>30874</v>
      </c>
      <c r="AT13" s="189">
        <v>43613</v>
      </c>
      <c r="AU13" s="189">
        <v>33922</v>
      </c>
      <c r="AV13" s="189">
        <v>37884</v>
      </c>
      <c r="AW13" s="189">
        <v>40566</v>
      </c>
      <c r="AX13" s="189">
        <v>42803</v>
      </c>
      <c r="AY13" s="189">
        <v>50129</v>
      </c>
      <c r="AZ13" s="189">
        <v>48710</v>
      </c>
      <c r="BA13" s="189">
        <v>43687</v>
      </c>
    </row>
    <row r="14" spans="1:53">
      <c r="A14" s="187" t="s">
        <v>121</v>
      </c>
      <c r="B14" s="188">
        <v>335759</v>
      </c>
      <c r="C14" s="188">
        <v>335759</v>
      </c>
      <c r="D14" s="181">
        <v>0</v>
      </c>
      <c r="E14" s="188">
        <v>275051</v>
      </c>
      <c r="F14" s="188">
        <v>306485.2</v>
      </c>
      <c r="G14" s="188">
        <v>301767.51</v>
      </c>
      <c r="H14" s="188">
        <v>272255</v>
      </c>
      <c r="I14" s="188">
        <v>280223.26</v>
      </c>
      <c r="J14" s="188">
        <v>320308.49</v>
      </c>
      <c r="K14" s="189">
        <v>298617.94</v>
      </c>
      <c r="L14" s="189">
        <v>300349.94</v>
      </c>
      <c r="M14" s="189">
        <v>381381</v>
      </c>
      <c r="N14" s="189">
        <v>269773</v>
      </c>
      <c r="O14" s="189">
        <v>327736</v>
      </c>
      <c r="P14" s="189">
        <v>243375</v>
      </c>
      <c r="Q14" s="189">
        <v>256107</v>
      </c>
      <c r="R14" s="189">
        <v>258543</v>
      </c>
      <c r="S14" s="189">
        <v>253209</v>
      </c>
      <c r="T14" s="189">
        <v>236702</v>
      </c>
      <c r="U14" s="190">
        <v>265091</v>
      </c>
      <c r="V14" s="189">
        <v>260528.15</v>
      </c>
      <c r="W14" s="189">
        <v>241895.6</v>
      </c>
      <c r="X14" s="189">
        <v>239289.39</v>
      </c>
      <c r="Y14" s="189">
        <v>232415.8</v>
      </c>
      <c r="Z14" s="189">
        <v>249855.24</v>
      </c>
      <c r="AA14" s="189">
        <v>244259.67</v>
      </c>
      <c r="AB14" s="189">
        <v>272517.53999999998</v>
      </c>
      <c r="AC14" s="189">
        <v>245325.4</v>
      </c>
      <c r="AD14" s="189">
        <v>264189</v>
      </c>
      <c r="AE14" s="189">
        <v>256374</v>
      </c>
      <c r="AF14" s="189">
        <v>264756</v>
      </c>
      <c r="AG14" s="189">
        <v>261399.23</v>
      </c>
      <c r="AH14" s="189">
        <v>211947</v>
      </c>
      <c r="AI14" s="189">
        <v>224243</v>
      </c>
      <c r="AJ14" s="189">
        <v>223515</v>
      </c>
      <c r="AK14" s="189">
        <v>240618</v>
      </c>
      <c r="AL14" s="189">
        <v>237568</v>
      </c>
      <c r="AM14" s="189">
        <v>245594</v>
      </c>
      <c r="AN14" s="189">
        <v>232153</v>
      </c>
      <c r="AO14" s="189">
        <v>220106</v>
      </c>
      <c r="AP14" s="189">
        <v>230705</v>
      </c>
      <c r="AQ14" s="189">
        <v>205549</v>
      </c>
      <c r="AR14" s="189">
        <v>221153</v>
      </c>
      <c r="AS14" s="189">
        <v>225299</v>
      </c>
      <c r="AT14" s="189">
        <v>214469</v>
      </c>
      <c r="AU14" s="189">
        <v>241209</v>
      </c>
      <c r="AV14" s="189">
        <v>240973</v>
      </c>
      <c r="AW14" s="189">
        <v>211957</v>
      </c>
      <c r="AX14" s="189">
        <v>202331</v>
      </c>
      <c r="AY14" s="189">
        <v>228621</v>
      </c>
      <c r="AZ14" s="189">
        <v>225320</v>
      </c>
      <c r="BA14" s="189">
        <v>220045</v>
      </c>
    </row>
    <row r="15" spans="1:53">
      <c r="A15" s="187" t="s">
        <v>122</v>
      </c>
      <c r="B15" s="188"/>
      <c r="C15" s="188"/>
      <c r="D15" s="181"/>
      <c r="E15" s="188"/>
      <c r="F15" s="188"/>
      <c r="G15" s="188"/>
      <c r="H15" s="188"/>
      <c r="I15" s="188"/>
      <c r="J15" s="188"/>
      <c r="K15" s="189"/>
      <c r="L15" s="189"/>
      <c r="M15" s="189"/>
      <c r="N15" s="189"/>
      <c r="O15" s="189"/>
      <c r="P15" s="189" t="s">
        <v>118</v>
      </c>
      <c r="Q15" s="189"/>
      <c r="R15" s="189"/>
      <c r="S15" s="189"/>
      <c r="T15" s="189"/>
      <c r="U15" s="191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</row>
    <row r="16" spans="1:53">
      <c r="A16" s="192" t="s">
        <v>123</v>
      </c>
      <c r="B16" s="188">
        <v>316481</v>
      </c>
      <c r="C16" s="188">
        <v>316481</v>
      </c>
      <c r="D16" s="181">
        <v>0</v>
      </c>
      <c r="E16" s="188">
        <v>580034</v>
      </c>
      <c r="F16" s="188">
        <v>362916.93</v>
      </c>
      <c r="G16" s="188">
        <v>443081.73</v>
      </c>
      <c r="H16" s="188">
        <v>568690</v>
      </c>
      <c r="I16" s="188">
        <v>565395.91</v>
      </c>
      <c r="J16" s="188">
        <v>371653.8</v>
      </c>
      <c r="K16" s="189">
        <v>496011.99</v>
      </c>
      <c r="L16" s="189">
        <v>537549.73</v>
      </c>
      <c r="M16" s="189">
        <v>485543</v>
      </c>
      <c r="N16" s="189">
        <v>381393</v>
      </c>
      <c r="O16" s="189">
        <v>385970</v>
      </c>
      <c r="P16" s="189">
        <v>590680</v>
      </c>
      <c r="Q16" s="189">
        <v>589994</v>
      </c>
      <c r="R16" s="189">
        <v>380217</v>
      </c>
      <c r="S16" s="189">
        <v>478238</v>
      </c>
      <c r="T16" s="189">
        <v>500371</v>
      </c>
      <c r="U16" s="190">
        <v>504936</v>
      </c>
      <c r="V16" s="189">
        <v>412223.41</v>
      </c>
      <c r="W16" s="189">
        <v>443088.09</v>
      </c>
      <c r="X16" s="189">
        <v>536436.74</v>
      </c>
      <c r="Y16" s="189">
        <v>507792.56</v>
      </c>
      <c r="Z16" s="189">
        <v>349884.05</v>
      </c>
      <c r="AA16" s="189">
        <v>358051.78</v>
      </c>
      <c r="AB16" s="189">
        <v>445323.92</v>
      </c>
      <c r="AC16" s="189">
        <v>437922.16</v>
      </c>
      <c r="AD16" s="189">
        <v>275349</v>
      </c>
      <c r="AE16" s="189">
        <v>387080</v>
      </c>
      <c r="AF16" s="189">
        <v>476749</v>
      </c>
      <c r="AG16" s="189">
        <v>431531.51</v>
      </c>
      <c r="AH16" s="189">
        <v>358811</v>
      </c>
      <c r="AI16" s="189">
        <v>386943</v>
      </c>
      <c r="AJ16" s="189">
        <v>459368</v>
      </c>
      <c r="AK16" s="189">
        <v>394970</v>
      </c>
      <c r="AL16" s="189">
        <v>306068</v>
      </c>
      <c r="AM16" s="189">
        <v>306856</v>
      </c>
      <c r="AN16" s="189">
        <v>370035</v>
      </c>
      <c r="AO16" s="189">
        <v>403243</v>
      </c>
      <c r="AP16" s="189">
        <v>276310</v>
      </c>
      <c r="AQ16" s="189">
        <v>457397</v>
      </c>
      <c r="AR16" s="189">
        <v>506118</v>
      </c>
      <c r="AS16" s="189">
        <v>548602</v>
      </c>
      <c r="AT16" s="189">
        <v>278633</v>
      </c>
      <c r="AU16" s="189">
        <v>346903</v>
      </c>
      <c r="AV16" s="189">
        <v>464956</v>
      </c>
      <c r="AW16" s="189">
        <v>421761</v>
      </c>
      <c r="AX16" s="189">
        <v>331462</v>
      </c>
      <c r="AY16" s="189">
        <v>344934</v>
      </c>
      <c r="AZ16" s="189">
        <v>483423</v>
      </c>
      <c r="BA16" s="189">
        <v>378256</v>
      </c>
    </row>
    <row r="17" spans="1:53">
      <c r="A17" s="187" t="s">
        <v>124</v>
      </c>
      <c r="B17" s="188"/>
      <c r="C17" s="188"/>
      <c r="D17" s="181"/>
      <c r="E17" s="188"/>
      <c r="F17" s="188"/>
      <c r="G17" s="188"/>
      <c r="H17" s="188"/>
      <c r="I17" s="188" t="s">
        <v>125</v>
      </c>
      <c r="J17" s="188"/>
      <c r="K17" s="189"/>
      <c r="L17" s="189"/>
      <c r="M17" s="189"/>
      <c r="N17" s="189"/>
      <c r="O17" s="189"/>
      <c r="P17" s="189" t="s">
        <v>118</v>
      </c>
      <c r="Q17" s="189"/>
      <c r="R17" s="189"/>
      <c r="S17" s="189"/>
      <c r="T17" s="189"/>
      <c r="U17" s="191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</row>
    <row r="18" spans="1:53">
      <c r="A18" s="187" t="s">
        <v>126</v>
      </c>
      <c r="B18" s="188">
        <v>184901</v>
      </c>
      <c r="C18" s="188">
        <v>184901</v>
      </c>
      <c r="D18" s="181">
        <v>0</v>
      </c>
      <c r="E18" s="188">
        <v>209333</v>
      </c>
      <c r="F18" s="188">
        <v>256892.49</v>
      </c>
      <c r="G18" s="188">
        <v>242772.07</v>
      </c>
      <c r="H18" s="188">
        <v>242633</v>
      </c>
      <c r="I18" s="188">
        <v>193775.86</v>
      </c>
      <c r="J18" s="188">
        <v>169901.51</v>
      </c>
      <c r="K18" s="189">
        <v>192459.9</v>
      </c>
      <c r="L18" s="189">
        <v>189868.98</v>
      </c>
      <c r="M18" s="189">
        <v>154008</v>
      </c>
      <c r="N18" s="189">
        <v>222542</v>
      </c>
      <c r="O18" s="189">
        <v>218908</v>
      </c>
      <c r="P18" s="189">
        <v>161098</v>
      </c>
      <c r="Q18" s="189">
        <v>158734</v>
      </c>
      <c r="R18" s="189">
        <v>188042</v>
      </c>
      <c r="S18" s="189">
        <v>161429</v>
      </c>
      <c r="T18" s="189">
        <v>155203</v>
      </c>
      <c r="U18" s="190">
        <v>175610</v>
      </c>
      <c r="V18" s="189">
        <v>203938.79</v>
      </c>
      <c r="W18" s="189">
        <v>219625.96</v>
      </c>
      <c r="X18" s="189">
        <v>162928.94</v>
      </c>
      <c r="Y18" s="189">
        <v>189042.62</v>
      </c>
      <c r="Z18" s="189">
        <v>191211.94</v>
      </c>
      <c r="AA18" s="189">
        <v>195743.71</v>
      </c>
      <c r="AB18" s="189">
        <v>168267.19</v>
      </c>
      <c r="AC18" s="189">
        <v>162786.10999999999</v>
      </c>
      <c r="AD18" s="189">
        <v>140215</v>
      </c>
      <c r="AE18" s="189">
        <v>139510</v>
      </c>
      <c r="AF18" s="189">
        <v>155591</v>
      </c>
      <c r="AG18" s="189">
        <v>179037.4</v>
      </c>
      <c r="AH18" s="189">
        <v>158493</v>
      </c>
      <c r="AI18" s="189">
        <v>162947</v>
      </c>
      <c r="AJ18" s="189">
        <v>166574</v>
      </c>
      <c r="AK18" s="189">
        <v>141437</v>
      </c>
      <c r="AL18" s="189">
        <v>141208</v>
      </c>
      <c r="AM18" s="189">
        <v>181905</v>
      </c>
      <c r="AN18" s="189">
        <v>154712</v>
      </c>
      <c r="AO18" s="189">
        <v>136190</v>
      </c>
      <c r="AP18" s="189">
        <v>154144</v>
      </c>
      <c r="AQ18" s="189">
        <v>152225</v>
      </c>
      <c r="AR18" s="189">
        <v>116962</v>
      </c>
      <c r="AS18" s="189">
        <v>92926</v>
      </c>
      <c r="AT18" s="189">
        <v>119578</v>
      </c>
      <c r="AU18" s="189">
        <v>143786</v>
      </c>
      <c r="AV18" s="189">
        <v>116986</v>
      </c>
      <c r="AW18" s="189">
        <v>97308</v>
      </c>
      <c r="AX18" s="189">
        <v>155522</v>
      </c>
      <c r="AY18" s="189">
        <v>138278</v>
      </c>
      <c r="AZ18" s="189">
        <v>123610</v>
      </c>
      <c r="BA18" s="189">
        <v>121549</v>
      </c>
    </row>
    <row r="19" spans="1:53">
      <c r="A19" s="187" t="s">
        <v>127</v>
      </c>
      <c r="B19" s="188"/>
      <c r="C19" s="188"/>
      <c r="D19" s="181"/>
      <c r="E19" s="188"/>
      <c r="F19" s="188"/>
      <c r="G19" s="188"/>
      <c r="H19" s="188"/>
      <c r="I19" s="188"/>
      <c r="J19" s="188"/>
      <c r="K19" s="189"/>
      <c r="L19" s="189"/>
      <c r="M19" s="189"/>
      <c r="N19" s="189"/>
      <c r="O19" s="189"/>
      <c r="P19" s="189" t="s">
        <v>118</v>
      </c>
      <c r="Q19" s="189"/>
      <c r="R19" s="189"/>
      <c r="S19" s="189"/>
      <c r="T19" s="189"/>
      <c r="U19" s="191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</row>
    <row r="20" spans="1:53">
      <c r="A20" s="187" t="s">
        <v>128</v>
      </c>
      <c r="B20" s="188">
        <v>172137</v>
      </c>
      <c r="C20" s="188">
        <v>172137</v>
      </c>
      <c r="D20" s="181">
        <v>0</v>
      </c>
      <c r="E20" s="188">
        <v>135335</v>
      </c>
      <c r="F20" s="188">
        <v>139535</v>
      </c>
      <c r="G20" s="188">
        <v>182278.11</v>
      </c>
      <c r="H20" s="188">
        <v>122416</v>
      </c>
      <c r="I20" s="188">
        <v>143469.35999999999</v>
      </c>
      <c r="J20" s="188">
        <v>181392.52</v>
      </c>
      <c r="K20" s="189">
        <v>170471.34</v>
      </c>
      <c r="L20" s="189">
        <f>ROUNDDOWN(194857.54,0)</f>
        <v>194857</v>
      </c>
      <c r="M20" s="189">
        <v>162731</v>
      </c>
      <c r="N20" s="189">
        <v>200343</v>
      </c>
      <c r="O20" s="189">
        <v>162418</v>
      </c>
      <c r="P20" s="189">
        <v>165505</v>
      </c>
      <c r="Q20" s="189">
        <v>166848</v>
      </c>
      <c r="R20" s="189">
        <v>148821</v>
      </c>
      <c r="S20" s="189">
        <v>138953</v>
      </c>
      <c r="T20" s="189">
        <v>137976</v>
      </c>
      <c r="U20" s="190">
        <v>137490</v>
      </c>
      <c r="V20" s="189">
        <v>131910.26</v>
      </c>
      <c r="W20" s="189">
        <v>129264.9</v>
      </c>
      <c r="X20" s="189">
        <v>126756.26</v>
      </c>
      <c r="Y20" s="189">
        <v>143687.28</v>
      </c>
      <c r="Z20" s="189">
        <v>112736.15</v>
      </c>
      <c r="AA20" s="189">
        <v>133791.25</v>
      </c>
      <c r="AB20" s="189">
        <v>130887.21</v>
      </c>
      <c r="AC20" s="189">
        <v>113252.19</v>
      </c>
      <c r="AD20" s="189">
        <v>153368</v>
      </c>
      <c r="AE20" s="189">
        <v>120836</v>
      </c>
      <c r="AF20" s="189">
        <v>125599</v>
      </c>
      <c r="AG20" s="189">
        <v>108149.58</v>
      </c>
      <c r="AH20" s="189">
        <v>129347</v>
      </c>
      <c r="AI20" s="189">
        <v>139920</v>
      </c>
      <c r="AJ20" s="189">
        <v>127397</v>
      </c>
      <c r="AK20" s="189">
        <v>130542</v>
      </c>
      <c r="AL20" s="189">
        <v>151100</v>
      </c>
      <c r="AM20" s="189">
        <v>127614</v>
      </c>
      <c r="AN20" s="189">
        <v>139310</v>
      </c>
      <c r="AO20" s="189">
        <v>143063</v>
      </c>
      <c r="AP20" s="189">
        <v>130186</v>
      </c>
      <c r="AQ20" s="189">
        <v>151283</v>
      </c>
      <c r="AR20" s="189">
        <v>135925</v>
      </c>
      <c r="AS20" s="189">
        <v>108132</v>
      </c>
      <c r="AT20" s="189">
        <v>101697</v>
      </c>
      <c r="AU20" s="189">
        <v>113179</v>
      </c>
      <c r="AV20" s="189">
        <v>106812</v>
      </c>
      <c r="AW20" s="189">
        <v>95390</v>
      </c>
      <c r="AX20" s="189">
        <v>112803</v>
      </c>
      <c r="AY20" s="189">
        <v>118128</v>
      </c>
      <c r="AZ20" s="189">
        <v>88585</v>
      </c>
      <c r="BA20" s="189">
        <v>109679</v>
      </c>
    </row>
    <row r="21" spans="1:53">
      <c r="A21" s="187" t="s">
        <v>129</v>
      </c>
      <c r="B21" s="188"/>
      <c r="C21" s="188"/>
      <c r="D21" s="181"/>
      <c r="E21" s="188"/>
      <c r="F21" s="188"/>
      <c r="G21" s="188"/>
      <c r="H21" s="188"/>
      <c r="I21" s="188"/>
      <c r="J21" s="188"/>
      <c r="K21" s="189"/>
      <c r="L21" s="189"/>
      <c r="M21" s="189"/>
      <c r="P21" s="4"/>
      <c r="Q21" s="189"/>
      <c r="U21" s="19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</row>
    <row r="22" spans="1:53">
      <c r="A22" s="187" t="s">
        <v>130</v>
      </c>
      <c r="B22" s="188">
        <v>289306</v>
      </c>
      <c r="C22" s="188">
        <v>289306</v>
      </c>
      <c r="D22" s="181">
        <v>0</v>
      </c>
      <c r="E22" s="188">
        <v>191700</v>
      </c>
      <c r="F22" s="188">
        <v>172217.1</v>
      </c>
      <c r="G22" s="188">
        <v>141211.63</v>
      </c>
      <c r="H22" s="188">
        <v>174786</v>
      </c>
      <c r="I22" s="188">
        <v>220409.35</v>
      </c>
      <c r="J22" s="188">
        <v>218320.48</v>
      </c>
      <c r="K22" s="20">
        <f>ROUNDUP(220185.44,0)</f>
        <v>220186</v>
      </c>
      <c r="L22" s="189">
        <v>182919.03</v>
      </c>
      <c r="M22" s="189">
        <v>207009</v>
      </c>
      <c r="N22" s="189">
        <v>219603</v>
      </c>
      <c r="O22" s="189">
        <v>218682</v>
      </c>
      <c r="P22" s="189">
        <v>129255</v>
      </c>
      <c r="Q22" s="189">
        <v>209726</v>
      </c>
      <c r="R22" s="189">
        <v>183465</v>
      </c>
      <c r="S22" s="189">
        <v>184682</v>
      </c>
      <c r="T22" s="189">
        <v>205585</v>
      </c>
      <c r="U22" s="190">
        <v>152645</v>
      </c>
      <c r="V22" s="189">
        <v>183092.08</v>
      </c>
      <c r="W22" s="189">
        <v>181812.21</v>
      </c>
      <c r="X22" s="189">
        <v>160330.25</v>
      </c>
      <c r="Y22" s="189">
        <v>171272.76</v>
      </c>
      <c r="Z22" s="189">
        <v>216306.16</v>
      </c>
      <c r="AA22" s="189">
        <v>198019.05</v>
      </c>
      <c r="AB22" s="189">
        <v>167570.71</v>
      </c>
      <c r="AC22" s="189">
        <v>196100.7</v>
      </c>
      <c r="AD22" s="189">
        <v>245714</v>
      </c>
      <c r="AE22" s="189">
        <v>195836</v>
      </c>
      <c r="AF22" s="189">
        <v>177624</v>
      </c>
      <c r="AG22" s="189">
        <v>193544.82</v>
      </c>
      <c r="AH22" s="189">
        <v>220029</v>
      </c>
      <c r="AI22" s="189">
        <v>196055</v>
      </c>
      <c r="AJ22" s="189">
        <v>174357</v>
      </c>
      <c r="AK22" s="189">
        <v>211911</v>
      </c>
      <c r="AL22" s="189">
        <v>172398</v>
      </c>
      <c r="AM22" s="189">
        <v>147802</v>
      </c>
      <c r="AN22" s="189">
        <v>103433</v>
      </c>
      <c r="AO22" s="189">
        <v>138395</v>
      </c>
      <c r="AP22" s="189">
        <v>161400</v>
      </c>
      <c r="AQ22" s="189">
        <v>118780</v>
      </c>
      <c r="AR22" s="189">
        <v>139509</v>
      </c>
      <c r="AS22" s="189">
        <v>181445</v>
      </c>
      <c r="AT22" s="189">
        <v>206673</v>
      </c>
      <c r="AU22" s="189">
        <v>173521</v>
      </c>
      <c r="AV22" s="189">
        <v>164760</v>
      </c>
      <c r="AW22" s="189">
        <v>197726</v>
      </c>
      <c r="AX22" s="189">
        <v>215842</v>
      </c>
      <c r="AY22" s="189">
        <v>169536</v>
      </c>
      <c r="AZ22" s="189">
        <v>157729</v>
      </c>
      <c r="BA22" s="189">
        <v>140082</v>
      </c>
    </row>
    <row r="23" spans="1:53">
      <c r="A23" s="194" t="s">
        <v>131</v>
      </c>
      <c r="B23" s="181">
        <v>0</v>
      </c>
      <c r="C23" s="181">
        <v>0</v>
      </c>
      <c r="D23" s="181">
        <v>0</v>
      </c>
      <c r="E23" s="181">
        <v>0</v>
      </c>
      <c r="F23" s="188">
        <v>16377.79</v>
      </c>
      <c r="G23" s="188">
        <f>ROUNDUP(4303.39,0)</f>
        <v>4304</v>
      </c>
      <c r="H23" s="188">
        <v>3386</v>
      </c>
      <c r="I23" s="188">
        <v>20008.66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>
        <v>0</v>
      </c>
      <c r="U23" s="181">
        <v>0</v>
      </c>
      <c r="V23" s="181">
        <v>0</v>
      </c>
      <c r="W23" s="181">
        <v>0</v>
      </c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1">
        <v>0</v>
      </c>
      <c r="AE23" s="181">
        <v>0</v>
      </c>
      <c r="AF23" s="181">
        <v>0</v>
      </c>
      <c r="AG23" s="181">
        <v>0</v>
      </c>
      <c r="AH23" s="181">
        <v>0</v>
      </c>
      <c r="AI23" s="181">
        <v>0</v>
      </c>
      <c r="AJ23" s="181">
        <v>0</v>
      </c>
      <c r="AK23" s="181">
        <v>0</v>
      </c>
      <c r="AL23" s="181" t="s">
        <v>74</v>
      </c>
      <c r="AM23" s="181" t="s">
        <v>74</v>
      </c>
      <c r="AN23" s="181" t="s">
        <v>74</v>
      </c>
      <c r="AO23" s="181" t="s">
        <v>74</v>
      </c>
      <c r="AP23" s="181" t="s">
        <v>74</v>
      </c>
      <c r="AQ23" s="181" t="s">
        <v>74</v>
      </c>
      <c r="AR23" s="181" t="s">
        <v>74</v>
      </c>
      <c r="AS23" s="181">
        <v>469</v>
      </c>
      <c r="AT23" s="181" t="s">
        <v>74</v>
      </c>
      <c r="AU23" s="181" t="s">
        <v>74</v>
      </c>
      <c r="AV23" s="181"/>
      <c r="AW23" s="181" t="s">
        <v>74</v>
      </c>
      <c r="AX23" s="181" t="s">
        <v>74</v>
      </c>
      <c r="AY23" s="181" t="s">
        <v>74</v>
      </c>
      <c r="AZ23" s="181"/>
      <c r="BA23" s="181"/>
    </row>
    <row r="24" spans="1:53" s="12" customFormat="1" ht="29.25" customHeight="1">
      <c r="A24" s="234" t="s">
        <v>29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4"/>
      <c r="N24" s="4"/>
      <c r="O24" s="4"/>
      <c r="P24" s="195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169"/>
      <c r="AC24" s="19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</row>
    <row r="25" spans="1:53" ht="21.75" customHeight="1">
      <c r="A25" s="183" t="s">
        <v>19</v>
      </c>
      <c r="B25" s="197">
        <f>B6/B6*100</f>
        <v>100</v>
      </c>
      <c r="C25" s="197">
        <f>C6/C6*100</f>
        <v>100</v>
      </c>
      <c r="D25" s="181">
        <v>0</v>
      </c>
      <c r="E25" s="197">
        <f t="shared" ref="E25:AS25" si="0">E6/E6*100</f>
        <v>100</v>
      </c>
      <c r="F25" s="197">
        <f t="shared" si="0"/>
        <v>100</v>
      </c>
      <c r="G25" s="197">
        <f t="shared" si="0"/>
        <v>100</v>
      </c>
      <c r="H25" s="197">
        <f t="shared" si="0"/>
        <v>100</v>
      </c>
      <c r="I25" s="197">
        <f t="shared" si="0"/>
        <v>100</v>
      </c>
      <c r="J25" s="197">
        <f t="shared" si="0"/>
        <v>100</v>
      </c>
      <c r="K25" s="197">
        <f t="shared" si="0"/>
        <v>100</v>
      </c>
      <c r="L25" s="197">
        <f t="shared" si="0"/>
        <v>100</v>
      </c>
      <c r="M25" s="197">
        <f t="shared" si="0"/>
        <v>100</v>
      </c>
      <c r="N25" s="197">
        <f t="shared" si="0"/>
        <v>100</v>
      </c>
      <c r="O25" s="197">
        <f t="shared" si="0"/>
        <v>100</v>
      </c>
      <c r="P25" s="197">
        <f t="shared" si="0"/>
        <v>100</v>
      </c>
      <c r="Q25" s="197">
        <f t="shared" si="0"/>
        <v>100</v>
      </c>
      <c r="R25" s="197">
        <f t="shared" si="0"/>
        <v>100</v>
      </c>
      <c r="S25" s="197">
        <f t="shared" si="0"/>
        <v>100</v>
      </c>
      <c r="T25" s="197">
        <f t="shared" si="0"/>
        <v>100</v>
      </c>
      <c r="U25" s="197">
        <f t="shared" si="0"/>
        <v>100</v>
      </c>
      <c r="V25" s="197">
        <f t="shared" si="0"/>
        <v>100</v>
      </c>
      <c r="W25" s="197">
        <f t="shared" si="0"/>
        <v>100</v>
      </c>
      <c r="X25" s="197">
        <f t="shared" si="0"/>
        <v>100</v>
      </c>
      <c r="Y25" s="197">
        <f t="shared" si="0"/>
        <v>100</v>
      </c>
      <c r="Z25" s="197">
        <f t="shared" si="0"/>
        <v>100</v>
      </c>
      <c r="AA25" s="197">
        <f t="shared" si="0"/>
        <v>100</v>
      </c>
      <c r="AB25" s="197">
        <f t="shared" si="0"/>
        <v>100</v>
      </c>
      <c r="AC25" s="197">
        <f t="shared" si="0"/>
        <v>100</v>
      </c>
      <c r="AD25" s="197">
        <f t="shared" si="0"/>
        <v>100</v>
      </c>
      <c r="AE25" s="197">
        <f t="shared" si="0"/>
        <v>100</v>
      </c>
      <c r="AF25" s="197">
        <f t="shared" si="0"/>
        <v>100</v>
      </c>
      <c r="AG25" s="197">
        <f t="shared" si="0"/>
        <v>100</v>
      </c>
      <c r="AH25" s="197">
        <f t="shared" si="0"/>
        <v>100</v>
      </c>
      <c r="AI25" s="197">
        <f t="shared" si="0"/>
        <v>100</v>
      </c>
      <c r="AJ25" s="197">
        <f t="shared" si="0"/>
        <v>100</v>
      </c>
      <c r="AK25" s="197">
        <f t="shared" si="0"/>
        <v>100</v>
      </c>
      <c r="AL25" s="197">
        <f t="shared" si="0"/>
        <v>100</v>
      </c>
      <c r="AM25" s="197">
        <f t="shared" si="0"/>
        <v>100</v>
      </c>
      <c r="AN25" s="197">
        <f t="shared" si="0"/>
        <v>100</v>
      </c>
      <c r="AO25" s="197">
        <f t="shared" si="0"/>
        <v>100</v>
      </c>
      <c r="AP25" s="197">
        <f t="shared" si="0"/>
        <v>100</v>
      </c>
      <c r="AQ25" s="197">
        <f t="shared" si="0"/>
        <v>100</v>
      </c>
      <c r="AR25" s="197">
        <f t="shared" si="0"/>
        <v>100</v>
      </c>
      <c r="AS25" s="197">
        <f t="shared" si="0"/>
        <v>100</v>
      </c>
      <c r="AT25" s="197">
        <f t="shared" ref="AT25:BA25" si="1">AT6/AT6*100</f>
        <v>100</v>
      </c>
      <c r="AU25" s="197">
        <f t="shared" si="1"/>
        <v>100</v>
      </c>
      <c r="AV25" s="197">
        <f t="shared" si="1"/>
        <v>100</v>
      </c>
      <c r="AW25" s="197">
        <f t="shared" si="1"/>
        <v>100</v>
      </c>
      <c r="AX25" s="197">
        <f t="shared" si="1"/>
        <v>100</v>
      </c>
      <c r="AY25" s="197">
        <f t="shared" si="1"/>
        <v>100</v>
      </c>
      <c r="AZ25" s="197">
        <f t="shared" si="1"/>
        <v>100</v>
      </c>
      <c r="BA25" s="197">
        <f t="shared" si="1"/>
        <v>100</v>
      </c>
    </row>
    <row r="26" spans="1:53" ht="3.75" customHeight="1">
      <c r="A26" s="183"/>
      <c r="B26" s="198"/>
      <c r="C26" s="188"/>
      <c r="D26" s="188"/>
      <c r="E26" s="188"/>
      <c r="F26" s="188"/>
      <c r="G26" s="188"/>
      <c r="H26" s="188"/>
      <c r="I26" s="188"/>
      <c r="J26" s="188"/>
      <c r="K26" s="188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</row>
    <row r="27" spans="1:53">
      <c r="A27" s="187" t="s">
        <v>114</v>
      </c>
      <c r="B27" s="199"/>
      <c r="C27" s="188"/>
      <c r="D27" s="188"/>
      <c r="E27" s="188"/>
      <c r="F27" s="188"/>
      <c r="G27" s="188"/>
      <c r="H27" s="188"/>
      <c r="I27" s="188"/>
      <c r="J27" s="188"/>
      <c r="K27" s="188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</row>
    <row r="28" spans="1:53">
      <c r="A28" s="187" t="s">
        <v>115</v>
      </c>
      <c r="B28" s="181">
        <f>B9*100/$B$6</f>
        <v>2.6211066044233564</v>
      </c>
      <c r="C28" s="199">
        <f>C9*100/$C$6</f>
        <v>2.6211066044233564</v>
      </c>
      <c r="D28" s="181" t="s">
        <v>20</v>
      </c>
      <c r="E28" s="199">
        <f>SUM(E9*100/E6)</f>
        <v>1.3628881986578874</v>
      </c>
      <c r="F28" s="199">
        <f>ROUNDUP(F9*100/$F$6,1)</f>
        <v>2.6</v>
      </c>
      <c r="G28" s="199">
        <f>G9*100/$G$6</f>
        <v>2.6352937545433588</v>
      </c>
      <c r="H28" s="199">
        <f>H9*100/$H$6</f>
        <v>1.5025817555938037</v>
      </c>
      <c r="I28" s="199">
        <f>I9*100/$I$6</f>
        <v>1.7753926986889059</v>
      </c>
      <c r="J28" s="199">
        <f>J9*100/$J$6</f>
        <v>2.9887774490302514</v>
      </c>
      <c r="K28" s="199">
        <f>ROUNDUP(K9*100/$K$6,2)</f>
        <v>2.3499999999999996</v>
      </c>
      <c r="L28" s="199">
        <f t="shared" ref="L28:AJ29" si="2">L9*100/L$6</f>
        <v>2.9706114813637958</v>
      </c>
      <c r="M28" s="199">
        <f t="shared" si="2"/>
        <v>2.9663062068555841</v>
      </c>
      <c r="N28" s="199">
        <f t="shared" si="2"/>
        <v>3.0767982301226371</v>
      </c>
      <c r="O28" s="199">
        <f t="shared" si="2"/>
        <v>3.0277972520328125</v>
      </c>
      <c r="P28" s="199">
        <f t="shared" si="2"/>
        <v>7.7224981964083206</v>
      </c>
      <c r="Q28" s="199">
        <f t="shared" si="2"/>
        <v>3.0908161376477534</v>
      </c>
      <c r="R28" s="199">
        <f t="shared" si="2"/>
        <v>3.2279912382883245</v>
      </c>
      <c r="S28" s="199">
        <f t="shared" si="2"/>
        <v>3.7312298752129105</v>
      </c>
      <c r="T28" s="199">
        <f t="shared" si="2"/>
        <v>2.6236944510075748</v>
      </c>
      <c r="U28" s="199">
        <f t="shared" si="2"/>
        <v>3.0700193729490373</v>
      </c>
      <c r="V28" s="199">
        <f t="shared" si="2"/>
        <v>2.7129556997589011</v>
      </c>
      <c r="W28" s="199">
        <f t="shared" si="2"/>
        <v>2.0056852631857578</v>
      </c>
      <c r="X28" s="199">
        <f t="shared" si="2"/>
        <v>2.2776399513559547</v>
      </c>
      <c r="Y28" s="199">
        <f t="shared" si="2"/>
        <v>1.8320397331505873</v>
      </c>
      <c r="Z28" s="199">
        <f t="shared" si="2"/>
        <v>2.916701784638708</v>
      </c>
      <c r="AA28" s="199">
        <f t="shared" si="2"/>
        <v>2.8723461498706482</v>
      </c>
      <c r="AB28" s="199">
        <f t="shared" si="2"/>
        <v>2.130776033896352</v>
      </c>
      <c r="AC28" s="199">
        <f t="shared" si="2"/>
        <v>2.2577763553833381</v>
      </c>
      <c r="AD28" s="199">
        <f t="shared" si="2"/>
        <v>2.8957161304631169</v>
      </c>
      <c r="AE28" s="199">
        <f t="shared" si="2"/>
        <v>3.5890053391338737</v>
      </c>
      <c r="AF28" s="199">
        <f t="shared" si="2"/>
        <v>2.6745478331321908</v>
      </c>
      <c r="AG28" s="199">
        <f t="shared" si="2"/>
        <v>1.9544192737903896</v>
      </c>
      <c r="AH28" s="199">
        <f t="shared" si="2"/>
        <v>2.3629887136250178</v>
      </c>
      <c r="AI28" s="199">
        <f t="shared" si="2"/>
        <v>2.0397605203469085</v>
      </c>
      <c r="AJ28" s="199">
        <f t="shared" si="2"/>
        <v>2.1051522105906169</v>
      </c>
      <c r="AK28" s="199">
        <f>AK9*100/AK$6-0.02</f>
        <v>2.6360450200739303</v>
      </c>
      <c r="AL28" s="181">
        <f t="shared" ref="AL28:AS28" si="3">AL9*100/AL$6-0.02</f>
        <v>3.2618449674070282</v>
      </c>
      <c r="AM28" s="181">
        <f t="shared" si="3"/>
        <v>2.9731815950029672</v>
      </c>
      <c r="AN28" s="181">
        <f t="shared" si="3"/>
        <v>2.5995866513676371</v>
      </c>
      <c r="AO28" s="181">
        <f t="shared" si="3"/>
        <v>3.4232647572362787</v>
      </c>
      <c r="AP28" s="181">
        <f t="shared" si="3"/>
        <v>3.9527203272563431</v>
      </c>
      <c r="AQ28" s="181">
        <f t="shared" si="3"/>
        <v>3.0384320424901428</v>
      </c>
      <c r="AR28" s="181">
        <f t="shared" si="3"/>
        <v>3.9296411638190127</v>
      </c>
      <c r="AS28" s="181">
        <f t="shared" si="3"/>
        <v>4.7790252351019253</v>
      </c>
      <c r="AT28" s="181">
        <f t="shared" ref="AT28:BA28" si="4">AT9*100/AT$6-0.02</f>
        <v>3.7224159907616703</v>
      </c>
      <c r="AU28" s="181">
        <f t="shared" si="4"/>
        <v>3.2669929407434797</v>
      </c>
      <c r="AV28" s="181">
        <f t="shared" si="4"/>
        <v>3.4646500858000686</v>
      </c>
      <c r="AW28" s="181">
        <f t="shared" si="4"/>
        <v>1.5957578227635156</v>
      </c>
      <c r="AX28" s="181">
        <f t="shared" si="4"/>
        <v>5.1260030478284024</v>
      </c>
      <c r="AY28" s="181">
        <f t="shared" si="4"/>
        <v>3.347666890041614</v>
      </c>
      <c r="AZ28" s="181">
        <f t="shared" si="4"/>
        <v>2.4785096512387024</v>
      </c>
      <c r="BA28" s="181">
        <f t="shared" si="4"/>
        <v>3.5274220094512172</v>
      </c>
    </row>
    <row r="29" spans="1:53">
      <c r="A29" s="187" t="s">
        <v>116</v>
      </c>
      <c r="B29" s="181">
        <f>B10*100/$B$6</f>
        <v>2.8043654134187541</v>
      </c>
      <c r="C29" s="199">
        <f>C10*100/$C$6</f>
        <v>2.8043654134187541</v>
      </c>
      <c r="D29" s="181" t="s">
        <v>20</v>
      </c>
      <c r="E29" s="199">
        <f>SUM(E10*100/E6)</f>
        <v>3.0606935170671372</v>
      </c>
      <c r="F29" s="199">
        <f>F10*100/$F$6</f>
        <v>4.7963457774189591</v>
      </c>
      <c r="G29" s="199">
        <f>G10*100/$G$6</f>
        <v>4.6118128360767168</v>
      </c>
      <c r="H29" s="199">
        <f>H10*100/$H$6</f>
        <v>4.9261809141327211</v>
      </c>
      <c r="I29" s="199">
        <f>I10*100/$I$6</f>
        <v>3.8925041952378177</v>
      </c>
      <c r="J29" s="199">
        <f>J10*100/$J$6</f>
        <v>5.9820903450315503</v>
      </c>
      <c r="K29" s="199">
        <f>K10*100/$K$6</f>
        <v>4.1428349240099429</v>
      </c>
      <c r="L29" s="199">
        <f t="shared" si="2"/>
        <v>4.4695143629715002</v>
      </c>
      <c r="M29" s="199">
        <f t="shared" si="2"/>
        <v>5.8201801391511827</v>
      </c>
      <c r="N29" s="199">
        <f t="shared" si="2"/>
        <v>4.2554748264079434</v>
      </c>
      <c r="O29" s="199">
        <f t="shared" si="2"/>
        <v>3.8096303353633165</v>
      </c>
      <c r="P29" s="199">
        <f t="shared" si="2"/>
        <v>4.328932611313177</v>
      </c>
      <c r="Q29" s="199">
        <f t="shared" si="2"/>
        <v>4.0004759848037441</v>
      </c>
      <c r="R29" s="199">
        <f t="shared" si="2"/>
        <v>3.781155799002303</v>
      </c>
      <c r="S29" s="199">
        <f t="shared" si="2"/>
        <v>3.524050649144757</v>
      </c>
      <c r="T29" s="199">
        <f t="shared" si="2"/>
        <v>3.5487874655910092</v>
      </c>
      <c r="U29" s="199">
        <f t="shared" si="2"/>
        <v>3.460019994238948</v>
      </c>
      <c r="V29" s="199">
        <f t="shared" si="2"/>
        <v>3.3983971593567328</v>
      </c>
      <c r="W29" s="199">
        <f t="shared" si="2"/>
        <v>2.6954114094841897</v>
      </c>
      <c r="X29" s="199">
        <f t="shared" si="2"/>
        <v>2.7944862274625133</v>
      </c>
      <c r="Y29" s="199">
        <f t="shared" si="2"/>
        <v>4.3475279030344831</v>
      </c>
      <c r="Z29" s="199">
        <f t="shared" si="2"/>
        <v>4.5257035044364251</v>
      </c>
      <c r="AA29" s="199">
        <f t="shared" si="2"/>
        <v>3.0985460067172688</v>
      </c>
      <c r="AB29" s="199">
        <f t="shared" si="2"/>
        <v>3.3248081380828598</v>
      </c>
      <c r="AC29" s="199">
        <f t="shared" si="2"/>
        <v>4.220832241560613</v>
      </c>
      <c r="AD29" s="199">
        <f t="shared" si="2"/>
        <v>4.7329803553190581</v>
      </c>
      <c r="AE29" s="199">
        <f t="shared" si="2"/>
        <v>4.2002768439786431</v>
      </c>
      <c r="AF29" s="199">
        <f t="shared" si="2"/>
        <v>3.6780082694953462</v>
      </c>
      <c r="AG29" s="199">
        <f t="shared" si="2"/>
        <v>3.5347702833842907</v>
      </c>
      <c r="AH29" s="199">
        <f t="shared" si="2"/>
        <v>3.6917300652400034</v>
      </c>
      <c r="AI29" s="199">
        <f t="shared" si="2"/>
        <v>4.3318864172180094</v>
      </c>
      <c r="AJ29" s="199">
        <f t="shared" si="2"/>
        <v>4.6355200871511322</v>
      </c>
      <c r="AK29" s="199">
        <f>AK10*100/AK$6</f>
        <v>2.9272865319009629</v>
      </c>
      <c r="AL29" s="181">
        <f t="shared" ref="AL29:AS29" si="5">AL10*100/AL$6</f>
        <v>4.4039991521351585</v>
      </c>
      <c r="AM29" s="181">
        <f t="shared" si="5"/>
        <v>4.2742903009576505</v>
      </c>
      <c r="AN29" s="181">
        <f t="shared" si="5"/>
        <v>4.8208261475989911</v>
      </c>
      <c r="AO29" s="181">
        <f t="shared" si="5"/>
        <v>4.328127489641008</v>
      </c>
      <c r="AP29" s="181">
        <f t="shared" si="5"/>
        <v>4.4939868249759138</v>
      </c>
      <c r="AQ29" s="181">
        <f t="shared" si="5"/>
        <v>3.6404044983847594</v>
      </c>
      <c r="AR29" s="181">
        <f t="shared" si="5"/>
        <v>4.279740977129574</v>
      </c>
      <c r="AS29" s="181">
        <f t="shared" si="5"/>
        <v>4.5817512078818234</v>
      </c>
      <c r="AT29" s="181">
        <f t="shared" ref="AT29:BA29" si="6">AT10*100/AT$6</f>
        <v>4.4720837423977766</v>
      </c>
      <c r="AU29" s="181">
        <f t="shared" si="6"/>
        <v>4.2637534525267977</v>
      </c>
      <c r="AV29" s="181">
        <f t="shared" si="6"/>
        <v>4.1498487679491278</v>
      </c>
      <c r="AW29" s="181">
        <f t="shared" si="6"/>
        <v>2.8843960960973982</v>
      </c>
      <c r="AX29" s="181">
        <f t="shared" si="6"/>
        <v>5.0260630911894273</v>
      </c>
      <c r="AY29" s="181">
        <f t="shared" si="6"/>
        <v>5.6981294416453636</v>
      </c>
      <c r="AZ29" s="181">
        <f t="shared" si="6"/>
        <v>5.6886041279313799</v>
      </c>
      <c r="BA29" s="181">
        <f t="shared" si="6"/>
        <v>5.7008280747968403</v>
      </c>
    </row>
    <row r="30" spans="1:53">
      <c r="A30" s="187" t="s">
        <v>117</v>
      </c>
      <c r="B30" s="199"/>
      <c r="C30" s="199"/>
      <c r="D30" s="181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</row>
    <row r="31" spans="1:53">
      <c r="A31" s="187" t="s">
        <v>119</v>
      </c>
      <c r="B31" s="181">
        <f>B12*100/$B$6</f>
        <v>2.1128059779816111</v>
      </c>
      <c r="C31" s="199">
        <f>C12*100/$C$6</f>
        <v>2.1128743071423104</v>
      </c>
      <c r="D31" s="181" t="s">
        <v>20</v>
      </c>
      <c r="E31" s="199">
        <f>SUM(E12*100/E6)</f>
        <v>2.3408178872885221</v>
      </c>
      <c r="F31" s="199">
        <f>F12*100/$F$6</f>
        <v>3.0123316856465689</v>
      </c>
      <c r="G31" s="199">
        <f>G12*100/$G$6</f>
        <v>2.8701030723582561</v>
      </c>
      <c r="H31" s="199">
        <f>H12*100/$H$6</f>
        <v>2.2857780327659847</v>
      </c>
      <c r="I31" s="199">
        <f>I12*100/$I$6</f>
        <v>2.6122266048546372</v>
      </c>
      <c r="J31" s="199">
        <f>ROUNDUP(J12*100/$J$6,2)</f>
        <v>2.3499999999999996</v>
      </c>
      <c r="K31" s="199">
        <f>K12*100/$K$6</f>
        <v>2.1972342396668822</v>
      </c>
      <c r="L31" s="199">
        <f t="shared" ref="L31:AS33" si="7">L12*100/L$6</f>
        <v>1.5315201761991357</v>
      </c>
      <c r="M31" s="199">
        <f t="shared" si="7"/>
        <v>2.0743352449501389</v>
      </c>
      <c r="N31" s="199">
        <f t="shared" si="7"/>
        <v>3.388030046940862</v>
      </c>
      <c r="O31" s="199">
        <f t="shared" si="7"/>
        <v>2.3568841990888045</v>
      </c>
      <c r="P31" s="199">
        <f t="shared" si="7"/>
        <v>4.9921667231396123</v>
      </c>
      <c r="Q31" s="199">
        <f t="shared" si="7"/>
        <v>2.9398987336033939</v>
      </c>
      <c r="R31" s="199">
        <f t="shared" si="7"/>
        <v>3.63584358151267</v>
      </c>
      <c r="S31" s="199">
        <f t="shared" si="7"/>
        <v>3.4435405872011744</v>
      </c>
      <c r="T31" s="199">
        <f t="shared" si="7"/>
        <v>3.8165869127698278</v>
      </c>
      <c r="U31" s="199">
        <f t="shared" si="7"/>
        <v>3.3006026512134921</v>
      </c>
      <c r="V31" s="199">
        <f t="shared" si="7"/>
        <v>2.9971064804112051</v>
      </c>
      <c r="W31" s="199">
        <f t="shared" si="7"/>
        <v>3.2670173454957614</v>
      </c>
      <c r="X31" s="199">
        <f t="shared" si="7"/>
        <v>2.9034969037545428</v>
      </c>
      <c r="Y31" s="199">
        <f t="shared" si="7"/>
        <v>2.3419859550842554</v>
      </c>
      <c r="Z31" s="199">
        <f t="shared" si="7"/>
        <v>2.883403307601331</v>
      </c>
      <c r="AA31" s="199">
        <f t="shared" si="7"/>
        <v>3.1592750703872059</v>
      </c>
      <c r="AB31" s="199">
        <f t="shared" si="7"/>
        <v>2.4535651305171609</v>
      </c>
      <c r="AC31" s="199">
        <f t="shared" si="7"/>
        <v>3.3588154898450351</v>
      </c>
      <c r="AD31" s="199">
        <f t="shared" si="7"/>
        <v>2.8790823964469703</v>
      </c>
      <c r="AE31" s="199">
        <f t="shared" si="7"/>
        <v>2.7254894206051019</v>
      </c>
      <c r="AF31" s="199">
        <f t="shared" si="7"/>
        <v>3.052544129561793</v>
      </c>
      <c r="AG31" s="199">
        <f t="shared" si="7"/>
        <v>2.2870787157957593</v>
      </c>
      <c r="AH31" s="199">
        <f t="shared" si="7"/>
        <v>3.1162495005491935</v>
      </c>
      <c r="AI31" s="199">
        <f t="shared" si="7"/>
        <v>2.1867407981643834</v>
      </c>
      <c r="AJ31" s="199">
        <f t="shared" si="7"/>
        <v>2.6033015569186597</v>
      </c>
      <c r="AK31" s="199">
        <f t="shared" si="7"/>
        <v>2.7938825776019116</v>
      </c>
      <c r="AL31" s="181">
        <f t="shared" si="7"/>
        <v>3.1503583580134626</v>
      </c>
      <c r="AM31" s="181">
        <f t="shared" si="7"/>
        <v>2.6167817299194343</v>
      </c>
      <c r="AN31" s="181">
        <f t="shared" si="7"/>
        <v>3.2578859855850162</v>
      </c>
      <c r="AO31" s="181">
        <f t="shared" si="7"/>
        <v>2.0144871558507971</v>
      </c>
      <c r="AP31" s="181">
        <f t="shared" si="7"/>
        <v>3.0963443671340314</v>
      </c>
      <c r="AQ31" s="181">
        <f t="shared" si="7"/>
        <v>2.756596578442406</v>
      </c>
      <c r="AR31" s="181">
        <f t="shared" si="7"/>
        <v>3.0777774416799102</v>
      </c>
      <c r="AS31" s="181">
        <f t="shared" si="7"/>
        <v>2.4817324338623945</v>
      </c>
      <c r="AT31" s="181">
        <f t="shared" ref="AT31:AW33" si="8">AT12*100/AT$6</f>
        <v>3.9318454619802301</v>
      </c>
      <c r="AU31" s="181">
        <f t="shared" si="8"/>
        <v>2.7798271904908765</v>
      </c>
      <c r="AV31" s="181">
        <f t="shared" si="8"/>
        <v>2.4464732241053326</v>
      </c>
      <c r="AW31" s="181">
        <f t="shared" si="8"/>
        <v>3.1738502694664001</v>
      </c>
      <c r="AX31" s="181">
        <f t="shared" ref="AX31:BA31" si="9">AX12*100/AX$6</f>
        <v>3.3372008737434231</v>
      </c>
      <c r="AY31" s="181">
        <f t="shared" si="9"/>
        <v>4.0971101900341678</v>
      </c>
      <c r="AZ31" s="181">
        <f t="shared" si="9"/>
        <v>3.0316489439195737</v>
      </c>
      <c r="BA31" s="181">
        <f t="shared" si="9"/>
        <v>3.8628055760637765</v>
      </c>
    </row>
    <row r="32" spans="1:53">
      <c r="A32" s="187" t="s">
        <v>120</v>
      </c>
      <c r="B32" s="181">
        <f>B13*100/$B$6</f>
        <v>3.7304988575364333</v>
      </c>
      <c r="C32" s="199">
        <f>C13*100/$C$6</f>
        <v>3.7304988575364333</v>
      </c>
      <c r="D32" s="181" t="s">
        <v>20</v>
      </c>
      <c r="E32" s="199">
        <f>SUM(E13*100/E6)</f>
        <v>3.7365738885569235</v>
      </c>
      <c r="F32" s="199">
        <f>F13*100/$F$6</f>
        <v>2.8005458900035802</v>
      </c>
      <c r="G32" s="199">
        <f>G13*100/$G$6</f>
        <v>2.3100819539462889</v>
      </c>
      <c r="H32" s="199">
        <f>H13*100/$H$6</f>
        <v>3.0490214827564226</v>
      </c>
      <c r="I32" s="199">
        <f>I13*100/$I$6</f>
        <v>2.5671184807820837</v>
      </c>
      <c r="J32" s="199">
        <f>J13*100/$J$6</f>
        <v>3.084382146963478</v>
      </c>
      <c r="K32" s="199">
        <f>K13*100/$K$6</f>
        <v>2.9042637727592826</v>
      </c>
      <c r="L32" s="199">
        <f t="shared" si="7"/>
        <v>3.3553646916497977</v>
      </c>
      <c r="M32" s="199">
        <f t="shared" si="7"/>
        <v>3.0874013974521128</v>
      </c>
      <c r="N32" s="199">
        <f t="shared" si="7"/>
        <v>3.2300527943349024</v>
      </c>
      <c r="O32" s="199">
        <f t="shared" si="7"/>
        <v>3.3403840123356923</v>
      </c>
      <c r="P32" s="199">
        <f t="shared" si="7"/>
        <v>2.3159742583393452</v>
      </c>
      <c r="Q32" s="199">
        <f t="shared" si="7"/>
        <v>2.9939821921240886</v>
      </c>
      <c r="R32" s="199">
        <f t="shared" si="7"/>
        <v>3.4653369968907186</v>
      </c>
      <c r="S32" s="199">
        <f t="shared" si="7"/>
        <v>2.2421873340039067</v>
      </c>
      <c r="T32" s="199">
        <f t="shared" si="7"/>
        <v>2.0607676300709672</v>
      </c>
      <c r="U32" s="199">
        <f t="shared" si="7"/>
        <v>2.9224630191300811</v>
      </c>
      <c r="V32" s="199">
        <f t="shared" si="7"/>
        <v>3.4327284583960198</v>
      </c>
      <c r="W32" s="199">
        <f t="shared" si="7"/>
        <v>3.1887399598369361</v>
      </c>
      <c r="X32" s="199">
        <f t="shared" si="7"/>
        <v>2.3087154890589323</v>
      </c>
      <c r="Y32" s="199">
        <f t="shared" si="7"/>
        <v>1.9486433185147543</v>
      </c>
      <c r="Z32" s="199">
        <f t="shared" si="7"/>
        <v>2.1889602843661349</v>
      </c>
      <c r="AA32" s="199">
        <f t="shared" si="7"/>
        <v>2.6692138916029418</v>
      </c>
      <c r="AB32" s="199">
        <f t="shared" si="7"/>
        <v>3.2009658609535969</v>
      </c>
      <c r="AC32" s="199">
        <f t="shared" si="7"/>
        <v>2.3148924601525831</v>
      </c>
      <c r="AD32" s="199">
        <f t="shared" si="7"/>
        <v>2.8011368795597122</v>
      </c>
      <c r="AE32" s="199">
        <f t="shared" si="7"/>
        <v>2.5059125964010285</v>
      </c>
      <c r="AF32" s="199">
        <f t="shared" si="7"/>
        <v>2.4261985369354386</v>
      </c>
      <c r="AG32" s="199">
        <f t="shared" si="7"/>
        <v>2.4133628443950599</v>
      </c>
      <c r="AH32" s="199">
        <f t="shared" si="7"/>
        <v>3.5867442925107453</v>
      </c>
      <c r="AI32" s="199">
        <f t="shared" si="7"/>
        <v>2.8137022982733608</v>
      </c>
      <c r="AJ32" s="199">
        <f t="shared" si="7"/>
        <v>2.0884574757407037</v>
      </c>
      <c r="AK32" s="199">
        <f t="shared" si="7"/>
        <v>2.9920488076378318</v>
      </c>
      <c r="AL32" s="181">
        <f t="shared" si="7"/>
        <v>4.0106371569166432</v>
      </c>
      <c r="AM32" s="181">
        <f t="shared" si="7"/>
        <v>3.8912300026897904</v>
      </c>
      <c r="AN32" s="181">
        <f t="shared" si="7"/>
        <v>3.4470912376411094</v>
      </c>
      <c r="AO32" s="181">
        <f t="shared" si="7"/>
        <v>3.3715213849474064</v>
      </c>
      <c r="AP32" s="181">
        <f t="shared" si="7"/>
        <v>3.6002471875294959</v>
      </c>
      <c r="AQ32" s="181">
        <f t="shared" si="7"/>
        <v>2.6791945656662159</v>
      </c>
      <c r="AR32" s="181">
        <f t="shared" si="7"/>
        <v>1.8502963219776205</v>
      </c>
      <c r="AS32" s="181">
        <f t="shared" si="7"/>
        <v>2.2910240151616903</v>
      </c>
      <c r="AT32" s="181">
        <f t="shared" si="8"/>
        <v>3.9719170808918487</v>
      </c>
      <c r="AU32" s="181">
        <f t="shared" si="8"/>
        <v>2.8899843070836222</v>
      </c>
      <c r="AV32" s="181">
        <f t="shared" si="8"/>
        <v>3.0082830219093908</v>
      </c>
      <c r="AW32" s="181">
        <f t="shared" si="8"/>
        <v>3.5176746545497113</v>
      </c>
      <c r="AX32" s="181">
        <f t="shared" ref="AX32:BA32" si="10">AX13*100/AX$6</f>
        <v>3.489999975539098</v>
      </c>
      <c r="AY32" s="181">
        <f t="shared" si="10"/>
        <v>4.1472454559744527</v>
      </c>
      <c r="AZ32" s="181">
        <f t="shared" si="10"/>
        <v>3.8359253982991519</v>
      </c>
      <c r="BA32" s="181">
        <f t="shared" si="10"/>
        <v>3.7461016516049148</v>
      </c>
    </row>
    <row r="33" spans="1:53">
      <c r="A33" s="187" t="s">
        <v>121</v>
      </c>
      <c r="B33" s="181">
        <f>ROUNDUP(B14*100/$B$6,1)</f>
        <v>23</v>
      </c>
      <c r="C33" s="199">
        <f>ROUNDUP(C14*100/$C$6,2)</f>
        <v>22.950000000000003</v>
      </c>
      <c r="D33" s="181" t="s">
        <v>20</v>
      </c>
      <c r="E33" s="199">
        <f>SUM(E14*100/E6)</f>
        <v>17.691432438012676</v>
      </c>
      <c r="F33" s="199">
        <f>F14*100/$F$6</f>
        <v>21.221106915922277</v>
      </c>
      <c r="G33" s="199">
        <f>G14*100/$G$6</f>
        <v>20.089940590752054</v>
      </c>
      <c r="H33" s="199">
        <f>H14*100/$H$6</f>
        <v>17.355453560272839</v>
      </c>
      <c r="I33" s="199">
        <f>ROUNDDOWN(I14*100/$I$6,1)</f>
        <v>17.5</v>
      </c>
      <c r="J33" s="199">
        <f>J14*100/$J$6</f>
        <v>21.734622542956043</v>
      </c>
      <c r="K33" s="199">
        <f>K14*100/$K$6</f>
        <v>19.162695325423243</v>
      </c>
      <c r="L33" s="199">
        <f t="shared" si="7"/>
        <v>18.73477744449114</v>
      </c>
      <c r="M33" s="199">
        <f t="shared" si="7"/>
        <v>23.599082720947674</v>
      </c>
      <c r="N33" s="199">
        <f t="shared" si="7"/>
        <v>17.944419944112635</v>
      </c>
      <c r="O33" s="199">
        <f t="shared" si="7"/>
        <v>21.82022033538329</v>
      </c>
      <c r="P33" s="199">
        <f t="shared" si="7"/>
        <v>15.214874348737736</v>
      </c>
      <c r="Q33" s="199">
        <f t="shared" si="7"/>
        <v>16.124740758276531</v>
      </c>
      <c r="R33" s="199">
        <f t="shared" si="7"/>
        <v>19.158315474973101</v>
      </c>
      <c r="S33" s="199">
        <f t="shared" si="7"/>
        <v>18.120775355264602</v>
      </c>
      <c r="T33" s="199">
        <f t="shared" si="7"/>
        <v>16.845247075769525</v>
      </c>
      <c r="U33" s="199">
        <f t="shared" si="7"/>
        <v>18.715723153215741</v>
      </c>
      <c r="V33" s="199">
        <f t="shared" si="7"/>
        <v>19.120267269078624</v>
      </c>
      <c r="W33" s="199">
        <f t="shared" si="7"/>
        <v>17.677881048979962</v>
      </c>
      <c r="X33" s="199">
        <f t="shared" si="7"/>
        <v>17.514300258773734</v>
      </c>
      <c r="Y33" s="199">
        <f t="shared" si="7"/>
        <v>16.72396453802077</v>
      </c>
      <c r="Z33" s="199">
        <f t="shared" si="7"/>
        <v>19.516758478519947</v>
      </c>
      <c r="AA33" s="199">
        <f t="shared" si="7"/>
        <v>19.06762780567864</v>
      </c>
      <c r="AB33" s="199">
        <f t="shared" si="7"/>
        <v>20.449718369597342</v>
      </c>
      <c r="AC33" s="199">
        <f t="shared" si="7"/>
        <v>18.652863749942654</v>
      </c>
      <c r="AD33" s="199">
        <f t="shared" si="7"/>
        <v>21.229224908172949</v>
      </c>
      <c r="AE33" s="199">
        <f t="shared" si="7"/>
        <v>20.278742337354164</v>
      </c>
      <c r="AF33" s="199">
        <f t="shared" si="7"/>
        <v>19.447490761273965</v>
      </c>
      <c r="AG33" s="199">
        <f t="shared" si="7"/>
        <v>20.002650397245468</v>
      </c>
      <c r="AH33" s="199">
        <f t="shared" si="7"/>
        <v>17.14285021005243</v>
      </c>
      <c r="AI33" s="199">
        <f t="shared" si="7"/>
        <v>17.902932340371514</v>
      </c>
      <c r="AJ33" s="199">
        <f t="shared" si="7"/>
        <v>17.195961566720083</v>
      </c>
      <c r="AK33" s="199">
        <f t="shared" si="7"/>
        <v>19.050084673904525</v>
      </c>
      <c r="AL33" s="181">
        <f t="shared" si="7"/>
        <v>20.062306243038261</v>
      </c>
      <c r="AM33" s="181">
        <f t="shared" si="7"/>
        <v>20.971313172714424</v>
      </c>
      <c r="AN33" s="181">
        <f t="shared" si="7"/>
        <v>19.938523323004198</v>
      </c>
      <c r="AO33" s="181">
        <f t="shared" si="7"/>
        <v>18.361798489551745</v>
      </c>
      <c r="AP33" s="181">
        <f t="shared" si="7"/>
        <v>20.543011164399296</v>
      </c>
      <c r="AQ33" s="181">
        <f t="shared" si="7"/>
        <v>16.64216142691744</v>
      </c>
      <c r="AR33" s="181">
        <f t="shared" si="7"/>
        <v>17.152858085777865</v>
      </c>
      <c r="AS33" s="181">
        <f t="shared" si="7"/>
        <v>16.71844981511672</v>
      </c>
      <c r="AT33" s="181">
        <f t="shared" si="8"/>
        <v>19.532090991717926</v>
      </c>
      <c r="AU33" s="181">
        <f t="shared" si="8"/>
        <v>20.549797321128867</v>
      </c>
      <c r="AV33" s="181">
        <f t="shared" si="8"/>
        <v>19.135122601588314</v>
      </c>
      <c r="AW33" s="181">
        <f t="shared" si="8"/>
        <v>18.379819719824315</v>
      </c>
      <c r="AX33" s="181">
        <f t="shared" ref="AX33:BA33" si="11">AX14*100/AX$6</f>
        <v>16.497329277172188</v>
      </c>
      <c r="AY33" s="181">
        <f t="shared" si="11"/>
        <v>18.91414956193691</v>
      </c>
      <c r="AZ33" s="181">
        <f t="shared" si="11"/>
        <v>17.744009664232497</v>
      </c>
      <c r="BA33" s="181">
        <f t="shared" si="11"/>
        <v>18.86856359849391</v>
      </c>
    </row>
    <row r="34" spans="1:53">
      <c r="A34" s="187" t="s">
        <v>122</v>
      </c>
      <c r="B34" s="199"/>
      <c r="C34" s="199"/>
      <c r="D34" s="181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</row>
    <row r="35" spans="1:53">
      <c r="A35" s="192" t="s">
        <v>123</v>
      </c>
      <c r="B35" s="181">
        <f>B16*100/$B$6</f>
        <v>21.624881107260382</v>
      </c>
      <c r="C35" s="199">
        <f>C16*100/$C$6</f>
        <v>21.624881107260382</v>
      </c>
      <c r="D35" s="181" t="s">
        <v>20</v>
      </c>
      <c r="E35" s="199">
        <f>SUM(E16*100/E6)</f>
        <v>37.308107670032989</v>
      </c>
      <c r="F35" s="199">
        <f>F16*100/$F$6</f>
        <v>25.1284530970118</v>
      </c>
      <c r="G35" s="199">
        <f>G16*100/$G$6</f>
        <v>29.497826431174254</v>
      </c>
      <c r="H35" s="199">
        <f>H16*100/$H$6</f>
        <v>36.252310830624083</v>
      </c>
      <c r="I35" s="199">
        <f>I16*100/$I$6</f>
        <v>35.415756680591286</v>
      </c>
      <c r="J35" s="199">
        <f>J16*100/$J$6</f>
        <v>25.218672972593627</v>
      </c>
      <c r="K35" s="199">
        <f>K16*100/$K$6</f>
        <v>31.829724102064599</v>
      </c>
      <c r="L35" s="199">
        <f t="shared" ref="L35:AS35" si="12">L16*100/L$6</f>
        <v>33.530469681120302</v>
      </c>
      <c r="M35" s="199">
        <f t="shared" si="12"/>
        <v>30.044416008078787</v>
      </c>
      <c r="N35" s="199">
        <f t="shared" si="12"/>
        <v>25.369018232903038</v>
      </c>
      <c r="O35" s="199">
        <f t="shared" si="12"/>
        <v>25.697361421534065</v>
      </c>
      <c r="P35" s="199">
        <f t="shared" si="12"/>
        <v>36.927054875449024</v>
      </c>
      <c r="Q35" s="199">
        <f t="shared" si="12"/>
        <v>37.146584431267414</v>
      </c>
      <c r="R35" s="199">
        <f t="shared" si="12"/>
        <v>28.174490258672048</v>
      </c>
      <c r="S35" s="199">
        <f t="shared" si="12"/>
        <v>34.224863114466835</v>
      </c>
      <c r="T35" s="199">
        <f t="shared" si="12"/>
        <v>35.609640495432537</v>
      </c>
      <c r="U35" s="199">
        <f t="shared" si="12"/>
        <v>35.649050273649962</v>
      </c>
      <c r="V35" s="199">
        <f t="shared" si="12"/>
        <v>30.253244318400824</v>
      </c>
      <c r="W35" s="199">
        <f t="shared" si="12"/>
        <v>32.38115347794556</v>
      </c>
      <c r="X35" s="199">
        <f t="shared" si="12"/>
        <v>39.263396234148694</v>
      </c>
      <c r="Y35" s="199">
        <f t="shared" si="12"/>
        <v>36.539274722763189</v>
      </c>
      <c r="Z35" s="199">
        <f t="shared" si="12"/>
        <v>27.330235296791844</v>
      </c>
      <c r="AA35" s="199">
        <f t="shared" si="12"/>
        <v>27.950574387498076</v>
      </c>
      <c r="AB35" s="199">
        <f t="shared" si="12"/>
        <v>33.417110499548386</v>
      </c>
      <c r="AC35" s="199">
        <f t="shared" si="12"/>
        <v>33.296602730742869</v>
      </c>
      <c r="AD35" s="199">
        <f t="shared" si="12"/>
        <v>22.126000133391297</v>
      </c>
      <c r="AE35" s="199">
        <f t="shared" si="12"/>
        <v>30.617362072374927</v>
      </c>
      <c r="AF35" s="199">
        <f t="shared" si="12"/>
        <v>35.019307486691901</v>
      </c>
      <c r="AG35" s="199">
        <f t="shared" si="12"/>
        <v>33.021420644297372</v>
      </c>
      <c r="AH35" s="199">
        <f t="shared" si="12"/>
        <v>29.02161024557612</v>
      </c>
      <c r="AI35" s="199">
        <f t="shared" si="12"/>
        <v>30.892444127934315</v>
      </c>
      <c r="AJ35" s="199">
        <f t="shared" si="12"/>
        <v>35.341138057763786</v>
      </c>
      <c r="AK35" s="199">
        <f t="shared" si="12"/>
        <v>31.270361916615006</v>
      </c>
      <c r="AL35" s="181">
        <f t="shared" si="12"/>
        <v>25.847041466839954</v>
      </c>
      <c r="AM35" s="181">
        <f t="shared" si="12"/>
        <v>26.202485707820458</v>
      </c>
      <c r="AN35" s="181">
        <f t="shared" si="12"/>
        <v>31.780556261723341</v>
      </c>
      <c r="AO35" s="181">
        <f t="shared" si="12"/>
        <v>33.639549618467079</v>
      </c>
      <c r="AP35" s="181">
        <f t="shared" si="12"/>
        <v>24.60388554576264</v>
      </c>
      <c r="AQ35" s="181">
        <f t="shared" si="12"/>
        <v>37.032895855429878</v>
      </c>
      <c r="AR35" s="181">
        <f t="shared" si="12"/>
        <v>39.255041661916053</v>
      </c>
      <c r="AS35" s="181">
        <f t="shared" si="12"/>
        <v>40.709346270834153</v>
      </c>
      <c r="AT35" s="181">
        <f t="shared" ref="AT35:BA35" si="13">AT16*100/AT$6</f>
        <v>25.375625891365843</v>
      </c>
      <c r="AU35" s="181">
        <f t="shared" si="13"/>
        <v>29.554396146460405</v>
      </c>
      <c r="AV35" s="181">
        <f t="shared" si="13"/>
        <v>36.921107610994163</v>
      </c>
      <c r="AW35" s="181">
        <f t="shared" si="13"/>
        <v>36.572942364974139</v>
      </c>
      <c r="AX35" s="181">
        <f t="shared" si="13"/>
        <v>27.026198441514392</v>
      </c>
      <c r="AY35" s="181">
        <f t="shared" si="13"/>
        <v>28.536894095455562</v>
      </c>
      <c r="AZ35" s="181">
        <f t="shared" si="13"/>
        <v>38.069689259330133</v>
      </c>
      <c r="BA35" s="181">
        <f t="shared" si="13"/>
        <v>32.434944636378525</v>
      </c>
    </row>
    <row r="36" spans="1:53">
      <c r="A36" s="187" t="s">
        <v>124</v>
      </c>
      <c r="B36" s="199"/>
      <c r="C36" s="199"/>
      <c r="D36" s="181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</row>
    <row r="37" spans="1:53">
      <c r="A37" s="187" t="s">
        <v>126</v>
      </c>
      <c r="B37" s="181">
        <f>B18*100/$B$6</f>
        <v>12.634130142452634</v>
      </c>
      <c r="C37" s="199">
        <f>C18*100/$C$6</f>
        <v>12.634130142452634</v>
      </c>
      <c r="D37" s="181" t="s">
        <v>20</v>
      </c>
      <c r="E37" s="199">
        <f>SUM(E18*100/E6)</f>
        <v>13.464414332420196</v>
      </c>
      <c r="F37" s="199">
        <f>F18*100/$F$6</f>
        <v>17.787296078856318</v>
      </c>
      <c r="G37" s="199">
        <f>G18*100/$G$6</f>
        <v>16.162364408924933</v>
      </c>
      <c r="H37" s="199">
        <f>H18*100/$H$6</f>
        <v>15.467138394849238</v>
      </c>
      <c r="I37" s="199">
        <f>I18*100/$I$6</f>
        <v>12.137899455856202</v>
      </c>
      <c r="J37" s="199">
        <f>J18*100/$J$6</f>
        <v>11.528714675431399</v>
      </c>
      <c r="K37" s="199">
        <f>K18*100/$K$6</f>
        <v>12.350398057335152</v>
      </c>
      <c r="L37" s="199">
        <f t="shared" ref="L37:AS37" si="14">L18*100/L$6</f>
        <v>11.84336205931168</v>
      </c>
      <c r="M37" s="199">
        <f t="shared" si="14"/>
        <v>9.5297026639704363</v>
      </c>
      <c r="N37" s="199">
        <f t="shared" si="14"/>
        <v>14.802767894499132</v>
      </c>
      <c r="O37" s="199">
        <f t="shared" si="14"/>
        <v>14.574599046726894</v>
      </c>
      <c r="P37" s="199">
        <f t="shared" si="14"/>
        <v>10.071230931003397</v>
      </c>
      <c r="Q37" s="199">
        <f t="shared" si="14"/>
        <v>9.9940438938579064</v>
      </c>
      <c r="R37" s="199">
        <f t="shared" si="14"/>
        <v>13.934115247927393</v>
      </c>
      <c r="S37" s="199">
        <f t="shared" si="14"/>
        <v>11.552585590658348</v>
      </c>
      <c r="T37" s="199">
        <f t="shared" si="14"/>
        <v>11.045250491760346</v>
      </c>
      <c r="U37" s="199">
        <f t="shared" si="14"/>
        <v>12.398263777103772</v>
      </c>
      <c r="V37" s="199">
        <f t="shared" si="14"/>
        <v>14.967151040424994</v>
      </c>
      <c r="W37" s="199">
        <f t="shared" si="14"/>
        <v>16.050401892998597</v>
      </c>
      <c r="X37" s="199">
        <f t="shared" si="14"/>
        <v>11.925252415093414</v>
      </c>
      <c r="Y37" s="199">
        <f t="shared" si="14"/>
        <v>13.60295673983669</v>
      </c>
      <c r="Z37" s="199">
        <f t="shared" si="14"/>
        <v>14.935997544775317</v>
      </c>
      <c r="AA37" s="199">
        <f t="shared" si="14"/>
        <v>15.280329362529216</v>
      </c>
      <c r="AB37" s="199">
        <f t="shared" si="14"/>
        <v>12.626771276239785</v>
      </c>
      <c r="AC37" s="199">
        <f t="shared" si="14"/>
        <v>12.37714125896942</v>
      </c>
      <c r="AD37" s="199">
        <f t="shared" si="14"/>
        <v>11.267145000357585</v>
      </c>
      <c r="AE37" s="199">
        <f t="shared" si="14"/>
        <v>11.035000988728495</v>
      </c>
      <c r="AF37" s="199">
        <f t="shared" si="14"/>
        <v>11.428842160469932</v>
      </c>
      <c r="AG37" s="199">
        <f t="shared" si="14"/>
        <v>13.700203019847439</v>
      </c>
      <c r="AH37" s="199">
        <f t="shared" si="14"/>
        <v>12.819345205838438</v>
      </c>
      <c r="AI37" s="199">
        <f t="shared" si="14"/>
        <v>13.009231574972317</v>
      </c>
      <c r="AJ37" s="199">
        <f t="shared" si="14"/>
        <v>12.815247755250571</v>
      </c>
      <c r="AK37" s="199">
        <f t="shared" si="14"/>
        <v>11.197777498038526</v>
      </c>
      <c r="AL37" s="181">
        <f t="shared" si="14"/>
        <v>11.92483053259255</v>
      </c>
      <c r="AM37" s="181">
        <f t="shared" si="14"/>
        <v>15.532898697372971</v>
      </c>
      <c r="AN37" s="181">
        <f t="shared" si="14"/>
        <v>13.287482049978356</v>
      </c>
      <c r="AO37" s="181">
        <f t="shared" si="14"/>
        <v>11.361313804676167</v>
      </c>
      <c r="AP37" s="181">
        <f t="shared" si="14"/>
        <v>13.725675268958909</v>
      </c>
      <c r="AQ37" s="181">
        <f t="shared" si="14"/>
        <v>12.324813174535061</v>
      </c>
      <c r="AR37" s="181">
        <f t="shared" si="14"/>
        <v>9.0716951044243146</v>
      </c>
      <c r="AS37" s="181">
        <f t="shared" si="14"/>
        <v>6.8956305510434426</v>
      </c>
      <c r="AT37" s="181">
        <f t="shared" ref="AT37:BA37" si="15">AT18*100/AT$6</f>
        <v>10.890191014121603</v>
      </c>
      <c r="AU37" s="181">
        <f t="shared" si="15"/>
        <v>12.249846223050696</v>
      </c>
      <c r="AV37" s="181">
        <f t="shared" si="15"/>
        <v>9.2895944884672161</v>
      </c>
      <c r="AW37" s="181">
        <f t="shared" si="15"/>
        <v>8.4380487424178696</v>
      </c>
      <c r="AX37" s="181">
        <f t="shared" si="15"/>
        <v>12.680694722234227</v>
      </c>
      <c r="AY37" s="181">
        <f t="shared" si="15"/>
        <v>11.439941095199094</v>
      </c>
      <c r="AZ37" s="181">
        <f t="shared" si="15"/>
        <v>9.734320231651779</v>
      </c>
      <c r="BA37" s="181">
        <f t="shared" si="15"/>
        <v>10.422663713482862</v>
      </c>
    </row>
    <row r="38" spans="1:53">
      <c r="A38" s="187" t="s">
        <v>127</v>
      </c>
      <c r="B38" s="199"/>
      <c r="C38" s="199"/>
      <c r="D38" s="181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</row>
    <row r="39" spans="1:53">
      <c r="A39" s="187" t="s">
        <v>128</v>
      </c>
      <c r="B39" s="181">
        <f>B20*100/$B$6</f>
        <v>11.761976735287366</v>
      </c>
      <c r="C39" s="199">
        <f>C20*100/$C$6</f>
        <v>11.761976735287366</v>
      </c>
      <c r="D39" s="181" t="s">
        <v>20</v>
      </c>
      <c r="E39" s="199">
        <f>SUM(E20*100/E6)</f>
        <v>8.704822047541894</v>
      </c>
      <c r="F39" s="199">
        <f>F20*100/$F$6</f>
        <v>9.6614360286017558</v>
      </c>
      <c r="G39" s="199">
        <f>G20*100/$G$6</f>
        <v>12.135025407124072</v>
      </c>
      <c r="H39" s="199">
        <f>H20*100/$H$6</f>
        <v>7.8036590807675141</v>
      </c>
      <c r="I39" s="199">
        <f>I20*100/$I$6</f>
        <v>8.986757518072876</v>
      </c>
      <c r="J39" s="199">
        <f>J20*100/$J$6</f>
        <v>12.308440386065335</v>
      </c>
      <c r="K39" s="199">
        <f>K20*100/$K$6</f>
        <v>10.939364025271344</v>
      </c>
      <c r="L39" s="199">
        <f t="shared" ref="L39:AS39" si="16">L20*100/L$6</f>
        <v>12.154497279077898</v>
      </c>
      <c r="M39" s="199">
        <f t="shared" si="16"/>
        <v>10.069464211018735</v>
      </c>
      <c r="N39" s="199">
        <f t="shared" si="16"/>
        <v>13.32616282898347</v>
      </c>
      <c r="O39" s="199">
        <f t="shared" si="16"/>
        <v>10.813571125638573</v>
      </c>
      <c r="P39" s="199">
        <f t="shared" si="16"/>
        <v>10.346739718902265</v>
      </c>
      <c r="Q39" s="199">
        <f t="shared" si="16"/>
        <v>10.504909065495761</v>
      </c>
      <c r="R39" s="199">
        <f t="shared" si="16"/>
        <v>11.027796797054927</v>
      </c>
      <c r="S39" s="199">
        <f t="shared" si="16"/>
        <v>9.9441018997748198</v>
      </c>
      <c r="T39" s="199">
        <f t="shared" si="16"/>
        <v>9.8192656189063712</v>
      </c>
      <c r="U39" s="199">
        <f t="shared" si="16"/>
        <v>9.7069488452479789</v>
      </c>
      <c r="V39" s="199">
        <f t="shared" si="16"/>
        <v>9.6809478236177213</v>
      </c>
      <c r="W39" s="199">
        <f t="shared" si="16"/>
        <v>9.446759370605708</v>
      </c>
      <c r="X39" s="199">
        <f t="shared" si="16"/>
        <v>9.2776666667886545</v>
      </c>
      <c r="Y39" s="199">
        <f t="shared" si="16"/>
        <v>10.339318476991071</v>
      </c>
      <c r="Z39" s="199">
        <f t="shared" si="16"/>
        <v>8.8060759155909505</v>
      </c>
      <c r="AA39" s="199">
        <f t="shared" si="16"/>
        <v>10.444138234758537</v>
      </c>
      <c r="AB39" s="199">
        <f t="shared" si="16"/>
        <v>9.8217772796655396</v>
      </c>
      <c r="AC39" s="199">
        <f t="shared" si="16"/>
        <v>8.6109211253813012</v>
      </c>
      <c r="AD39" s="199">
        <f t="shared" si="16"/>
        <v>12.324070138108207</v>
      </c>
      <c r="AE39" s="199">
        <f t="shared" si="16"/>
        <v>9.557919715246193</v>
      </c>
      <c r="AF39" s="199">
        <f t="shared" si="16"/>
        <v>9.2257980635953434</v>
      </c>
      <c r="AG39" s="199">
        <f t="shared" si="16"/>
        <v>8.2757636254281639</v>
      </c>
      <c r="AH39" s="199">
        <f t="shared" si="16"/>
        <v>10.461937400008736</v>
      </c>
      <c r="AI39" s="199">
        <f t="shared" si="16"/>
        <v>11.17082046291203</v>
      </c>
      <c r="AJ39" s="199">
        <f t="shared" si="16"/>
        <v>9.801194173614471</v>
      </c>
      <c r="AK39" s="199">
        <f t="shared" si="16"/>
        <v>10.335204155552969</v>
      </c>
      <c r="AL39" s="181">
        <f t="shared" si="16"/>
        <v>12.760196968123154</v>
      </c>
      <c r="AM39" s="181">
        <f t="shared" si="16"/>
        <v>10.896981030573951</v>
      </c>
      <c r="AN39" s="181">
        <f t="shared" si="16"/>
        <v>11.964677105735074</v>
      </c>
      <c r="AO39" s="181">
        <f t="shared" si="16"/>
        <v>11.934676825305722</v>
      </c>
      <c r="AP39" s="181">
        <f t="shared" si="16"/>
        <v>11.592347159569524</v>
      </c>
      <c r="AQ39" s="181">
        <f t="shared" si="16"/>
        <v>12.248544664038022</v>
      </c>
      <c r="AR39" s="181">
        <f t="shared" si="16"/>
        <v>10.542485226559695</v>
      </c>
      <c r="AS39" s="181">
        <f t="shared" si="16"/>
        <v>8.0240010626243414</v>
      </c>
      <c r="AT39" s="181">
        <f t="shared" ref="AT39:BA39" si="17">AT20*100/AT$6</f>
        <v>9.2617350646701286</v>
      </c>
      <c r="AU39" s="181">
        <f t="shared" si="17"/>
        <v>9.6422832937744616</v>
      </c>
      <c r="AV39" s="181">
        <f t="shared" si="17"/>
        <v>8.4817000880631888</v>
      </c>
      <c r="AW39" s="181">
        <f t="shared" si="17"/>
        <v>8.27172965777984</v>
      </c>
      <c r="AX39" s="181">
        <f t="shared" si="17"/>
        <v>9.197543799283622</v>
      </c>
      <c r="AY39" s="181">
        <f t="shared" si="17"/>
        <v>9.7729021369536628</v>
      </c>
      <c r="AZ39" s="181">
        <f t="shared" si="17"/>
        <v>6.9760922071100469</v>
      </c>
      <c r="BA39" s="181">
        <f t="shared" si="17"/>
        <v>9.4048271349915407</v>
      </c>
    </row>
    <row r="40" spans="1:53">
      <c r="A40" s="187" t="s">
        <v>129</v>
      </c>
      <c r="B40" s="199"/>
      <c r="C40" s="199"/>
      <c r="D40" s="181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</row>
    <row r="41" spans="1:53">
      <c r="A41" s="187" t="s">
        <v>130</v>
      </c>
      <c r="B41" s="181">
        <f>B22*100/$B$6</f>
        <v>19.768036165258174</v>
      </c>
      <c r="C41" s="199">
        <f>C22*100/$C$6</f>
        <v>19.768036165258174</v>
      </c>
      <c r="D41" s="181" t="s">
        <v>20</v>
      </c>
      <c r="E41" s="199">
        <f>SUM(E22*100/E6)</f>
        <v>12.330250020421776</v>
      </c>
      <c r="F41" s="199">
        <f>F22*100/$F$6</f>
        <v>11.924352274922503</v>
      </c>
      <c r="G41" s="199">
        <f>G22*100/$G$6</f>
        <v>9.4010559898355535</v>
      </c>
      <c r="H41" s="199">
        <f>H22*100/$H$6</f>
        <v>11.142092178236757</v>
      </c>
      <c r="I41" s="199">
        <f>I22*100/$I$6</f>
        <v>13.806190974616854</v>
      </c>
      <c r="J41" s="199">
        <f>J22*100/$J$6</f>
        <v>14.814197482548725</v>
      </c>
      <c r="K41" s="199">
        <f>K22*100/$K$6</f>
        <v>14.129617373034058</v>
      </c>
      <c r="L41" s="199">
        <f t="shared" ref="L41:AS42" si="18">L22*100/L$6</f>
        <v>11.409848516740833</v>
      </c>
      <c r="M41" s="199">
        <f t="shared" si="18"/>
        <v>12.809297041490417</v>
      </c>
      <c r="N41" s="199">
        <f t="shared" si="18"/>
        <v>14.607275201695378</v>
      </c>
      <c r="O41" s="199">
        <f t="shared" si="18"/>
        <v>14.559552271896553</v>
      </c>
      <c r="P41" s="199">
        <f t="shared" si="18"/>
        <v>8.0805283367071237</v>
      </c>
      <c r="Q41" s="199">
        <f t="shared" si="18"/>
        <v>13.204548802923403</v>
      </c>
      <c r="R41" s="199">
        <f t="shared" si="18"/>
        <v>13.594954605678513</v>
      </c>
      <c r="S41" s="199">
        <f t="shared" si="18"/>
        <v>13.216674897657576</v>
      </c>
      <c r="T41" s="199">
        <f t="shared" si="18"/>
        <v>14.630759858691846</v>
      </c>
      <c r="U41" s="199">
        <f t="shared" si="18"/>
        <v>10.776908913250985</v>
      </c>
      <c r="V41" s="199">
        <f t="shared" si="18"/>
        <v>13.437202484459068</v>
      </c>
      <c r="W41" s="199">
        <f t="shared" si="18"/>
        <v>13.286949500661299</v>
      </c>
      <c r="X41" s="199">
        <f t="shared" si="18"/>
        <v>11.735046585493228</v>
      </c>
      <c r="Y41" s="199">
        <f t="shared" si="18"/>
        <v>12.324289332175104</v>
      </c>
      <c r="Z41" s="199">
        <f t="shared" si="18"/>
        <v>16.896163883279343</v>
      </c>
      <c r="AA41" s="199">
        <f t="shared" si="18"/>
        <v>15.45794909095746</v>
      </c>
      <c r="AB41" s="199">
        <f t="shared" si="18"/>
        <v>12.574507411498978</v>
      </c>
      <c r="AC41" s="199">
        <f t="shared" si="18"/>
        <v>14.91015458802219</v>
      </c>
      <c r="AD41" s="199">
        <f t="shared" si="18"/>
        <v>19.744644058181105</v>
      </c>
      <c r="AE41" s="199">
        <f t="shared" si="18"/>
        <v>15.490290686177575</v>
      </c>
      <c r="AF41" s="199">
        <f t="shared" si="18"/>
        <v>13.047262758844091</v>
      </c>
      <c r="AG41" s="199">
        <f t="shared" si="18"/>
        <v>14.810331961030652</v>
      </c>
      <c r="AH41" s="199">
        <f t="shared" si="18"/>
        <v>17.796544366599317</v>
      </c>
      <c r="AI41" s="199">
        <f t="shared" si="18"/>
        <v>15.652481459807161</v>
      </c>
      <c r="AJ41" s="199">
        <f t="shared" si="18"/>
        <v>13.414027116249978</v>
      </c>
      <c r="AK41" s="199">
        <f t="shared" si="18"/>
        <v>16.777308818674335</v>
      </c>
      <c r="AL41" s="181">
        <f t="shared" si="18"/>
        <v>14.558785154933789</v>
      </c>
      <c r="AM41" s="181">
        <f t="shared" si="18"/>
        <v>12.620837762948351</v>
      </c>
      <c r="AN41" s="181">
        <f t="shared" si="18"/>
        <v>8.8833712373662763</v>
      </c>
      <c r="AO41" s="181">
        <f t="shared" si="18"/>
        <v>11.545260474323797</v>
      </c>
      <c r="AP41" s="181">
        <f t="shared" si="18"/>
        <v>14.371782154413847</v>
      </c>
      <c r="AQ41" s="181">
        <f t="shared" si="18"/>
        <v>9.6169571940960719</v>
      </c>
      <c r="AR41" s="181">
        <f t="shared" si="18"/>
        <v>10.820464016715956</v>
      </c>
      <c r="AS41" s="181">
        <f t="shared" si="18"/>
        <v>13.464236977100891</v>
      </c>
      <c r="AT41" s="181">
        <f t="shared" ref="AT41:BA41" si="19">AT22*100/AT$6</f>
        <v>18.822094762092977</v>
      </c>
      <c r="AU41" s="181">
        <f t="shared" si="19"/>
        <v>14.783119124740795</v>
      </c>
      <c r="AV41" s="181">
        <f t="shared" si="19"/>
        <v>13.083220111123198</v>
      </c>
      <c r="AW41" s="181">
        <f t="shared" si="19"/>
        <v>17.145780672126811</v>
      </c>
      <c r="AX41" s="181">
        <f t="shared" si="19"/>
        <v>17.59896677149522</v>
      </c>
      <c r="AY41" s="181">
        <f t="shared" si="19"/>
        <v>14.025961132759177</v>
      </c>
      <c r="AZ41" s="181">
        <f t="shared" si="19"/>
        <v>12.421200516286737</v>
      </c>
      <c r="BA41" s="181">
        <f t="shared" si="19"/>
        <v>12.011843604736413</v>
      </c>
    </row>
    <row r="42" spans="1:53">
      <c r="A42" s="194" t="s">
        <v>131</v>
      </c>
      <c r="B42" s="199">
        <f>SUM(B23*100/B6)</f>
        <v>0</v>
      </c>
      <c r="C42" s="199">
        <f>SUM(C23*100/C6)</f>
        <v>0</v>
      </c>
      <c r="D42" s="181" t="s">
        <v>20</v>
      </c>
      <c r="E42" s="199">
        <f>SUM(E23*100/E6)</f>
        <v>0</v>
      </c>
      <c r="F42" s="199">
        <f>F23*100/$F$6</f>
        <v>1.1340020093515859</v>
      </c>
      <c r="G42" s="199">
        <f>G23*100/$G$6</f>
        <v>0.28653549980445819</v>
      </c>
      <c r="H42" s="199">
        <f>H23*100/$H$6</f>
        <v>0.21584751705233632</v>
      </c>
      <c r="I42" s="199">
        <f>I23*100/$I$6</f>
        <v>1.2533197031168473</v>
      </c>
      <c r="J42" s="199">
        <f>J23*100/$J$6</f>
        <v>0</v>
      </c>
      <c r="K42" s="199">
        <f>K23*100/$K$6</f>
        <v>0</v>
      </c>
      <c r="L42" s="199">
        <f t="shared" si="18"/>
        <v>0</v>
      </c>
      <c r="M42" s="199">
        <f t="shared" si="18"/>
        <v>0</v>
      </c>
      <c r="N42" s="199">
        <f t="shared" si="18"/>
        <v>0</v>
      </c>
      <c r="O42" s="199">
        <f t="shared" si="18"/>
        <v>0</v>
      </c>
      <c r="P42" s="199">
        <f t="shared" si="18"/>
        <v>0</v>
      </c>
      <c r="Q42" s="199">
        <f t="shared" si="18"/>
        <v>0</v>
      </c>
      <c r="R42" s="199">
        <f t="shared" si="18"/>
        <v>0</v>
      </c>
      <c r="S42" s="199">
        <f t="shared" si="18"/>
        <v>0</v>
      </c>
      <c r="T42" s="199">
        <f t="shared" si="18"/>
        <v>0</v>
      </c>
      <c r="U42" s="199">
        <f t="shared" si="18"/>
        <v>0</v>
      </c>
      <c r="V42" s="199">
        <f t="shared" si="18"/>
        <v>0</v>
      </c>
      <c r="W42" s="199">
        <f t="shared" si="18"/>
        <v>0</v>
      </c>
      <c r="X42" s="199">
        <f t="shared" si="18"/>
        <v>0</v>
      </c>
      <c r="Y42" s="199">
        <f t="shared" si="18"/>
        <v>0</v>
      </c>
      <c r="Z42" s="199">
        <f t="shared" si="18"/>
        <v>0</v>
      </c>
      <c r="AA42" s="199">
        <f t="shared" si="18"/>
        <v>0</v>
      </c>
      <c r="AB42" s="199">
        <f t="shared" si="18"/>
        <v>0</v>
      </c>
      <c r="AC42" s="199">
        <f t="shared" si="18"/>
        <v>0</v>
      </c>
      <c r="AD42" s="199">
        <f t="shared" si="18"/>
        <v>0</v>
      </c>
      <c r="AE42" s="199">
        <f t="shared" si="18"/>
        <v>0</v>
      </c>
      <c r="AF42" s="199">
        <f t="shared" si="18"/>
        <v>0</v>
      </c>
      <c r="AG42" s="199">
        <f t="shared" si="18"/>
        <v>0</v>
      </c>
      <c r="AH42" s="199">
        <f t="shared" si="18"/>
        <v>0</v>
      </c>
      <c r="AI42" s="199">
        <f t="shared" si="18"/>
        <v>0</v>
      </c>
      <c r="AJ42" s="199">
        <f t="shared" si="18"/>
        <v>0</v>
      </c>
      <c r="AK42" s="199">
        <f t="shared" si="18"/>
        <v>0</v>
      </c>
      <c r="AL42" s="181" t="s">
        <v>74</v>
      </c>
      <c r="AM42" s="181" t="s">
        <v>74</v>
      </c>
      <c r="AN42" s="181" t="s">
        <v>74</v>
      </c>
      <c r="AO42" s="181" t="s">
        <v>74</v>
      </c>
      <c r="AP42" s="181" t="s">
        <v>74</v>
      </c>
      <c r="AQ42" s="181" t="s">
        <v>74</v>
      </c>
      <c r="AR42" s="181" t="s">
        <v>74</v>
      </c>
      <c r="AS42" s="181" t="s">
        <v>74</v>
      </c>
      <c r="AT42" s="181" t="s">
        <v>74</v>
      </c>
      <c r="AU42" s="181" t="s">
        <v>74</v>
      </c>
      <c r="AV42" s="181" t="s">
        <v>74</v>
      </c>
      <c r="AW42" s="181" t="s">
        <v>74</v>
      </c>
      <c r="AX42" s="181" t="s">
        <v>74</v>
      </c>
      <c r="AY42" s="181" t="s">
        <v>74</v>
      </c>
      <c r="AZ42" s="181" t="s">
        <v>74</v>
      </c>
      <c r="BA42" s="181" t="s">
        <v>74</v>
      </c>
    </row>
    <row r="43" spans="1:53" ht="2.25" customHeight="1">
      <c r="A43" s="32"/>
      <c r="B43" s="32"/>
      <c r="C43" s="32"/>
      <c r="D43" s="32"/>
      <c r="E43" s="32"/>
      <c r="F43" s="200"/>
      <c r="G43" s="32"/>
      <c r="H43" s="32"/>
      <c r="I43" s="32"/>
      <c r="J43" s="200"/>
      <c r="K43" s="200"/>
      <c r="L43" s="200"/>
      <c r="M43" s="200"/>
      <c r="N43" s="201"/>
      <c r="O43" s="201"/>
      <c r="P43" s="202"/>
      <c r="Q43" s="200"/>
      <c r="R43" s="201"/>
      <c r="S43" s="201"/>
      <c r="T43" s="202"/>
      <c r="U43" s="201"/>
      <c r="V43" s="201"/>
      <c r="W43" s="201"/>
      <c r="X43" s="202"/>
      <c r="Y43" s="201"/>
      <c r="Z43" s="201"/>
      <c r="AA43" s="201"/>
      <c r="AB43" s="201"/>
      <c r="AC43" s="201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</row>
    <row r="44" spans="1:53">
      <c r="T44" s="37"/>
      <c r="X44" s="37"/>
      <c r="AC44" s="204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</row>
    <row r="45" spans="1:53">
      <c r="AC45" s="204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</row>
    <row r="47" spans="1:53">
      <c r="AC47" s="208"/>
    </row>
    <row r="48" spans="1:53">
      <c r="AC48" s="208"/>
    </row>
    <row r="49" spans="16:53" ht="21.75">
      <c r="P49" s="4"/>
      <c r="Z49" s="4"/>
      <c r="AA49" s="4"/>
      <c r="AB49" s="4"/>
      <c r="AC49" s="208"/>
      <c r="AD49" s="4"/>
      <c r="AE49" s="4"/>
      <c r="AF49" s="4"/>
      <c r="AG49" s="4"/>
      <c r="AH49" s="4"/>
      <c r="AI49" s="4"/>
      <c r="AJ49" s="4"/>
      <c r="AK49" s="4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</row>
    <row r="50" spans="16:53" ht="21.75">
      <c r="P50" s="4"/>
      <c r="Z50" s="4"/>
      <c r="AA50" s="4"/>
      <c r="AB50" s="4"/>
      <c r="AC50" s="208"/>
      <c r="AD50" s="4"/>
      <c r="AE50" s="4"/>
      <c r="AF50" s="4"/>
      <c r="AG50" s="4"/>
      <c r="AH50" s="4"/>
      <c r="AI50" s="4"/>
      <c r="AJ50" s="4"/>
      <c r="AK50" s="4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</row>
  </sheetData>
  <mergeCells count="17">
    <mergeCell ref="J3:M3"/>
    <mergeCell ref="N3:Q3"/>
    <mergeCell ref="AX3:BA3"/>
    <mergeCell ref="R3:U3"/>
    <mergeCell ref="A5:L5"/>
    <mergeCell ref="A24:L24"/>
    <mergeCell ref="Q24:AA24"/>
    <mergeCell ref="AT3:AW3"/>
    <mergeCell ref="V3:Y3"/>
    <mergeCell ref="Z3:AC3"/>
    <mergeCell ref="AD3:AG3"/>
    <mergeCell ref="AH3:AK3"/>
    <mergeCell ref="AL3:AO3"/>
    <mergeCell ref="AP3:AS3"/>
    <mergeCell ref="A3:A4"/>
    <mergeCell ref="C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1"/>
  <sheetViews>
    <sheetView workbookViewId="0">
      <pane xSplit="1" ySplit="5" topLeftCell="AY6" activePane="bottomRight" state="frozen"/>
      <selection pane="topRight" activeCell="B1" sqref="B1"/>
      <selection pane="bottomLeft" activeCell="A6" sqref="A6"/>
      <selection pane="bottomRight" activeCell="BA6" sqref="BA6"/>
    </sheetView>
  </sheetViews>
  <sheetFormatPr defaultColWidth="7.125" defaultRowHeight="23.25"/>
  <cols>
    <col min="1" max="1" width="25" style="122" customWidth="1"/>
    <col min="2" max="2" width="11.375" style="122" customWidth="1"/>
    <col min="3" max="3" width="9.875" style="122" customWidth="1"/>
    <col min="4" max="4" width="7.5" style="122" customWidth="1"/>
    <col min="5" max="5" width="9.125" style="122" customWidth="1"/>
    <col min="6" max="6" width="8.5" style="122" customWidth="1"/>
    <col min="7" max="7" width="9.25" style="122" customWidth="1"/>
    <col min="8" max="8" width="10.875" style="122" customWidth="1"/>
    <col min="9" max="15" width="9" style="122" customWidth="1"/>
    <col min="16" max="16" width="9" style="155" customWidth="1"/>
    <col min="17" max="24" width="9" style="122" customWidth="1"/>
    <col min="25" max="25" width="9.625" style="122" customWidth="1"/>
    <col min="26" max="27" width="8.875" style="122" customWidth="1"/>
    <col min="28" max="28" width="9.625" style="122" customWidth="1"/>
    <col min="29" max="29" width="9.625" style="122" bestFit="1" customWidth="1"/>
    <col min="30" max="31" width="9.375" style="158" customWidth="1"/>
    <col min="32" max="32" width="9.25" style="158" customWidth="1"/>
    <col min="33" max="35" width="9.375" style="158" customWidth="1"/>
    <col min="36" max="36" width="9.25" style="158" customWidth="1"/>
    <col min="37" max="37" width="9.375" style="158" customWidth="1"/>
    <col min="38" max="53" width="9.125" style="122" customWidth="1"/>
    <col min="54" max="16384" width="7.125" style="122"/>
  </cols>
  <sheetData>
    <row r="1" spans="1:53" s="121" customFormat="1" ht="27" customHeight="1">
      <c r="A1" s="119" t="s">
        <v>81</v>
      </c>
      <c r="B1" s="120"/>
      <c r="C1" s="120"/>
      <c r="D1" s="120"/>
      <c r="E1" s="120"/>
      <c r="F1" s="119"/>
      <c r="G1" s="119"/>
      <c r="H1" s="119"/>
      <c r="J1" s="119"/>
      <c r="K1" s="119"/>
      <c r="N1" s="122"/>
      <c r="P1" s="123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</row>
    <row r="2" spans="1:53" ht="3.75" customHeight="1">
      <c r="A2" s="120"/>
      <c r="B2" s="120"/>
      <c r="C2" s="120"/>
      <c r="D2" s="120"/>
      <c r="E2" s="120"/>
      <c r="F2" s="120"/>
      <c r="G2" s="120"/>
      <c r="H2" s="120"/>
      <c r="J2" s="120"/>
      <c r="K2" s="120"/>
      <c r="P2" s="124"/>
      <c r="AD2" s="122"/>
      <c r="AE2" s="122"/>
      <c r="AF2" s="122"/>
      <c r="AG2" s="122"/>
      <c r="AH2" s="122"/>
      <c r="AI2" s="122"/>
      <c r="AJ2" s="122"/>
      <c r="AK2" s="122"/>
    </row>
    <row r="3" spans="1:53" ht="21.75">
      <c r="A3" s="241" t="s">
        <v>82</v>
      </c>
      <c r="B3" s="243" t="s">
        <v>35</v>
      </c>
      <c r="C3" s="243"/>
      <c r="D3" s="243"/>
      <c r="E3" s="243"/>
      <c r="F3" s="243" t="s">
        <v>3</v>
      </c>
      <c r="G3" s="243"/>
      <c r="H3" s="243"/>
      <c r="I3" s="243"/>
      <c r="J3" s="238" t="s">
        <v>4</v>
      </c>
      <c r="K3" s="238"/>
      <c r="L3" s="238"/>
      <c r="M3" s="238"/>
      <c r="N3" s="238" t="s">
        <v>83</v>
      </c>
      <c r="O3" s="238"/>
      <c r="P3" s="238"/>
      <c r="Q3" s="238"/>
      <c r="R3" s="238" t="s">
        <v>6</v>
      </c>
      <c r="S3" s="238"/>
      <c r="T3" s="238"/>
      <c r="U3" s="238"/>
      <c r="V3" s="238" t="s">
        <v>7</v>
      </c>
      <c r="W3" s="238"/>
      <c r="X3" s="238"/>
      <c r="Y3" s="238"/>
      <c r="Z3" s="238" t="s">
        <v>8</v>
      </c>
      <c r="AA3" s="238"/>
      <c r="AB3" s="238"/>
      <c r="AC3" s="238"/>
      <c r="AD3" s="238" t="s">
        <v>9</v>
      </c>
      <c r="AE3" s="238"/>
      <c r="AF3" s="238"/>
      <c r="AG3" s="238"/>
      <c r="AH3" s="238" t="s">
        <v>10</v>
      </c>
      <c r="AI3" s="238"/>
      <c r="AJ3" s="238"/>
      <c r="AK3" s="238"/>
      <c r="AL3" s="238" t="s">
        <v>11</v>
      </c>
      <c r="AM3" s="238"/>
      <c r="AN3" s="238"/>
      <c r="AO3" s="238"/>
      <c r="AP3" s="238" t="s">
        <v>12</v>
      </c>
      <c r="AQ3" s="238"/>
      <c r="AR3" s="238"/>
      <c r="AS3" s="238"/>
      <c r="AT3" s="238" t="s">
        <v>13</v>
      </c>
      <c r="AU3" s="238"/>
      <c r="AV3" s="238"/>
      <c r="AW3" s="238"/>
      <c r="AX3" s="238" t="s">
        <v>137</v>
      </c>
      <c r="AY3" s="238"/>
      <c r="AZ3" s="238"/>
      <c r="BA3" s="238"/>
    </row>
    <row r="4" spans="1:53" ht="21.75">
      <c r="A4" s="242"/>
      <c r="B4" s="125" t="s">
        <v>14</v>
      </c>
      <c r="C4" s="125" t="s">
        <v>15</v>
      </c>
      <c r="D4" s="125" t="s">
        <v>16</v>
      </c>
      <c r="E4" s="125" t="s">
        <v>17</v>
      </c>
      <c r="F4" s="126" t="s">
        <v>14</v>
      </c>
      <c r="G4" s="126" t="s">
        <v>15</v>
      </c>
      <c r="H4" s="125" t="s">
        <v>16</v>
      </c>
      <c r="I4" s="126" t="s">
        <v>17</v>
      </c>
      <c r="J4" s="125" t="s">
        <v>14</v>
      </c>
      <c r="K4" s="125" t="s">
        <v>15</v>
      </c>
      <c r="L4" s="125" t="s">
        <v>84</v>
      </c>
      <c r="M4" s="125" t="s">
        <v>17</v>
      </c>
      <c r="N4" s="125" t="s">
        <v>14</v>
      </c>
      <c r="O4" s="125" t="s">
        <v>15</v>
      </c>
      <c r="P4" s="125" t="s">
        <v>16</v>
      </c>
      <c r="Q4" s="127" t="s">
        <v>17</v>
      </c>
      <c r="R4" s="127" t="s">
        <v>14</v>
      </c>
      <c r="S4" s="127" t="s">
        <v>15</v>
      </c>
      <c r="T4" s="127" t="s">
        <v>16</v>
      </c>
      <c r="U4" s="127" t="s">
        <v>17</v>
      </c>
      <c r="V4" s="127" t="s">
        <v>14</v>
      </c>
      <c r="W4" s="127" t="s">
        <v>15</v>
      </c>
      <c r="X4" s="127" t="s">
        <v>16</v>
      </c>
      <c r="Y4" s="127" t="s">
        <v>17</v>
      </c>
      <c r="Z4" s="127" t="s">
        <v>14</v>
      </c>
      <c r="AA4" s="127" t="s">
        <v>15</v>
      </c>
      <c r="AB4" s="127" t="s">
        <v>16</v>
      </c>
      <c r="AC4" s="127" t="s">
        <v>17</v>
      </c>
      <c r="AD4" s="127" t="s">
        <v>14</v>
      </c>
      <c r="AE4" s="127" t="s">
        <v>15</v>
      </c>
      <c r="AF4" s="127" t="s">
        <v>16</v>
      </c>
      <c r="AG4" s="127" t="s">
        <v>17</v>
      </c>
      <c r="AH4" s="127" t="s">
        <v>14</v>
      </c>
      <c r="AI4" s="127" t="s">
        <v>15</v>
      </c>
      <c r="AJ4" s="127" t="s">
        <v>16</v>
      </c>
      <c r="AK4" s="127" t="s">
        <v>17</v>
      </c>
      <c r="AL4" s="127" t="s">
        <v>14</v>
      </c>
      <c r="AM4" s="127" t="s">
        <v>15</v>
      </c>
      <c r="AN4" s="127" t="s">
        <v>16</v>
      </c>
      <c r="AO4" s="127" t="s">
        <v>17</v>
      </c>
      <c r="AP4" s="127" t="s">
        <v>14</v>
      </c>
      <c r="AQ4" s="127" t="s">
        <v>15</v>
      </c>
      <c r="AR4" s="127" t="s">
        <v>16</v>
      </c>
      <c r="AS4" s="127" t="s">
        <v>17</v>
      </c>
      <c r="AT4" s="127" t="s">
        <v>14</v>
      </c>
      <c r="AU4" s="127" t="s">
        <v>15</v>
      </c>
      <c r="AV4" s="127" t="s">
        <v>16</v>
      </c>
      <c r="AW4" s="127" t="s">
        <v>17</v>
      </c>
      <c r="AX4" s="127" t="s">
        <v>14</v>
      </c>
      <c r="AY4" s="127" t="s">
        <v>15</v>
      </c>
      <c r="AZ4" s="127" t="s">
        <v>16</v>
      </c>
      <c r="BA4" s="127" t="s">
        <v>17</v>
      </c>
    </row>
    <row r="5" spans="1:53" s="120" customFormat="1" ht="18.75" customHeight="1">
      <c r="A5" s="239" t="s">
        <v>18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N5" s="122"/>
      <c r="P5" s="128"/>
      <c r="AA5" s="129"/>
      <c r="AB5" s="129"/>
      <c r="AC5" s="129"/>
      <c r="AE5" s="129"/>
      <c r="AF5" s="129"/>
      <c r="AG5" s="129"/>
      <c r="AI5" s="129"/>
      <c r="AJ5" s="129"/>
      <c r="AK5" s="129"/>
    </row>
    <row r="6" spans="1:53" s="120" customFormat="1" ht="21.75">
      <c r="A6" s="130" t="s">
        <v>19</v>
      </c>
      <c r="B6" s="131">
        <v>1463504</v>
      </c>
      <c r="C6" s="131">
        <v>1497012</v>
      </c>
      <c r="D6" s="131">
        <v>0</v>
      </c>
      <c r="E6" s="131">
        <v>1554713</v>
      </c>
      <c r="F6" s="131">
        <v>1444247</v>
      </c>
      <c r="G6" s="132">
        <v>1502083</v>
      </c>
      <c r="H6" s="131">
        <v>1568700</v>
      </c>
      <c r="I6" s="132">
        <v>1596453</v>
      </c>
      <c r="J6" s="131">
        <v>1473724.65</v>
      </c>
      <c r="K6" s="132">
        <v>1558329.53</v>
      </c>
      <c r="L6" s="132">
        <v>1603167.91</v>
      </c>
      <c r="M6" s="132">
        <v>1616084.41</v>
      </c>
      <c r="N6" s="132">
        <v>1503381</v>
      </c>
      <c r="O6" s="132">
        <v>1501983</v>
      </c>
      <c r="P6" s="132">
        <v>1599586</v>
      </c>
      <c r="Q6" s="132">
        <v>1588286</v>
      </c>
      <c r="R6" s="132">
        <v>1349508</v>
      </c>
      <c r="S6" s="132">
        <v>1397340.87</v>
      </c>
      <c r="T6" s="132">
        <v>1405156</v>
      </c>
      <c r="U6" s="132">
        <v>1416408.19</v>
      </c>
      <c r="V6" s="132">
        <v>1362576</v>
      </c>
      <c r="W6" s="132">
        <v>1368352</v>
      </c>
      <c r="X6" s="132">
        <v>1366251.5</v>
      </c>
      <c r="Y6" s="132">
        <v>1389717</v>
      </c>
      <c r="Z6" s="132">
        <v>1280209</v>
      </c>
      <c r="AA6" s="132">
        <v>1281017.6100000001</v>
      </c>
      <c r="AB6" s="132">
        <v>1332622</v>
      </c>
      <c r="AC6" s="132">
        <v>1315215.74</v>
      </c>
      <c r="AD6" s="132">
        <v>1244459</v>
      </c>
      <c r="AE6" s="132">
        <v>1264250</v>
      </c>
      <c r="AF6" s="132">
        <v>1361389</v>
      </c>
      <c r="AG6" s="132">
        <v>1306823</v>
      </c>
      <c r="AH6" s="132">
        <v>1236358</v>
      </c>
      <c r="AI6" s="132">
        <v>1252549</v>
      </c>
      <c r="AJ6" s="132">
        <v>1299811</v>
      </c>
      <c r="AK6" s="132">
        <v>1263081</v>
      </c>
      <c r="AL6" s="132">
        <v>1184151</v>
      </c>
      <c r="AM6" s="132">
        <v>1171095</v>
      </c>
      <c r="AN6" s="132">
        <v>1164344</v>
      </c>
      <c r="AO6" s="132">
        <v>1198717</v>
      </c>
      <c r="AP6" s="132">
        <v>1123034</v>
      </c>
      <c r="AQ6" s="132">
        <v>1235110</v>
      </c>
      <c r="AR6" s="132">
        <v>1289307</v>
      </c>
      <c r="AS6" s="132">
        <v>1347607</v>
      </c>
      <c r="AT6" s="132">
        <v>1098034</v>
      </c>
      <c r="AU6" s="132">
        <v>1173778</v>
      </c>
      <c r="AV6" s="132">
        <v>1259323</v>
      </c>
      <c r="AW6" s="132">
        <v>1153205</v>
      </c>
      <c r="AX6" s="132">
        <v>1226447</v>
      </c>
      <c r="AY6" s="132">
        <v>1208730</v>
      </c>
      <c r="AZ6" s="132">
        <v>1269837</v>
      </c>
      <c r="BA6" s="132">
        <v>1166199</v>
      </c>
    </row>
    <row r="7" spans="1:53" ht="18" customHeight="1">
      <c r="A7" s="130"/>
      <c r="B7" s="133"/>
      <c r="C7" s="133"/>
      <c r="D7" s="134"/>
      <c r="E7" s="133"/>
      <c r="F7" s="133"/>
      <c r="G7" s="135"/>
      <c r="H7" s="136"/>
      <c r="I7" s="135"/>
      <c r="J7" s="133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</row>
    <row r="8" spans="1:53" ht="17.25" customHeight="1">
      <c r="A8" s="137" t="s">
        <v>85</v>
      </c>
      <c r="B8" s="134">
        <v>409586</v>
      </c>
      <c r="C8" s="134">
        <v>461642</v>
      </c>
      <c r="D8" s="134">
        <v>0</v>
      </c>
      <c r="E8" s="134">
        <v>645658</v>
      </c>
      <c r="F8" s="134">
        <v>421740.79</v>
      </c>
      <c r="G8" s="135">
        <v>488670</v>
      </c>
      <c r="H8" s="134">
        <v>606399.67000000004</v>
      </c>
      <c r="I8" s="135">
        <v>638086</v>
      </c>
      <c r="J8" s="134">
        <v>452463</v>
      </c>
      <c r="K8" s="135">
        <v>608318.27</v>
      </c>
      <c r="L8" s="135">
        <v>598211</v>
      </c>
      <c r="M8" s="135">
        <v>576896</v>
      </c>
      <c r="N8" s="135">
        <v>483568</v>
      </c>
      <c r="O8" s="135">
        <v>476772</v>
      </c>
      <c r="P8" s="135">
        <v>621516</v>
      </c>
      <c r="Q8" s="135">
        <v>658100</v>
      </c>
      <c r="R8" s="135">
        <v>457417</v>
      </c>
      <c r="S8" s="135">
        <v>558584.24</v>
      </c>
      <c r="T8" s="135">
        <v>579869</v>
      </c>
      <c r="U8" s="138">
        <v>552535</v>
      </c>
      <c r="V8" s="135">
        <v>505935</v>
      </c>
      <c r="W8" s="135">
        <v>518575.75</v>
      </c>
      <c r="X8" s="135">
        <v>585832</v>
      </c>
      <c r="Y8" s="138">
        <v>579589</v>
      </c>
      <c r="Z8" s="135">
        <v>443872</v>
      </c>
      <c r="AA8" s="134">
        <v>460769.16</v>
      </c>
      <c r="AB8" s="134">
        <v>500982</v>
      </c>
      <c r="AC8" s="134">
        <v>494156.34</v>
      </c>
      <c r="AD8" s="135">
        <v>390218</v>
      </c>
      <c r="AE8" s="134">
        <v>485282</v>
      </c>
      <c r="AF8" s="134">
        <v>546957</v>
      </c>
      <c r="AG8" s="134">
        <v>504903</v>
      </c>
      <c r="AH8" s="135">
        <v>453461</v>
      </c>
      <c r="AI8" s="134">
        <v>465619</v>
      </c>
      <c r="AJ8" s="134">
        <v>521593</v>
      </c>
      <c r="AK8" s="134">
        <v>474834</v>
      </c>
      <c r="AL8" s="135">
        <v>363667</v>
      </c>
      <c r="AM8" s="134">
        <v>334071</v>
      </c>
      <c r="AN8" s="134">
        <v>386337</v>
      </c>
      <c r="AO8" s="134">
        <v>439634</v>
      </c>
      <c r="AP8" s="135">
        <v>333938</v>
      </c>
      <c r="AQ8" s="134">
        <v>498779</v>
      </c>
      <c r="AR8" s="134">
        <v>539118</v>
      </c>
      <c r="AS8" s="134">
        <v>616547</v>
      </c>
      <c r="AT8" s="135">
        <v>373255</v>
      </c>
      <c r="AU8" s="134">
        <v>407506</v>
      </c>
      <c r="AV8" s="134">
        <v>512298</v>
      </c>
      <c r="AW8" s="134">
        <v>520740</v>
      </c>
      <c r="AX8" s="135">
        <v>428046</v>
      </c>
      <c r="AY8" s="134">
        <v>417781</v>
      </c>
      <c r="AZ8" s="134">
        <v>536384</v>
      </c>
      <c r="BA8" s="134">
        <v>439310</v>
      </c>
    </row>
    <row r="9" spans="1:53" ht="17.25" customHeight="1">
      <c r="A9" s="137" t="s">
        <v>86</v>
      </c>
      <c r="B9" s="134">
        <v>6134</v>
      </c>
      <c r="C9" s="134">
        <v>1448</v>
      </c>
      <c r="D9" s="134">
        <v>0</v>
      </c>
      <c r="E9" s="134">
        <v>0</v>
      </c>
      <c r="F9" s="134">
        <v>334.31</v>
      </c>
      <c r="G9" s="134">
        <v>2653</v>
      </c>
      <c r="H9" s="134">
        <v>1693.92</v>
      </c>
      <c r="I9" s="134">
        <v>0</v>
      </c>
      <c r="J9" s="134">
        <v>4573.84</v>
      </c>
      <c r="K9" s="134">
        <v>1196.6400000000001</v>
      </c>
      <c r="L9" s="134">
        <v>1973</v>
      </c>
      <c r="M9" s="134">
        <v>12082</v>
      </c>
      <c r="N9" s="134">
        <v>1705</v>
      </c>
      <c r="O9" s="134">
        <v>490</v>
      </c>
      <c r="P9" s="134">
        <v>6025</v>
      </c>
      <c r="Q9" s="134">
        <v>2101</v>
      </c>
      <c r="R9" s="134">
        <v>652</v>
      </c>
      <c r="S9" s="134">
        <v>888.95</v>
      </c>
      <c r="T9" s="134">
        <v>2000</v>
      </c>
      <c r="U9" s="138">
        <v>6346</v>
      </c>
      <c r="V9" s="134">
        <v>9151</v>
      </c>
      <c r="W9" s="134">
        <v>646.88</v>
      </c>
      <c r="X9" s="134">
        <v>1041.3699999999999</v>
      </c>
      <c r="Y9" s="138">
        <v>5182</v>
      </c>
      <c r="Z9" s="134">
        <v>971</v>
      </c>
      <c r="AA9" s="134">
        <v>241.6</v>
      </c>
      <c r="AB9" s="134">
        <v>204</v>
      </c>
      <c r="AC9" s="134">
        <v>1543.44</v>
      </c>
      <c r="AD9" s="134">
        <v>7243</v>
      </c>
      <c r="AE9" s="134">
        <v>5563</v>
      </c>
      <c r="AF9" s="134">
        <v>5091</v>
      </c>
      <c r="AG9" s="134">
        <v>0</v>
      </c>
      <c r="AH9" s="134">
        <v>2371</v>
      </c>
      <c r="AI9" s="134">
        <v>8881</v>
      </c>
      <c r="AJ9" s="134">
        <v>0</v>
      </c>
      <c r="AK9" s="134">
        <v>0</v>
      </c>
      <c r="AL9" s="134">
        <v>0</v>
      </c>
      <c r="AM9" s="134">
        <v>0</v>
      </c>
      <c r="AN9" s="134">
        <v>0</v>
      </c>
      <c r="AO9" s="134">
        <v>0</v>
      </c>
      <c r="AP9" s="134">
        <v>0</v>
      </c>
      <c r="AQ9" s="134">
        <v>0</v>
      </c>
      <c r="AR9" s="134">
        <v>1093</v>
      </c>
      <c r="AS9" s="134">
        <v>491</v>
      </c>
      <c r="AT9" s="134">
        <v>0</v>
      </c>
      <c r="AU9" s="134">
        <v>253</v>
      </c>
      <c r="AV9" s="134">
        <v>214</v>
      </c>
      <c r="AW9" s="134">
        <v>0</v>
      </c>
      <c r="AX9" s="134">
        <v>1433</v>
      </c>
      <c r="AY9" s="134">
        <v>437</v>
      </c>
      <c r="AZ9" s="134">
        <v>737</v>
      </c>
      <c r="BA9" s="134" t="s">
        <v>138</v>
      </c>
    </row>
    <row r="10" spans="1:53" ht="17.25" customHeight="1">
      <c r="A10" s="137" t="s">
        <v>87</v>
      </c>
      <c r="B10" s="134">
        <v>279514</v>
      </c>
      <c r="C10" s="134">
        <v>298038</v>
      </c>
      <c r="D10" s="134">
        <v>0</v>
      </c>
      <c r="E10" s="134">
        <v>292521</v>
      </c>
      <c r="F10" s="134">
        <v>307968.18</v>
      </c>
      <c r="G10" s="134">
        <v>303046</v>
      </c>
      <c r="H10" s="134">
        <v>285052</v>
      </c>
      <c r="I10" s="134">
        <v>287339</v>
      </c>
      <c r="J10" s="134">
        <v>261766.71</v>
      </c>
      <c r="K10" s="134">
        <v>256268.79999999999</v>
      </c>
      <c r="L10" s="134">
        <v>288859</v>
      </c>
      <c r="M10" s="134">
        <v>225482.52</v>
      </c>
      <c r="N10" s="134">
        <v>309081</v>
      </c>
      <c r="O10" s="134">
        <v>278017</v>
      </c>
      <c r="P10" s="134">
        <v>291101</v>
      </c>
      <c r="Q10" s="134">
        <v>265925</v>
      </c>
      <c r="R10" s="134">
        <v>264009</v>
      </c>
      <c r="S10" s="134">
        <v>225808.07</v>
      </c>
      <c r="T10" s="134">
        <v>241905</v>
      </c>
      <c r="U10" s="138">
        <v>241314</v>
      </c>
      <c r="V10" s="134">
        <v>232309</v>
      </c>
      <c r="W10" s="134">
        <v>241529</v>
      </c>
      <c r="X10" s="134">
        <v>210208.99</v>
      </c>
      <c r="Y10" s="138">
        <v>239019</v>
      </c>
      <c r="Z10" s="134">
        <v>215909</v>
      </c>
      <c r="AA10" s="134">
        <v>217602</v>
      </c>
      <c r="AB10" s="134">
        <v>227851</v>
      </c>
      <c r="AC10" s="134">
        <v>225548.72</v>
      </c>
      <c r="AD10" s="134">
        <v>210547</v>
      </c>
      <c r="AE10" s="134">
        <v>168471</v>
      </c>
      <c r="AF10" s="134">
        <v>199366</v>
      </c>
      <c r="AG10" s="134">
        <v>235046</v>
      </c>
      <c r="AH10" s="134">
        <v>222233</v>
      </c>
      <c r="AI10" s="134">
        <v>229079</v>
      </c>
      <c r="AJ10" s="134">
        <v>237044</v>
      </c>
      <c r="AK10" s="134">
        <v>224118</v>
      </c>
      <c r="AL10" s="134">
        <v>231531</v>
      </c>
      <c r="AM10" s="134">
        <v>260967</v>
      </c>
      <c r="AN10" s="134">
        <v>263063</v>
      </c>
      <c r="AO10" s="134">
        <v>248453</v>
      </c>
      <c r="AP10" s="134">
        <v>241990</v>
      </c>
      <c r="AQ10" s="134">
        <v>226117</v>
      </c>
      <c r="AR10" s="134">
        <v>199054</v>
      </c>
      <c r="AS10" s="134">
        <v>173347</v>
      </c>
      <c r="AT10" s="134">
        <v>173180</v>
      </c>
      <c r="AU10" s="134">
        <v>181921</v>
      </c>
      <c r="AV10" s="134">
        <v>175032</v>
      </c>
      <c r="AW10" s="134">
        <v>156805</v>
      </c>
      <c r="AX10" s="134">
        <v>194797</v>
      </c>
      <c r="AY10" s="134">
        <v>198062</v>
      </c>
      <c r="AZ10" s="134">
        <v>179610</v>
      </c>
      <c r="BA10" s="134">
        <v>181997</v>
      </c>
    </row>
    <row r="11" spans="1:53" ht="17.25" customHeight="1">
      <c r="A11" s="137" t="s">
        <v>88</v>
      </c>
      <c r="B11" s="134">
        <v>5519</v>
      </c>
      <c r="C11" s="134">
        <v>1560</v>
      </c>
      <c r="D11" s="134">
        <v>0</v>
      </c>
      <c r="E11" s="134">
        <v>2866</v>
      </c>
      <c r="F11" s="134">
        <v>1644.94</v>
      </c>
      <c r="G11" s="134">
        <v>5952</v>
      </c>
      <c r="H11" s="134">
        <v>7773</v>
      </c>
      <c r="I11" s="134">
        <v>860</v>
      </c>
      <c r="J11" s="134">
        <v>3148.24</v>
      </c>
      <c r="K11" s="134">
        <v>402.88</v>
      </c>
      <c r="L11" s="134">
        <v>744</v>
      </c>
      <c r="M11" s="134">
        <v>3209.51</v>
      </c>
      <c r="N11" s="134">
        <v>2155</v>
      </c>
      <c r="O11" s="134">
        <v>1174</v>
      </c>
      <c r="P11" s="134">
        <v>4528</v>
      </c>
      <c r="Q11" s="134">
        <v>3008</v>
      </c>
      <c r="R11" s="134">
        <v>4502</v>
      </c>
      <c r="S11" s="134">
        <v>5084.33</v>
      </c>
      <c r="T11" s="134">
        <v>4803</v>
      </c>
      <c r="U11" s="138">
        <v>7486</v>
      </c>
      <c r="V11" s="134">
        <v>7713</v>
      </c>
      <c r="W11" s="134">
        <v>4087.07</v>
      </c>
      <c r="X11" s="134">
        <v>3958.07</v>
      </c>
      <c r="Y11" s="138">
        <v>5603</v>
      </c>
      <c r="Z11" s="134">
        <v>2489</v>
      </c>
      <c r="AA11" s="134">
        <v>6030.37</v>
      </c>
      <c r="AB11" s="134">
        <v>5973</v>
      </c>
      <c r="AC11" s="134">
        <v>5163.0200000000004</v>
      </c>
      <c r="AD11" s="134">
        <v>3036</v>
      </c>
      <c r="AE11" s="134">
        <v>2262</v>
      </c>
      <c r="AF11" s="134">
        <v>3384</v>
      </c>
      <c r="AG11" s="134">
        <v>8147</v>
      </c>
      <c r="AH11" s="134">
        <v>6246</v>
      </c>
      <c r="AI11" s="134">
        <v>2977</v>
      </c>
      <c r="AJ11" s="134">
        <v>1818</v>
      </c>
      <c r="AK11" s="134">
        <v>4344</v>
      </c>
      <c r="AL11" s="134">
        <v>5526</v>
      </c>
      <c r="AM11" s="134">
        <v>7518</v>
      </c>
      <c r="AN11" s="134">
        <v>2053</v>
      </c>
      <c r="AO11" s="134">
        <v>2914</v>
      </c>
      <c r="AP11" s="134">
        <v>1469</v>
      </c>
      <c r="AQ11" s="134">
        <v>3178</v>
      </c>
      <c r="AR11" s="134">
        <v>3068</v>
      </c>
      <c r="AS11" s="134">
        <v>4946</v>
      </c>
      <c r="AT11" s="134">
        <v>2545</v>
      </c>
      <c r="AU11" s="134">
        <v>2829</v>
      </c>
      <c r="AV11" s="134">
        <v>2613</v>
      </c>
      <c r="AW11" s="134">
        <v>7294</v>
      </c>
      <c r="AX11" s="134">
        <v>4754</v>
      </c>
      <c r="AY11" s="134">
        <v>4629</v>
      </c>
      <c r="AZ11" s="134">
        <v>2350</v>
      </c>
      <c r="BA11" s="134">
        <v>1939</v>
      </c>
    </row>
    <row r="12" spans="1:53" ht="17.25" customHeight="1">
      <c r="A12" s="137" t="s">
        <v>89</v>
      </c>
      <c r="B12" s="134">
        <v>0</v>
      </c>
      <c r="C12" s="134">
        <v>0</v>
      </c>
      <c r="D12" s="134">
        <v>0</v>
      </c>
      <c r="E12" s="134">
        <v>0</v>
      </c>
      <c r="F12" s="134">
        <v>1522.28</v>
      </c>
      <c r="G12" s="134">
        <v>2414</v>
      </c>
      <c r="H12" s="134">
        <v>2303</v>
      </c>
      <c r="I12" s="134">
        <v>2242</v>
      </c>
      <c r="J12" s="134">
        <v>3721.77</v>
      </c>
      <c r="K12" s="134">
        <v>6438.83</v>
      </c>
      <c r="L12" s="134">
        <v>3020</v>
      </c>
      <c r="M12" s="134">
        <v>7872.65</v>
      </c>
      <c r="N12" s="134">
        <v>5518</v>
      </c>
      <c r="O12" s="134">
        <v>0</v>
      </c>
      <c r="P12" s="134">
        <v>8729</v>
      </c>
      <c r="Q12" s="134">
        <v>1281</v>
      </c>
      <c r="R12" s="134">
        <v>3514</v>
      </c>
      <c r="S12" s="134">
        <v>2709.45</v>
      </c>
      <c r="T12" s="134">
        <v>2212</v>
      </c>
      <c r="U12" s="138">
        <v>4919</v>
      </c>
      <c r="V12" s="134">
        <v>2494</v>
      </c>
      <c r="W12" s="134">
        <v>961.88</v>
      </c>
      <c r="X12" s="134">
        <v>6928.65</v>
      </c>
      <c r="Y12" s="138">
        <v>7065</v>
      </c>
      <c r="Z12" s="134">
        <v>3375</v>
      </c>
      <c r="AA12" s="134">
        <v>8444.32</v>
      </c>
      <c r="AB12" s="134">
        <v>6236</v>
      </c>
      <c r="AC12" s="134">
        <v>11418.1</v>
      </c>
      <c r="AD12" s="134">
        <v>2562</v>
      </c>
      <c r="AE12" s="134">
        <v>3398</v>
      </c>
      <c r="AF12" s="134">
        <v>9500</v>
      </c>
      <c r="AG12" s="134">
        <v>3374</v>
      </c>
      <c r="AH12" s="134">
        <v>2291</v>
      </c>
      <c r="AI12" s="134">
        <v>1231</v>
      </c>
      <c r="AJ12" s="134">
        <v>4565</v>
      </c>
      <c r="AK12" s="134">
        <v>6284</v>
      </c>
      <c r="AL12" s="134">
        <v>263</v>
      </c>
      <c r="AM12" s="134">
        <v>659</v>
      </c>
      <c r="AN12" s="134">
        <v>3356</v>
      </c>
      <c r="AO12" s="134">
        <v>10444</v>
      </c>
      <c r="AP12" s="134">
        <v>2184</v>
      </c>
      <c r="AQ12" s="134">
        <v>3419</v>
      </c>
      <c r="AR12" s="134">
        <v>740</v>
      </c>
      <c r="AS12" s="134">
        <v>1335</v>
      </c>
      <c r="AT12" s="134">
        <v>5711</v>
      </c>
      <c r="AU12" s="134">
        <v>3962</v>
      </c>
      <c r="AV12" s="134">
        <v>4489</v>
      </c>
      <c r="AW12" s="134">
        <v>1633</v>
      </c>
      <c r="AX12" s="134">
        <v>3821</v>
      </c>
      <c r="AY12" s="134">
        <v>2195</v>
      </c>
      <c r="AZ12" s="134">
        <v>1569</v>
      </c>
      <c r="BA12" s="134">
        <v>7878</v>
      </c>
    </row>
    <row r="13" spans="1:53" ht="17.25" customHeight="1">
      <c r="A13" s="137" t="s">
        <v>90</v>
      </c>
      <c r="B13" s="134">
        <v>112296</v>
      </c>
      <c r="C13" s="134">
        <v>115965</v>
      </c>
      <c r="D13" s="134">
        <v>0</v>
      </c>
      <c r="E13" s="134">
        <v>71994</v>
      </c>
      <c r="F13" s="134">
        <v>130888.13</v>
      </c>
      <c r="G13" s="134">
        <v>132348</v>
      </c>
      <c r="H13" s="134">
        <v>81239</v>
      </c>
      <c r="I13" s="134">
        <v>80196</v>
      </c>
      <c r="J13" s="134">
        <v>99802.97</v>
      </c>
      <c r="K13" s="134">
        <v>109775.39</v>
      </c>
      <c r="L13" s="134">
        <v>127885</v>
      </c>
      <c r="M13" s="134">
        <v>98916</v>
      </c>
      <c r="N13" s="134">
        <v>112042</v>
      </c>
      <c r="O13" s="134">
        <v>126005</v>
      </c>
      <c r="P13" s="134">
        <v>91586</v>
      </c>
      <c r="Q13" s="134">
        <v>96628</v>
      </c>
      <c r="R13" s="134">
        <v>80842</v>
      </c>
      <c r="S13" s="134">
        <v>86217.75</v>
      </c>
      <c r="T13" s="134">
        <v>79425</v>
      </c>
      <c r="U13" s="138">
        <v>84396</v>
      </c>
      <c r="V13" s="134">
        <v>105026</v>
      </c>
      <c r="W13" s="134">
        <v>113941.31</v>
      </c>
      <c r="X13" s="134">
        <v>70881.33</v>
      </c>
      <c r="Y13" s="138">
        <v>67045</v>
      </c>
      <c r="Z13" s="134">
        <v>131115</v>
      </c>
      <c r="AA13" s="134">
        <v>123074</v>
      </c>
      <c r="AB13" s="134">
        <v>83775</v>
      </c>
      <c r="AC13" s="134">
        <v>83996.43</v>
      </c>
      <c r="AD13" s="134">
        <v>114189</v>
      </c>
      <c r="AE13" s="134">
        <v>77956</v>
      </c>
      <c r="AF13" s="134">
        <v>88293</v>
      </c>
      <c r="AG13" s="134">
        <v>84845</v>
      </c>
      <c r="AH13" s="134">
        <v>102299</v>
      </c>
      <c r="AI13" s="134">
        <v>87212</v>
      </c>
      <c r="AJ13" s="134">
        <v>75980</v>
      </c>
      <c r="AK13" s="134">
        <v>76806</v>
      </c>
      <c r="AL13" s="134">
        <v>84627</v>
      </c>
      <c r="AM13" s="134">
        <v>87215</v>
      </c>
      <c r="AN13" s="134">
        <v>53312</v>
      </c>
      <c r="AO13" s="134">
        <v>63205</v>
      </c>
      <c r="AP13" s="134">
        <v>94711</v>
      </c>
      <c r="AQ13" s="134">
        <v>99663</v>
      </c>
      <c r="AR13" s="134">
        <v>95856</v>
      </c>
      <c r="AS13" s="134">
        <v>64318</v>
      </c>
      <c r="AT13" s="134">
        <v>83004</v>
      </c>
      <c r="AU13" s="134">
        <v>83130</v>
      </c>
      <c r="AV13" s="134">
        <v>72915</v>
      </c>
      <c r="AW13" s="134">
        <v>62412</v>
      </c>
      <c r="AX13" s="134">
        <v>88847</v>
      </c>
      <c r="AY13" s="134">
        <v>58673</v>
      </c>
      <c r="AZ13" s="134">
        <v>54697</v>
      </c>
      <c r="BA13" s="134">
        <v>68430</v>
      </c>
    </row>
    <row r="14" spans="1:53" ht="17.25" customHeight="1">
      <c r="A14" s="137" t="s">
        <v>91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</row>
    <row r="15" spans="1:53" ht="21.75">
      <c r="A15" s="137" t="s">
        <v>92</v>
      </c>
      <c r="B15" s="134">
        <v>273155</v>
      </c>
      <c r="C15" s="134">
        <v>277238</v>
      </c>
      <c r="D15" s="134">
        <v>0</v>
      </c>
      <c r="E15" s="134">
        <v>253177</v>
      </c>
      <c r="F15" s="134">
        <v>238139.82</v>
      </c>
      <c r="G15" s="134">
        <v>220644</v>
      </c>
      <c r="H15" s="134">
        <v>224684</v>
      </c>
      <c r="I15" s="134">
        <v>256529</v>
      </c>
      <c r="J15" s="134">
        <f>ROUNDUP(274126.48,1)</f>
        <v>274126.5</v>
      </c>
      <c r="K15" s="134">
        <v>250349.04</v>
      </c>
      <c r="L15" s="134">
        <v>243780</v>
      </c>
      <c r="M15" s="134">
        <v>327000.98</v>
      </c>
      <c r="N15" s="134">
        <v>234241</v>
      </c>
      <c r="O15" s="134">
        <v>258890</v>
      </c>
      <c r="P15" s="134">
        <v>257121</v>
      </c>
      <c r="Q15" s="134">
        <v>248821</v>
      </c>
      <c r="R15" s="134">
        <v>212044</v>
      </c>
      <c r="S15" s="134">
        <v>202336.62</v>
      </c>
      <c r="T15" s="134">
        <v>208171</v>
      </c>
      <c r="U15" s="138">
        <v>219672</v>
      </c>
      <c r="V15" s="134">
        <v>201761</v>
      </c>
      <c r="W15" s="134">
        <v>206430.38</v>
      </c>
      <c r="X15" s="134">
        <v>197995.95</v>
      </c>
      <c r="Y15" s="138">
        <v>193183</v>
      </c>
      <c r="Z15" s="134">
        <v>205955</v>
      </c>
      <c r="AA15" s="134">
        <v>220137.12</v>
      </c>
      <c r="AB15" s="134">
        <v>227163</v>
      </c>
      <c r="AC15" s="134">
        <v>193978.62</v>
      </c>
      <c r="AD15" s="134">
        <v>213889</v>
      </c>
      <c r="AE15" s="134">
        <v>211764</v>
      </c>
      <c r="AF15" s="134">
        <v>200446</v>
      </c>
      <c r="AG15" s="134">
        <v>190490</v>
      </c>
      <c r="AH15" s="134">
        <v>198617</v>
      </c>
      <c r="AI15" s="134">
        <v>195788</v>
      </c>
      <c r="AJ15" s="134">
        <v>199458</v>
      </c>
      <c r="AK15" s="134">
        <v>193017</v>
      </c>
      <c r="AL15" s="134">
        <v>193625</v>
      </c>
      <c r="AM15" s="134">
        <v>165590</v>
      </c>
      <c r="AN15" s="134">
        <v>188017</v>
      </c>
      <c r="AO15" s="134">
        <v>195265</v>
      </c>
      <c r="AP15" s="134">
        <v>184921</v>
      </c>
      <c r="AQ15" s="134">
        <v>166892</v>
      </c>
      <c r="AR15" s="134">
        <v>176530</v>
      </c>
      <c r="AS15" s="134">
        <v>186871</v>
      </c>
      <c r="AT15" s="134">
        <v>181349</v>
      </c>
      <c r="AU15" s="134">
        <v>209409</v>
      </c>
      <c r="AV15" s="134">
        <v>227568</v>
      </c>
      <c r="AW15" s="134">
        <v>179328</v>
      </c>
      <c r="AX15" s="134">
        <v>192858</v>
      </c>
      <c r="AY15" s="134">
        <v>212974</v>
      </c>
      <c r="AZ15" s="134">
        <v>204464</v>
      </c>
      <c r="BA15" s="134">
        <v>195221</v>
      </c>
    </row>
    <row r="16" spans="1:53" ht="17.25" customHeight="1">
      <c r="A16" s="139" t="s">
        <v>93</v>
      </c>
      <c r="B16" s="134">
        <v>32272</v>
      </c>
      <c r="C16" s="134">
        <v>41377</v>
      </c>
      <c r="D16" s="134">
        <v>0</v>
      </c>
      <c r="E16" s="134">
        <v>19000</v>
      </c>
      <c r="F16" s="134">
        <v>28065.27</v>
      </c>
      <c r="G16" s="134">
        <v>24321</v>
      </c>
      <c r="H16" s="134">
        <v>20294</v>
      </c>
      <c r="I16" s="134">
        <v>31136</v>
      </c>
      <c r="J16" s="134">
        <v>53502.85</v>
      </c>
      <c r="K16" s="134">
        <v>25570.23</v>
      </c>
      <c r="L16" s="134">
        <v>38671</v>
      </c>
      <c r="M16" s="134">
        <v>26866</v>
      </c>
      <c r="N16" s="134">
        <v>30516</v>
      </c>
      <c r="O16" s="134">
        <v>42484</v>
      </c>
      <c r="P16" s="134">
        <v>28894</v>
      </c>
      <c r="Q16" s="134">
        <v>27182</v>
      </c>
      <c r="R16" s="134">
        <v>26663</v>
      </c>
      <c r="S16" s="134">
        <v>32318.36</v>
      </c>
      <c r="T16" s="134">
        <v>31093</v>
      </c>
      <c r="U16" s="138">
        <v>24870</v>
      </c>
      <c r="V16" s="134">
        <v>31843</v>
      </c>
      <c r="W16" s="134">
        <v>25067</v>
      </c>
      <c r="X16" s="134">
        <v>28554.33</v>
      </c>
      <c r="Y16" s="138">
        <v>21545</v>
      </c>
      <c r="Z16" s="134">
        <v>28863</v>
      </c>
      <c r="AA16" s="134">
        <v>14218.65</v>
      </c>
      <c r="AB16" s="134">
        <v>17617</v>
      </c>
      <c r="AC16" s="134">
        <v>21051.07</v>
      </c>
      <c r="AD16" s="134">
        <v>36768</v>
      </c>
      <c r="AE16" s="134">
        <v>24327</v>
      </c>
      <c r="AF16" s="134">
        <v>23494</v>
      </c>
      <c r="AG16" s="134">
        <v>25732</v>
      </c>
      <c r="AH16" s="134">
        <v>21933</v>
      </c>
      <c r="AI16" s="134">
        <v>30119</v>
      </c>
      <c r="AJ16" s="134">
        <v>18902</v>
      </c>
      <c r="AK16" s="134">
        <v>16369</v>
      </c>
      <c r="AL16" s="134">
        <v>23908</v>
      </c>
      <c r="AM16" s="134">
        <v>14889</v>
      </c>
      <c r="AN16" s="134">
        <v>14563</v>
      </c>
      <c r="AO16" s="134">
        <v>14197</v>
      </c>
      <c r="AP16" s="134">
        <v>28660</v>
      </c>
      <c r="AQ16" s="134">
        <v>15359</v>
      </c>
      <c r="AR16" s="134">
        <v>12653</v>
      </c>
      <c r="AS16" s="134">
        <v>24635</v>
      </c>
      <c r="AT16" s="134">
        <v>26989</v>
      </c>
      <c r="AU16" s="134">
        <v>21644</v>
      </c>
      <c r="AV16" s="134">
        <v>21649</v>
      </c>
      <c r="AW16" s="134">
        <v>21053</v>
      </c>
      <c r="AX16" s="134">
        <v>33800</v>
      </c>
      <c r="AY16" s="134">
        <v>22382</v>
      </c>
      <c r="AZ16" s="134">
        <v>24373</v>
      </c>
      <c r="BA16" s="134">
        <v>21543</v>
      </c>
    </row>
    <row r="17" spans="1:53" ht="16.5" customHeight="1">
      <c r="A17" s="140" t="s">
        <v>94</v>
      </c>
      <c r="B17" s="134">
        <v>128690</v>
      </c>
      <c r="C17" s="134">
        <v>94450</v>
      </c>
      <c r="D17" s="134">
        <v>0</v>
      </c>
      <c r="E17" s="134">
        <v>67178</v>
      </c>
      <c r="F17" s="134">
        <v>99094.75</v>
      </c>
      <c r="G17" s="134">
        <v>105118</v>
      </c>
      <c r="H17" s="134">
        <v>75818</v>
      </c>
      <c r="I17" s="134">
        <v>82073</v>
      </c>
      <c r="J17" s="134">
        <v>86488.34</v>
      </c>
      <c r="K17" s="134">
        <v>66934.600000000006</v>
      </c>
      <c r="L17" s="134">
        <v>87114</v>
      </c>
      <c r="M17" s="134">
        <v>106909.98</v>
      </c>
      <c r="N17" s="134">
        <v>98817</v>
      </c>
      <c r="O17" s="134">
        <v>102365</v>
      </c>
      <c r="P17" s="134">
        <v>60884</v>
      </c>
      <c r="Q17" s="134">
        <v>78875</v>
      </c>
      <c r="R17" s="134">
        <v>97840</v>
      </c>
      <c r="S17" s="134">
        <v>95179.11</v>
      </c>
      <c r="T17" s="134">
        <v>77857</v>
      </c>
      <c r="U17" s="138">
        <v>98982</v>
      </c>
      <c r="V17" s="134">
        <v>91196</v>
      </c>
      <c r="W17" s="134">
        <v>88211.69</v>
      </c>
      <c r="X17" s="134">
        <v>88359</v>
      </c>
      <c r="Y17" s="138">
        <v>104845</v>
      </c>
      <c r="Z17" s="134">
        <v>71599</v>
      </c>
      <c r="AA17" s="134">
        <v>74751</v>
      </c>
      <c r="AB17" s="134">
        <v>104531</v>
      </c>
      <c r="AC17" s="134">
        <v>108462.72</v>
      </c>
      <c r="AD17" s="134">
        <v>75162</v>
      </c>
      <c r="AE17" s="134">
        <v>90107</v>
      </c>
      <c r="AF17" s="134">
        <v>96207</v>
      </c>
      <c r="AG17" s="134">
        <v>80775</v>
      </c>
      <c r="AH17" s="134">
        <v>76177</v>
      </c>
      <c r="AI17" s="134">
        <v>68559</v>
      </c>
      <c r="AJ17" s="134">
        <v>74960</v>
      </c>
      <c r="AK17" s="134">
        <v>77296</v>
      </c>
      <c r="AL17" s="134">
        <v>94207</v>
      </c>
      <c r="AM17" s="134">
        <v>115453</v>
      </c>
      <c r="AN17" s="134">
        <v>79797</v>
      </c>
      <c r="AO17" s="134">
        <v>76193</v>
      </c>
      <c r="AP17" s="134">
        <v>73734</v>
      </c>
      <c r="AQ17" s="134">
        <v>69884</v>
      </c>
      <c r="AR17" s="134">
        <v>74928</v>
      </c>
      <c r="AS17" s="134">
        <v>97535</v>
      </c>
      <c r="AT17" s="134">
        <v>81622</v>
      </c>
      <c r="AU17" s="134">
        <v>69187</v>
      </c>
      <c r="AV17" s="134">
        <v>55728</v>
      </c>
      <c r="AW17" s="134">
        <v>68429</v>
      </c>
      <c r="AX17" s="134">
        <v>63827</v>
      </c>
      <c r="AY17" s="134">
        <v>76162</v>
      </c>
      <c r="AZ17" s="134">
        <v>89817</v>
      </c>
      <c r="BA17" s="134">
        <v>66689</v>
      </c>
    </row>
    <row r="18" spans="1:53" ht="16.5" customHeight="1">
      <c r="A18" s="140" t="s">
        <v>95</v>
      </c>
      <c r="B18" s="134">
        <v>0</v>
      </c>
      <c r="C18" s="134">
        <v>0</v>
      </c>
      <c r="D18" s="134">
        <v>0</v>
      </c>
      <c r="E18" s="134">
        <v>0</v>
      </c>
      <c r="F18" s="134">
        <v>2828.43</v>
      </c>
      <c r="G18" s="134">
        <v>3376</v>
      </c>
      <c r="H18" s="134">
        <v>1632</v>
      </c>
      <c r="I18" s="134">
        <v>2594</v>
      </c>
      <c r="J18" s="134">
        <v>15048.66</v>
      </c>
      <c r="K18" s="134">
        <v>2722.97</v>
      </c>
      <c r="L18" s="134">
        <v>3393</v>
      </c>
      <c r="M18" s="134">
        <v>5065</v>
      </c>
      <c r="N18" s="134">
        <v>25800</v>
      </c>
      <c r="O18" s="134">
        <v>9278</v>
      </c>
      <c r="P18" s="134">
        <v>4551</v>
      </c>
      <c r="Q18" s="134">
        <v>9929</v>
      </c>
      <c r="R18" s="134">
        <v>2985</v>
      </c>
      <c r="S18" s="134">
        <v>3782.95</v>
      </c>
      <c r="T18" s="134">
        <v>5680</v>
      </c>
      <c r="U18" s="138">
        <v>6113</v>
      </c>
      <c r="V18" s="134">
        <v>5466</v>
      </c>
      <c r="W18" s="134">
        <v>5983.87</v>
      </c>
      <c r="X18" s="134">
        <v>288.54000000000002</v>
      </c>
      <c r="Y18" s="138">
        <v>2108</v>
      </c>
      <c r="Z18" s="134">
        <v>4305</v>
      </c>
      <c r="AA18" s="134">
        <v>3411</v>
      </c>
      <c r="AB18" s="134">
        <v>4868</v>
      </c>
      <c r="AC18" s="134">
        <v>1666.95</v>
      </c>
      <c r="AD18" s="134">
        <v>3544</v>
      </c>
      <c r="AE18" s="134">
        <v>1331</v>
      </c>
      <c r="AF18" s="134">
        <v>2299</v>
      </c>
      <c r="AG18" s="134">
        <v>3166</v>
      </c>
      <c r="AH18" s="134">
        <v>3820</v>
      </c>
      <c r="AI18" s="134">
        <v>3580</v>
      </c>
      <c r="AJ18" s="134">
        <v>5041</v>
      </c>
      <c r="AK18" s="134">
        <v>4698</v>
      </c>
      <c r="AL18" s="134">
        <v>3793</v>
      </c>
      <c r="AM18" s="134">
        <v>211</v>
      </c>
      <c r="AN18" s="134">
        <v>3876</v>
      </c>
      <c r="AO18" s="134">
        <v>3473</v>
      </c>
      <c r="AP18" s="134">
        <v>1058</v>
      </c>
      <c r="AQ18" s="134">
        <v>1379</v>
      </c>
      <c r="AR18" s="134">
        <v>1106</v>
      </c>
      <c r="AS18" s="134">
        <v>0</v>
      </c>
      <c r="AT18" s="134">
        <v>1121</v>
      </c>
      <c r="AU18" s="134">
        <v>727</v>
      </c>
      <c r="AV18" s="134">
        <v>2646</v>
      </c>
      <c r="AW18" s="134">
        <v>3689</v>
      </c>
      <c r="AX18" s="134">
        <v>571</v>
      </c>
      <c r="AY18" s="134">
        <v>1953</v>
      </c>
      <c r="AZ18" s="134">
        <v>312</v>
      </c>
      <c r="BA18" s="134">
        <v>1318</v>
      </c>
    </row>
    <row r="19" spans="1:53" ht="16.5" customHeight="1">
      <c r="A19" s="140" t="s">
        <v>96</v>
      </c>
      <c r="B19" s="134">
        <v>13055</v>
      </c>
      <c r="C19" s="134">
        <v>8059</v>
      </c>
      <c r="D19" s="134">
        <v>0</v>
      </c>
      <c r="E19" s="134">
        <v>12261</v>
      </c>
      <c r="F19" s="134">
        <v>14126.95</v>
      </c>
      <c r="G19" s="134">
        <v>10523</v>
      </c>
      <c r="H19" s="134">
        <v>16889</v>
      </c>
      <c r="I19" s="134">
        <v>7198</v>
      </c>
      <c r="J19" s="134">
        <v>8723.39</v>
      </c>
      <c r="K19" s="134">
        <v>12104.99</v>
      </c>
      <c r="L19" s="134">
        <v>12075</v>
      </c>
      <c r="M19" s="134">
        <v>7670.88</v>
      </c>
      <c r="N19" s="134">
        <v>14900</v>
      </c>
      <c r="O19" s="134">
        <v>12244</v>
      </c>
      <c r="P19" s="134">
        <v>13197</v>
      </c>
      <c r="Q19" s="134">
        <v>15417</v>
      </c>
      <c r="R19" s="134">
        <v>16048</v>
      </c>
      <c r="S19" s="134">
        <v>20261.03</v>
      </c>
      <c r="T19" s="134">
        <v>5535</v>
      </c>
      <c r="U19" s="138">
        <v>7084</v>
      </c>
      <c r="V19" s="134">
        <v>8922</v>
      </c>
      <c r="W19" s="134">
        <v>14383.94</v>
      </c>
      <c r="X19" s="134">
        <v>14977.92</v>
      </c>
      <c r="Y19" s="138">
        <v>10220</v>
      </c>
      <c r="Z19" s="134">
        <v>11125</v>
      </c>
      <c r="AA19" s="134">
        <v>21084.5</v>
      </c>
      <c r="AB19" s="134">
        <v>17881</v>
      </c>
      <c r="AC19" s="134">
        <v>11518.82</v>
      </c>
      <c r="AD19" s="134">
        <v>8599</v>
      </c>
      <c r="AE19" s="134">
        <v>8784</v>
      </c>
      <c r="AF19" s="134">
        <v>13538</v>
      </c>
      <c r="AG19" s="134">
        <v>11207</v>
      </c>
      <c r="AH19" s="134">
        <v>9416</v>
      </c>
      <c r="AI19" s="134">
        <v>9538</v>
      </c>
      <c r="AJ19" s="134">
        <v>8828</v>
      </c>
      <c r="AK19" s="134">
        <v>8598</v>
      </c>
      <c r="AL19" s="134">
        <v>11787</v>
      </c>
      <c r="AM19" s="134">
        <v>13337</v>
      </c>
      <c r="AN19" s="134">
        <v>11466</v>
      </c>
      <c r="AO19" s="134">
        <v>8360</v>
      </c>
      <c r="AP19" s="134">
        <v>8956</v>
      </c>
      <c r="AQ19" s="134">
        <v>6011</v>
      </c>
      <c r="AR19" s="134">
        <v>10628</v>
      </c>
      <c r="AS19" s="134">
        <v>6587</v>
      </c>
      <c r="AT19" s="134">
        <v>18280</v>
      </c>
      <c r="AU19" s="134">
        <v>11613</v>
      </c>
      <c r="AV19" s="134">
        <v>5301</v>
      </c>
      <c r="AW19" s="134">
        <v>11187</v>
      </c>
      <c r="AX19" s="134">
        <v>10268</v>
      </c>
      <c r="AY19" s="134">
        <v>9633</v>
      </c>
      <c r="AZ19" s="134">
        <v>9366</v>
      </c>
      <c r="BA19" s="134">
        <v>17277</v>
      </c>
    </row>
    <row r="20" spans="1:53" ht="16.5" customHeight="1">
      <c r="A20" s="141" t="s">
        <v>97</v>
      </c>
      <c r="B20" s="134">
        <v>15219</v>
      </c>
      <c r="C20" s="134">
        <v>20517</v>
      </c>
      <c r="D20" s="134">
        <v>0</v>
      </c>
      <c r="E20" s="134">
        <v>29273</v>
      </c>
      <c r="F20" s="134">
        <v>1327.64</v>
      </c>
      <c r="G20" s="134">
        <v>2003</v>
      </c>
      <c r="H20" s="134">
        <v>1221</v>
      </c>
      <c r="I20" s="134">
        <v>1158</v>
      </c>
      <c r="J20" s="134">
        <v>1676.2</v>
      </c>
      <c r="K20" s="134">
        <v>2208.16</v>
      </c>
      <c r="L20" s="134">
        <v>3342</v>
      </c>
      <c r="M20" s="134">
        <v>3082.57</v>
      </c>
      <c r="N20" s="134">
        <v>4166</v>
      </c>
      <c r="O20" s="134">
        <v>2196</v>
      </c>
      <c r="P20" s="134">
        <v>6080</v>
      </c>
      <c r="Q20" s="134">
        <v>5178</v>
      </c>
      <c r="R20" s="134">
        <v>1896</v>
      </c>
      <c r="S20" s="134">
        <v>8274.9599999999991</v>
      </c>
      <c r="T20" s="134">
        <v>5794</v>
      </c>
      <c r="U20" s="138">
        <v>4030</v>
      </c>
      <c r="V20" s="134">
        <v>3294</v>
      </c>
      <c r="W20" s="134">
        <v>3575.52</v>
      </c>
      <c r="X20" s="134">
        <v>888.45</v>
      </c>
      <c r="Y20" s="138">
        <v>789</v>
      </c>
      <c r="Z20" s="134">
        <v>2791</v>
      </c>
      <c r="AA20" s="134">
        <v>2995.1</v>
      </c>
      <c r="AB20" s="134">
        <v>1106</v>
      </c>
      <c r="AC20" s="134">
        <v>3913.69</v>
      </c>
      <c r="AD20" s="134">
        <v>1816</v>
      </c>
      <c r="AE20" s="134">
        <v>7103</v>
      </c>
      <c r="AF20" s="134">
        <v>5013</v>
      </c>
      <c r="AG20" s="134">
        <v>7695</v>
      </c>
      <c r="AH20" s="134">
        <v>1651</v>
      </c>
      <c r="AI20" s="134">
        <v>3164</v>
      </c>
      <c r="AJ20" s="134">
        <v>590</v>
      </c>
      <c r="AK20" s="134">
        <v>1110</v>
      </c>
      <c r="AL20" s="134">
        <v>1477</v>
      </c>
      <c r="AM20" s="134">
        <v>3891</v>
      </c>
      <c r="AN20" s="134">
        <v>2495</v>
      </c>
      <c r="AO20" s="134">
        <v>3324</v>
      </c>
      <c r="AP20" s="134">
        <v>6473</v>
      </c>
      <c r="AQ20" s="134">
        <v>6824</v>
      </c>
      <c r="AR20" s="134">
        <v>9078</v>
      </c>
      <c r="AS20" s="134">
        <v>10251</v>
      </c>
      <c r="AT20" s="134">
        <v>5515</v>
      </c>
      <c r="AU20" s="134">
        <v>6351</v>
      </c>
      <c r="AV20" s="134">
        <v>2802</v>
      </c>
      <c r="AW20" s="134">
        <v>5568</v>
      </c>
      <c r="AX20" s="134">
        <v>1483</v>
      </c>
      <c r="AY20" s="134">
        <v>3279</v>
      </c>
      <c r="AZ20" s="134">
        <v>1306</v>
      </c>
      <c r="BA20" s="134">
        <v>644</v>
      </c>
    </row>
    <row r="21" spans="1:53" ht="16.5" customHeight="1">
      <c r="A21" s="141" t="s">
        <v>98</v>
      </c>
      <c r="B21" s="134">
        <v>0</v>
      </c>
      <c r="C21" s="134">
        <v>0</v>
      </c>
      <c r="D21" s="134">
        <v>0</v>
      </c>
      <c r="E21" s="134">
        <v>0</v>
      </c>
      <c r="F21" s="134">
        <v>9874.0300000000007</v>
      </c>
      <c r="G21" s="134">
        <v>2624</v>
      </c>
      <c r="H21" s="134">
        <v>2266</v>
      </c>
      <c r="I21" s="134">
        <v>5003</v>
      </c>
      <c r="J21" s="134">
        <v>3498.42</v>
      </c>
      <c r="K21" s="134">
        <v>1738.45</v>
      </c>
      <c r="L21" s="134">
        <v>1870</v>
      </c>
      <c r="M21" s="134">
        <v>1476.69</v>
      </c>
      <c r="N21" s="134">
        <v>7064</v>
      </c>
      <c r="O21" s="134">
        <v>3719</v>
      </c>
      <c r="P21" s="134">
        <v>2954</v>
      </c>
      <c r="Q21" s="134">
        <v>4846</v>
      </c>
      <c r="R21" s="134">
        <v>5514</v>
      </c>
      <c r="S21" s="134">
        <v>3176.88</v>
      </c>
      <c r="T21" s="134">
        <v>2340</v>
      </c>
      <c r="U21" s="138">
        <v>5516</v>
      </c>
      <c r="V21" s="134">
        <v>4830</v>
      </c>
      <c r="W21" s="134">
        <v>6149.93</v>
      </c>
      <c r="X21" s="134">
        <v>6316.67</v>
      </c>
      <c r="Y21" s="138">
        <v>8207</v>
      </c>
      <c r="Z21" s="134">
        <v>7645</v>
      </c>
      <c r="AA21" s="134">
        <v>4039.93</v>
      </c>
      <c r="AB21" s="134">
        <v>3192</v>
      </c>
      <c r="AC21" s="134">
        <v>3026.08</v>
      </c>
      <c r="AD21" s="134">
        <v>4375</v>
      </c>
      <c r="AE21" s="134">
        <v>4378</v>
      </c>
      <c r="AF21" s="134">
        <v>1725</v>
      </c>
      <c r="AG21" s="134">
        <v>3825</v>
      </c>
      <c r="AH21" s="134">
        <v>1933</v>
      </c>
      <c r="AI21" s="134">
        <v>2584</v>
      </c>
      <c r="AJ21" s="134">
        <v>5909</v>
      </c>
      <c r="AK21" s="134">
        <v>8026</v>
      </c>
      <c r="AL21" s="134">
        <v>9091</v>
      </c>
      <c r="AM21" s="134">
        <v>3485</v>
      </c>
      <c r="AN21" s="134">
        <v>2056</v>
      </c>
      <c r="AO21" s="134">
        <v>3514</v>
      </c>
      <c r="AP21" s="134">
        <v>7748</v>
      </c>
      <c r="AQ21" s="134">
        <v>2704</v>
      </c>
      <c r="AR21" s="134">
        <v>5664</v>
      </c>
      <c r="AS21" s="134">
        <v>8856</v>
      </c>
      <c r="AT21" s="134">
        <v>4467</v>
      </c>
      <c r="AU21" s="134">
        <v>2462</v>
      </c>
      <c r="AV21" s="134">
        <v>6690</v>
      </c>
      <c r="AW21" s="134">
        <v>6245</v>
      </c>
      <c r="AX21" s="134">
        <v>6870</v>
      </c>
      <c r="AY21" s="134">
        <v>6092</v>
      </c>
      <c r="AZ21" s="134">
        <v>2037</v>
      </c>
      <c r="BA21" s="134">
        <v>6569</v>
      </c>
    </row>
    <row r="22" spans="1:53" ht="16.5" customHeight="1">
      <c r="A22" s="141" t="s">
        <v>99</v>
      </c>
      <c r="B22" s="134">
        <v>0</v>
      </c>
      <c r="C22" s="134">
        <v>0</v>
      </c>
      <c r="D22" s="134">
        <v>0</v>
      </c>
      <c r="E22" s="134">
        <v>0</v>
      </c>
      <c r="F22" s="134">
        <v>12213.21</v>
      </c>
      <c r="G22" s="134">
        <v>12725</v>
      </c>
      <c r="H22" s="134">
        <v>21821</v>
      </c>
      <c r="I22" s="134">
        <v>10482</v>
      </c>
      <c r="J22" s="134">
        <v>5627.67</v>
      </c>
      <c r="K22" s="134">
        <v>6331.73</v>
      </c>
      <c r="L22" s="134">
        <v>4694</v>
      </c>
      <c r="M22" s="134">
        <v>9031</v>
      </c>
      <c r="N22" s="134">
        <v>7613</v>
      </c>
      <c r="O22" s="134">
        <v>9019</v>
      </c>
      <c r="P22" s="134">
        <v>8096</v>
      </c>
      <c r="Q22" s="134">
        <v>5905</v>
      </c>
      <c r="R22" s="134">
        <v>9249</v>
      </c>
      <c r="S22" s="134">
        <v>9429.93</v>
      </c>
      <c r="T22" s="134">
        <v>9144</v>
      </c>
      <c r="U22" s="138">
        <v>3465</v>
      </c>
      <c r="V22" s="134">
        <v>2548</v>
      </c>
      <c r="W22" s="134">
        <v>4103.05</v>
      </c>
      <c r="X22" s="134">
        <v>2569.83</v>
      </c>
      <c r="Y22" s="138">
        <v>6019</v>
      </c>
      <c r="Z22" s="134">
        <v>10399</v>
      </c>
      <c r="AA22" s="135">
        <v>4149</v>
      </c>
      <c r="AB22" s="135">
        <v>9205</v>
      </c>
      <c r="AC22" s="134">
        <v>10881.75</v>
      </c>
      <c r="AD22" s="134">
        <v>12737</v>
      </c>
      <c r="AE22" s="135">
        <v>11102</v>
      </c>
      <c r="AF22" s="135">
        <v>13958</v>
      </c>
      <c r="AG22" s="134">
        <v>5450</v>
      </c>
      <c r="AH22" s="134">
        <v>7070</v>
      </c>
      <c r="AI22" s="135">
        <v>9769</v>
      </c>
      <c r="AJ22" s="135">
        <v>3962</v>
      </c>
      <c r="AK22" s="134">
        <v>11005</v>
      </c>
      <c r="AL22" s="134">
        <v>3971</v>
      </c>
      <c r="AM22" s="134">
        <v>6831</v>
      </c>
      <c r="AN22" s="134">
        <v>2067</v>
      </c>
      <c r="AO22" s="134">
        <v>4014</v>
      </c>
      <c r="AP22" s="134">
        <v>7363</v>
      </c>
      <c r="AQ22" s="134">
        <v>5249</v>
      </c>
      <c r="AR22" s="134">
        <v>9409</v>
      </c>
      <c r="AS22" s="134">
        <v>11439</v>
      </c>
      <c r="AT22" s="134">
        <v>8085</v>
      </c>
      <c r="AU22" s="134">
        <v>4856</v>
      </c>
      <c r="AV22" s="134">
        <v>5442</v>
      </c>
      <c r="AW22" s="134">
        <v>7446</v>
      </c>
      <c r="AX22" s="134">
        <v>11049</v>
      </c>
      <c r="AY22" s="134">
        <v>15361</v>
      </c>
      <c r="AZ22" s="134">
        <v>9473</v>
      </c>
      <c r="BA22" s="134">
        <v>7601</v>
      </c>
    </row>
    <row r="23" spans="1:53" ht="16.5" customHeight="1">
      <c r="A23" s="141" t="s">
        <v>100</v>
      </c>
      <c r="B23" s="135"/>
      <c r="C23" s="135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4"/>
      <c r="AM23" s="134"/>
      <c r="AN23" s="134"/>
      <c r="AO23" s="134"/>
    </row>
    <row r="24" spans="1:53" ht="16.5" customHeight="1">
      <c r="A24" s="141" t="s">
        <v>101</v>
      </c>
      <c r="B24" s="134">
        <v>61377</v>
      </c>
      <c r="C24" s="134">
        <v>53263</v>
      </c>
      <c r="D24" s="134">
        <v>0</v>
      </c>
      <c r="E24" s="134">
        <v>65207</v>
      </c>
      <c r="F24" s="134">
        <v>58616.19</v>
      </c>
      <c r="G24" s="135">
        <v>57081</v>
      </c>
      <c r="H24" s="134">
        <v>57587</v>
      </c>
      <c r="I24" s="135">
        <v>74779</v>
      </c>
      <c r="J24" s="134">
        <v>76852.84</v>
      </c>
      <c r="K24" s="135">
        <v>76037.64</v>
      </c>
      <c r="L24" s="135">
        <v>86949</v>
      </c>
      <c r="M24" s="135">
        <v>96448.8</v>
      </c>
      <c r="N24" s="135">
        <v>67118</v>
      </c>
      <c r="O24" s="135">
        <v>65358</v>
      </c>
      <c r="P24" s="135">
        <v>78794</v>
      </c>
      <c r="Q24" s="135">
        <v>63134</v>
      </c>
      <c r="R24" s="135">
        <v>66856</v>
      </c>
      <c r="S24" s="135">
        <v>63145.79</v>
      </c>
      <c r="T24" s="135">
        <v>56134</v>
      </c>
      <c r="U24" s="138">
        <v>66390</v>
      </c>
      <c r="V24" s="135">
        <v>64352</v>
      </c>
      <c r="W24" s="135">
        <v>54966</v>
      </c>
      <c r="X24" s="135">
        <v>50596</v>
      </c>
      <c r="Y24" s="138">
        <v>51770</v>
      </c>
      <c r="Z24" s="135">
        <v>51588</v>
      </c>
      <c r="AA24" s="135">
        <v>47521.83</v>
      </c>
      <c r="AB24" s="135">
        <v>46935</v>
      </c>
      <c r="AC24" s="135">
        <v>49001.08</v>
      </c>
      <c r="AD24" s="135">
        <v>53958</v>
      </c>
      <c r="AE24" s="135">
        <v>65956</v>
      </c>
      <c r="AF24" s="135">
        <v>58832</v>
      </c>
      <c r="AG24" s="135">
        <v>43022</v>
      </c>
      <c r="AH24" s="135">
        <v>39154</v>
      </c>
      <c r="AI24" s="135">
        <v>43774</v>
      </c>
      <c r="AJ24" s="135">
        <v>41723</v>
      </c>
      <c r="AK24" s="135">
        <v>43125</v>
      </c>
      <c r="AL24" s="134">
        <v>35526</v>
      </c>
      <c r="AM24" s="135">
        <v>50135</v>
      </c>
      <c r="AN24" s="135">
        <v>60283</v>
      </c>
      <c r="AO24" s="134">
        <v>44097</v>
      </c>
      <c r="AP24" s="134">
        <v>41341</v>
      </c>
      <c r="AQ24" s="134">
        <v>50853</v>
      </c>
      <c r="AR24" s="134">
        <v>54279</v>
      </c>
      <c r="AS24" s="134">
        <v>45679</v>
      </c>
      <c r="AT24" s="134">
        <v>55014</v>
      </c>
      <c r="AU24" s="134">
        <v>68686</v>
      </c>
      <c r="AV24" s="134">
        <v>64051</v>
      </c>
      <c r="AW24" s="134">
        <v>31923</v>
      </c>
      <c r="AX24" s="134">
        <v>55443</v>
      </c>
      <c r="AY24" s="134">
        <v>49574</v>
      </c>
      <c r="AZ24" s="134">
        <v>40063</v>
      </c>
      <c r="BA24" s="134">
        <v>44438</v>
      </c>
    </row>
    <row r="25" spans="1:53" ht="16.5" customHeight="1">
      <c r="A25" s="141" t="s">
        <v>102</v>
      </c>
      <c r="B25" s="134">
        <v>54757</v>
      </c>
      <c r="C25" s="134">
        <v>53139</v>
      </c>
      <c r="D25" s="134">
        <v>0</v>
      </c>
      <c r="E25" s="134">
        <v>37450</v>
      </c>
      <c r="F25" s="134">
        <v>66201.350000000006</v>
      </c>
      <c r="G25" s="135">
        <v>63735</v>
      </c>
      <c r="H25" s="134">
        <v>55520</v>
      </c>
      <c r="I25" s="135">
        <v>38580</v>
      </c>
      <c r="J25" s="134">
        <v>54444.39</v>
      </c>
      <c r="K25" s="135">
        <v>49571.11</v>
      </c>
      <c r="L25" s="135">
        <v>50057</v>
      </c>
      <c r="M25" s="135">
        <v>42904.93</v>
      </c>
      <c r="N25" s="135">
        <v>36388</v>
      </c>
      <c r="O25" s="135">
        <v>38268</v>
      </c>
      <c r="P25" s="135">
        <v>49544</v>
      </c>
      <c r="Q25" s="135">
        <v>43031</v>
      </c>
      <c r="R25" s="135">
        <v>29206</v>
      </c>
      <c r="S25" s="135">
        <v>32902.49</v>
      </c>
      <c r="T25" s="135">
        <v>44575</v>
      </c>
      <c r="U25" s="138">
        <v>33356</v>
      </c>
      <c r="V25" s="135">
        <v>34406</v>
      </c>
      <c r="W25" s="135">
        <v>20985.09</v>
      </c>
      <c r="X25" s="135">
        <v>29960.07</v>
      </c>
      <c r="Y25" s="138">
        <v>40132</v>
      </c>
      <c r="Z25" s="135">
        <v>45011</v>
      </c>
      <c r="AA25" s="135">
        <v>28487.31</v>
      </c>
      <c r="AB25" s="135">
        <v>33122</v>
      </c>
      <c r="AC25" s="135">
        <v>39705.65</v>
      </c>
      <c r="AD25" s="135">
        <v>49959</v>
      </c>
      <c r="AE25" s="135">
        <v>48348</v>
      </c>
      <c r="AF25" s="135">
        <v>36540</v>
      </c>
      <c r="AG25" s="135">
        <v>37324</v>
      </c>
      <c r="AH25" s="135">
        <v>39800</v>
      </c>
      <c r="AI25" s="135">
        <v>41427</v>
      </c>
      <c r="AJ25" s="135">
        <v>36903</v>
      </c>
      <c r="AK25" s="135">
        <v>32084</v>
      </c>
      <c r="AL25" s="135">
        <v>43355</v>
      </c>
      <c r="AM25" s="135">
        <v>39741</v>
      </c>
      <c r="AN25" s="135">
        <v>51483</v>
      </c>
      <c r="AO25" s="135">
        <v>38459</v>
      </c>
      <c r="AP25" s="134">
        <v>40329</v>
      </c>
      <c r="AQ25" s="135">
        <v>30343</v>
      </c>
      <c r="AR25" s="135">
        <v>43327</v>
      </c>
      <c r="AS25" s="134">
        <v>44235</v>
      </c>
      <c r="AT25" s="134">
        <v>28471</v>
      </c>
      <c r="AU25" s="135">
        <v>28544</v>
      </c>
      <c r="AV25" s="135">
        <v>32885</v>
      </c>
      <c r="AW25" s="134">
        <v>20943</v>
      </c>
      <c r="AX25" s="134">
        <v>36041</v>
      </c>
      <c r="AY25" s="135">
        <v>39061</v>
      </c>
      <c r="AZ25" s="135">
        <v>41426</v>
      </c>
      <c r="BA25" s="134">
        <v>27985</v>
      </c>
    </row>
    <row r="26" spans="1:53" ht="16.5" customHeight="1">
      <c r="A26" s="141" t="s">
        <v>103</v>
      </c>
      <c r="B26" s="134">
        <v>31581</v>
      </c>
      <c r="C26" s="134">
        <v>26379</v>
      </c>
      <c r="D26" s="134">
        <v>0</v>
      </c>
      <c r="E26" s="134">
        <v>31603</v>
      </c>
      <c r="F26" s="134">
        <v>18778.52</v>
      </c>
      <c r="G26" s="135">
        <v>24929</v>
      </c>
      <c r="H26" s="134">
        <v>41296</v>
      </c>
      <c r="I26" s="135">
        <v>25672</v>
      </c>
      <c r="J26" s="134">
        <v>25979.86</v>
      </c>
      <c r="K26" s="135">
        <v>32646.25</v>
      </c>
      <c r="L26" s="135">
        <v>23184</v>
      </c>
      <c r="M26" s="135">
        <v>24499</v>
      </c>
      <c r="N26" s="135">
        <v>24344</v>
      </c>
      <c r="O26" s="135">
        <v>41276</v>
      </c>
      <c r="P26" s="135">
        <v>37222</v>
      </c>
      <c r="Q26" s="135">
        <v>22796</v>
      </c>
      <c r="R26" s="135">
        <v>26582</v>
      </c>
      <c r="S26" s="135">
        <v>23267.360000000001</v>
      </c>
      <c r="T26" s="135">
        <v>23219</v>
      </c>
      <c r="U26" s="138">
        <v>26327</v>
      </c>
      <c r="V26" s="135">
        <v>19441</v>
      </c>
      <c r="W26" s="135">
        <v>18310.310000000001</v>
      </c>
      <c r="X26" s="135">
        <v>22773.7</v>
      </c>
      <c r="Y26" s="138">
        <v>22695</v>
      </c>
      <c r="Z26" s="135">
        <v>17243</v>
      </c>
      <c r="AA26" s="135">
        <v>17309.689999999999</v>
      </c>
      <c r="AB26" s="135">
        <v>14889</v>
      </c>
      <c r="AC26" s="135">
        <v>14081.86</v>
      </c>
      <c r="AD26" s="135">
        <v>18248</v>
      </c>
      <c r="AE26" s="135">
        <v>19390</v>
      </c>
      <c r="AF26" s="135">
        <v>21529</v>
      </c>
      <c r="AG26" s="135">
        <v>25793</v>
      </c>
      <c r="AH26" s="135">
        <v>10539</v>
      </c>
      <c r="AI26" s="135">
        <v>21127</v>
      </c>
      <c r="AJ26" s="135">
        <v>22511</v>
      </c>
      <c r="AK26" s="135">
        <v>13608</v>
      </c>
      <c r="AL26" s="135">
        <v>20071</v>
      </c>
      <c r="AM26" s="135">
        <v>17743</v>
      </c>
      <c r="AN26" s="135">
        <v>15606</v>
      </c>
      <c r="AO26" s="135">
        <v>13830</v>
      </c>
      <c r="AP26" s="135">
        <v>14331</v>
      </c>
      <c r="AQ26" s="135">
        <v>12350</v>
      </c>
      <c r="AR26" s="135">
        <v>14462</v>
      </c>
      <c r="AS26" s="135">
        <v>13764</v>
      </c>
      <c r="AT26" s="135">
        <v>16760</v>
      </c>
      <c r="AU26" s="135">
        <v>23627</v>
      </c>
      <c r="AV26" s="135">
        <v>22301</v>
      </c>
      <c r="AW26" s="135">
        <v>18936</v>
      </c>
      <c r="AX26" s="135">
        <v>34312</v>
      </c>
      <c r="AY26" s="135">
        <v>40691</v>
      </c>
      <c r="AZ26" s="135">
        <v>41953</v>
      </c>
      <c r="BA26" s="135">
        <v>42263</v>
      </c>
    </row>
    <row r="27" spans="1:53" ht="16.5" customHeight="1">
      <c r="A27" s="140" t="s">
        <v>104</v>
      </c>
      <c r="B27" s="134">
        <v>0</v>
      </c>
      <c r="C27" s="134">
        <v>0</v>
      </c>
      <c r="D27" s="134">
        <v>0</v>
      </c>
      <c r="E27" s="134">
        <v>0</v>
      </c>
      <c r="F27" s="134">
        <v>6875.58</v>
      </c>
      <c r="G27" s="135">
        <v>6502</v>
      </c>
      <c r="H27" s="134">
        <v>7483</v>
      </c>
      <c r="I27" s="135">
        <v>4991</v>
      </c>
      <c r="J27" s="134">
        <f>ROUNDUP(9570.44,1)</f>
        <v>9570.5</v>
      </c>
      <c r="K27" s="135">
        <v>9633.56</v>
      </c>
      <c r="L27" s="135">
        <v>4218</v>
      </c>
      <c r="M27" s="135">
        <v>11684.02</v>
      </c>
      <c r="N27" s="135">
        <v>15391</v>
      </c>
      <c r="O27" s="135">
        <v>6763</v>
      </c>
      <c r="P27" s="135">
        <v>11379</v>
      </c>
      <c r="Q27" s="135">
        <v>13451</v>
      </c>
      <c r="R27" s="135">
        <v>10315</v>
      </c>
      <c r="S27" s="135">
        <v>2518.52</v>
      </c>
      <c r="T27" s="135">
        <v>4756</v>
      </c>
      <c r="U27" s="138">
        <v>2799</v>
      </c>
      <c r="V27" s="135">
        <v>6032</v>
      </c>
      <c r="W27" s="135">
        <v>7320.66</v>
      </c>
      <c r="X27" s="135">
        <v>15213.44</v>
      </c>
      <c r="Y27" s="138">
        <v>3748</v>
      </c>
      <c r="Z27" s="135">
        <v>5943</v>
      </c>
      <c r="AA27" s="135">
        <v>656</v>
      </c>
      <c r="AB27" s="135">
        <v>1802</v>
      </c>
      <c r="AC27" s="135">
        <v>8690.24</v>
      </c>
      <c r="AD27" s="135">
        <v>3652</v>
      </c>
      <c r="AE27" s="135">
        <v>4577</v>
      </c>
      <c r="AF27" s="135">
        <v>9206</v>
      </c>
      <c r="AG27" s="135">
        <v>7619</v>
      </c>
      <c r="AH27" s="135">
        <v>7833</v>
      </c>
      <c r="AI27" s="135">
        <v>6256</v>
      </c>
      <c r="AJ27" s="135">
        <v>11164</v>
      </c>
      <c r="AK27" s="135">
        <v>16719</v>
      </c>
      <c r="AL27" s="135">
        <v>6238</v>
      </c>
      <c r="AM27" s="135">
        <v>12641</v>
      </c>
      <c r="AN27" s="135">
        <v>9886</v>
      </c>
      <c r="AO27" s="135">
        <v>7309</v>
      </c>
      <c r="AP27" s="135">
        <v>13813</v>
      </c>
      <c r="AQ27" s="135">
        <v>14012</v>
      </c>
      <c r="AR27" s="135">
        <v>8445</v>
      </c>
      <c r="AS27" s="135">
        <v>12524</v>
      </c>
      <c r="AT27" s="135">
        <v>12712</v>
      </c>
      <c r="AU27" s="135">
        <v>1572</v>
      </c>
      <c r="AV27" s="135">
        <v>4057</v>
      </c>
      <c r="AW27" s="135">
        <v>5749</v>
      </c>
      <c r="AX27" s="135">
        <v>14389</v>
      </c>
      <c r="AY27" s="135">
        <v>21308</v>
      </c>
      <c r="AZ27" s="135">
        <v>14888</v>
      </c>
      <c r="BA27" s="135">
        <v>14824</v>
      </c>
    </row>
    <row r="28" spans="1:53" ht="16.5" customHeight="1">
      <c r="A28" s="140" t="s">
        <v>105</v>
      </c>
      <c r="B28" s="135">
        <v>33153</v>
      </c>
      <c r="C28" s="135">
        <v>37001</v>
      </c>
      <c r="D28" s="134">
        <v>0</v>
      </c>
      <c r="E28" s="134">
        <v>18631</v>
      </c>
      <c r="F28" s="135">
        <f>ROUNDUP(15300.43,1)</f>
        <v>15300.5</v>
      </c>
      <c r="G28" s="135">
        <v>27782</v>
      </c>
      <c r="H28" s="135">
        <v>53831</v>
      </c>
      <c r="I28" s="135">
        <v>31196</v>
      </c>
      <c r="J28" s="135">
        <v>16312.14</v>
      </c>
      <c r="K28" s="135">
        <v>27620.49</v>
      </c>
      <c r="L28" s="135">
        <v>14495</v>
      </c>
      <c r="M28" s="135">
        <v>26234.38</v>
      </c>
      <c r="N28" s="135">
        <v>19776</v>
      </c>
      <c r="O28" s="135">
        <v>22322</v>
      </c>
      <c r="P28" s="135">
        <v>13864</v>
      </c>
      <c r="Q28" s="135">
        <v>18355</v>
      </c>
      <c r="R28" s="135">
        <v>25000</v>
      </c>
      <c r="S28" s="135">
        <v>16100.43</v>
      </c>
      <c r="T28" s="135">
        <v>18455</v>
      </c>
      <c r="U28" s="138">
        <v>16724</v>
      </c>
      <c r="V28" s="135">
        <v>21011</v>
      </c>
      <c r="W28" s="135">
        <v>30921.45</v>
      </c>
      <c r="X28" s="135">
        <v>23546</v>
      </c>
      <c r="Y28" s="138">
        <v>15376</v>
      </c>
      <c r="Z28" s="135">
        <v>19288</v>
      </c>
      <c r="AA28" s="135">
        <v>24257.16</v>
      </c>
      <c r="AB28" s="135">
        <v>22156</v>
      </c>
      <c r="AC28" s="135">
        <v>25515.49</v>
      </c>
      <c r="AD28" s="135">
        <v>27225</v>
      </c>
      <c r="AE28" s="135">
        <v>18827</v>
      </c>
      <c r="AF28" s="135">
        <v>21025</v>
      </c>
      <c r="AG28" s="135">
        <v>23396</v>
      </c>
      <c r="AH28" s="135">
        <v>24252</v>
      </c>
      <c r="AI28" s="135">
        <v>15672</v>
      </c>
      <c r="AJ28" s="135">
        <v>22355</v>
      </c>
      <c r="AK28" s="135">
        <v>45839</v>
      </c>
      <c r="AL28" s="135">
        <v>46328</v>
      </c>
      <c r="AM28" s="135">
        <v>26172</v>
      </c>
      <c r="AN28" s="135">
        <v>10717</v>
      </c>
      <c r="AO28" s="135">
        <v>13316</v>
      </c>
      <c r="AP28" s="135">
        <v>9751</v>
      </c>
      <c r="AQ28" s="135">
        <v>14666</v>
      </c>
      <c r="AR28" s="135">
        <v>22727</v>
      </c>
      <c r="AS28" s="135">
        <v>17183</v>
      </c>
      <c r="AT28" s="135">
        <v>14912</v>
      </c>
      <c r="AU28" s="135">
        <v>40370</v>
      </c>
      <c r="AV28" s="135">
        <v>34837</v>
      </c>
      <c r="AW28" s="135">
        <v>16201</v>
      </c>
      <c r="AX28" s="135">
        <v>29876</v>
      </c>
      <c r="AY28" s="135">
        <v>22694</v>
      </c>
      <c r="AZ28" s="135">
        <v>10891</v>
      </c>
      <c r="BA28" s="135">
        <v>16099</v>
      </c>
    </row>
    <row r="29" spans="1:53" ht="16.5" customHeight="1">
      <c r="A29" s="141" t="s">
        <v>106</v>
      </c>
      <c r="B29" s="135">
        <v>7197</v>
      </c>
      <c r="C29" s="135">
        <v>6935</v>
      </c>
      <c r="D29" s="134">
        <v>0</v>
      </c>
      <c r="E29" s="134">
        <v>7893</v>
      </c>
      <c r="F29" s="135">
        <v>8706.17</v>
      </c>
      <c r="G29" s="135">
        <v>5637</v>
      </c>
      <c r="H29" s="135">
        <v>3900</v>
      </c>
      <c r="I29" s="135">
        <v>16339</v>
      </c>
      <c r="J29" s="135">
        <v>16396.07</v>
      </c>
      <c r="K29" s="135">
        <v>12459.5</v>
      </c>
      <c r="L29" s="135">
        <v>8634</v>
      </c>
      <c r="M29" s="135">
        <v>2751</v>
      </c>
      <c r="N29" s="135">
        <v>3178</v>
      </c>
      <c r="O29" s="135">
        <v>5343</v>
      </c>
      <c r="P29" s="135">
        <v>3521</v>
      </c>
      <c r="Q29" s="135">
        <v>4323</v>
      </c>
      <c r="R29" s="135">
        <v>8374</v>
      </c>
      <c r="S29" s="135">
        <v>5353.63</v>
      </c>
      <c r="T29" s="135">
        <v>2189</v>
      </c>
      <c r="U29" s="138">
        <v>4084</v>
      </c>
      <c r="V29" s="135">
        <v>4846</v>
      </c>
      <c r="W29" s="135">
        <v>2200.98</v>
      </c>
      <c r="X29" s="135">
        <v>5362.46</v>
      </c>
      <c r="Y29" s="138">
        <v>5577</v>
      </c>
      <c r="Z29" s="135">
        <v>723</v>
      </c>
      <c r="AA29" s="134">
        <v>1838.08</v>
      </c>
      <c r="AB29" s="134">
        <v>3134</v>
      </c>
      <c r="AC29" s="134">
        <v>1895.68</v>
      </c>
      <c r="AD29" s="135">
        <v>6732</v>
      </c>
      <c r="AE29" s="134">
        <v>5324</v>
      </c>
      <c r="AF29" s="134">
        <v>4986</v>
      </c>
      <c r="AG29" s="134">
        <v>5014</v>
      </c>
      <c r="AH29" s="135">
        <v>5262</v>
      </c>
      <c r="AI29" s="134">
        <v>6193</v>
      </c>
      <c r="AJ29" s="134">
        <v>6505</v>
      </c>
      <c r="AK29" s="134">
        <v>5201</v>
      </c>
      <c r="AL29" s="135">
        <v>5160</v>
      </c>
      <c r="AM29" s="135">
        <v>10546</v>
      </c>
      <c r="AN29" s="135">
        <v>3911</v>
      </c>
      <c r="AO29" s="135">
        <v>8716</v>
      </c>
      <c r="AP29" s="135">
        <v>10264</v>
      </c>
      <c r="AQ29" s="135">
        <v>7428</v>
      </c>
      <c r="AR29" s="135">
        <v>7142</v>
      </c>
      <c r="AS29" s="135">
        <v>6595</v>
      </c>
      <c r="AT29" s="135">
        <v>5042</v>
      </c>
      <c r="AU29" s="135">
        <v>5129</v>
      </c>
      <c r="AV29" s="135">
        <v>5805</v>
      </c>
      <c r="AW29" s="135">
        <v>7624</v>
      </c>
      <c r="AX29" s="135">
        <v>13962</v>
      </c>
      <c r="AY29" s="135">
        <v>5789</v>
      </c>
      <c r="AZ29" s="135">
        <v>4121</v>
      </c>
      <c r="BA29" s="135">
        <v>4174</v>
      </c>
    </row>
    <row r="30" spans="1:53" ht="18" customHeight="1">
      <c r="A30" s="141" t="s">
        <v>107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5">
        <v>0</v>
      </c>
      <c r="AM30" s="135">
        <v>0</v>
      </c>
      <c r="AN30" s="135">
        <v>0</v>
      </c>
      <c r="AO30" s="135">
        <v>0</v>
      </c>
      <c r="AP30" s="135">
        <v>0</v>
      </c>
      <c r="AQ30" s="135">
        <v>0</v>
      </c>
      <c r="AR30" s="135">
        <v>0</v>
      </c>
      <c r="AS30" s="135">
        <v>0</v>
      </c>
      <c r="AT30" s="135">
        <v>0</v>
      </c>
      <c r="AU30" s="135">
        <v>0</v>
      </c>
      <c r="AV30" s="135">
        <v>0</v>
      </c>
      <c r="AW30" s="135">
        <v>0</v>
      </c>
      <c r="AX30" s="135">
        <v>0</v>
      </c>
      <c r="AY30" s="135">
        <v>0</v>
      </c>
      <c r="AZ30" s="135" t="s">
        <v>74</v>
      </c>
      <c r="BA30" s="135">
        <v>0</v>
      </c>
    </row>
    <row r="31" spans="1:53" ht="18" customHeight="1">
      <c r="A31" s="141" t="s">
        <v>108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5">
        <v>0</v>
      </c>
      <c r="AM31" s="134">
        <v>0</v>
      </c>
      <c r="AN31" s="134">
        <v>0</v>
      </c>
      <c r="AO31" s="134">
        <v>0</v>
      </c>
      <c r="AP31" s="135">
        <v>0</v>
      </c>
      <c r="AQ31" s="135">
        <v>0</v>
      </c>
      <c r="AR31" s="135">
        <v>0</v>
      </c>
      <c r="AS31" s="135">
        <v>469</v>
      </c>
      <c r="AT31" s="135">
        <v>0</v>
      </c>
      <c r="AU31" s="135">
        <v>0</v>
      </c>
      <c r="AV31" s="135">
        <v>0</v>
      </c>
      <c r="AW31" s="135">
        <v>0</v>
      </c>
      <c r="AX31" s="135">
        <v>0</v>
      </c>
      <c r="AY31" s="135">
        <v>0</v>
      </c>
      <c r="AZ31" s="135" t="s">
        <v>74</v>
      </c>
      <c r="BA31" s="135">
        <v>0</v>
      </c>
    </row>
    <row r="32" spans="1:53" s="120" customFormat="1" ht="23.25" customHeight="1">
      <c r="A32" s="240" t="s">
        <v>29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122"/>
      <c r="M32" s="142"/>
      <c r="N32" s="142"/>
      <c r="O32" s="142" t="s">
        <v>29</v>
      </c>
      <c r="P32" s="122"/>
      <c r="Q32" s="142"/>
      <c r="R32" s="142"/>
      <c r="S32" s="142"/>
      <c r="T32" s="122"/>
      <c r="U32" s="142"/>
      <c r="V32" s="142"/>
      <c r="W32" s="142"/>
      <c r="X32" s="122"/>
      <c r="Y32" s="142"/>
      <c r="Z32" s="142"/>
      <c r="AA32" s="129"/>
      <c r="AB32" s="129"/>
      <c r="AC32" s="129"/>
      <c r="AD32" s="143"/>
      <c r="AE32" s="143"/>
      <c r="AF32" s="143"/>
      <c r="AG32" s="143"/>
      <c r="AH32" s="143"/>
      <c r="AI32" s="143"/>
      <c r="AJ32" s="143"/>
      <c r="AK32" s="143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</row>
    <row r="33" spans="1:54" ht="20.25" customHeight="1">
      <c r="A33" s="144" t="s">
        <v>19</v>
      </c>
      <c r="B33" s="145">
        <f>ROUNDUP(SUM(B35:B57),0)</f>
        <v>100</v>
      </c>
      <c r="C33" s="145">
        <f>ROUNDUP(SUM(C35:C57),0)</f>
        <v>100</v>
      </c>
      <c r="D33" s="145"/>
      <c r="E33" s="145">
        <f>ROUNDDOWN(SUM(E35:E57),1)</f>
        <v>100</v>
      </c>
      <c r="F33" s="145">
        <f>ROUNDUP(SUM(F35:F57),1)</f>
        <v>100</v>
      </c>
      <c r="G33" s="145">
        <f>ROUNDDOWN(SUM(G35:G57),1)</f>
        <v>100</v>
      </c>
      <c r="H33" s="145">
        <f>ROUNDDOWN(SUM(H35:H57),0)</f>
        <v>100</v>
      </c>
      <c r="I33" s="145">
        <f>ROUNDUP(SUM(I35:I57),0)</f>
        <v>100</v>
      </c>
      <c r="J33" s="145">
        <f>SUM(J35:J57)</f>
        <v>99.999980321968565</v>
      </c>
      <c r="K33" s="145">
        <f>ROUNDDOWN(SUM(K35:K57),1)</f>
        <v>100</v>
      </c>
      <c r="L33" s="145">
        <f t="shared" ref="L33:Y33" si="0">ROUNDDOWN(SUM(L35:L57),0)</f>
        <v>100</v>
      </c>
      <c r="M33" s="145">
        <f t="shared" si="0"/>
        <v>100</v>
      </c>
      <c r="N33" s="145">
        <f t="shared" si="0"/>
        <v>100</v>
      </c>
      <c r="O33" s="145">
        <f t="shared" si="0"/>
        <v>100</v>
      </c>
      <c r="P33" s="145">
        <f t="shared" si="0"/>
        <v>100</v>
      </c>
      <c r="Q33" s="145">
        <f t="shared" si="0"/>
        <v>100</v>
      </c>
      <c r="R33" s="145">
        <f t="shared" si="0"/>
        <v>100</v>
      </c>
      <c r="S33" s="145">
        <f t="shared" si="0"/>
        <v>100</v>
      </c>
      <c r="T33" s="145">
        <f t="shared" si="0"/>
        <v>100</v>
      </c>
      <c r="U33" s="145">
        <f t="shared" si="0"/>
        <v>100</v>
      </c>
      <c r="V33" s="145">
        <f t="shared" si="0"/>
        <v>100</v>
      </c>
      <c r="W33" s="145">
        <f t="shared" si="0"/>
        <v>100</v>
      </c>
      <c r="X33" s="145">
        <f t="shared" si="0"/>
        <v>100</v>
      </c>
      <c r="Y33" s="145">
        <f t="shared" si="0"/>
        <v>100</v>
      </c>
      <c r="Z33" s="145">
        <f>SUM(Z35:Z57)-0.09</f>
        <v>100.02345601382274</v>
      </c>
      <c r="AA33" s="145">
        <f t="shared" ref="AA33:AK33" si="1">ROUNDDOWN(SUM(AA35:AA57),0)</f>
        <v>100</v>
      </c>
      <c r="AB33" s="145">
        <f t="shared" si="1"/>
        <v>100</v>
      </c>
      <c r="AC33" s="145">
        <f t="shared" si="1"/>
        <v>100</v>
      </c>
      <c r="AD33" s="145">
        <f t="shared" si="1"/>
        <v>100</v>
      </c>
      <c r="AE33" s="145">
        <f t="shared" si="1"/>
        <v>100</v>
      </c>
      <c r="AF33" s="145">
        <f t="shared" si="1"/>
        <v>100</v>
      </c>
      <c r="AG33" s="145">
        <f t="shared" si="1"/>
        <v>100</v>
      </c>
      <c r="AH33" s="145">
        <v>100</v>
      </c>
      <c r="AI33" s="145">
        <v>100</v>
      </c>
      <c r="AJ33" s="145">
        <f t="shared" si="1"/>
        <v>100</v>
      </c>
      <c r="AK33" s="145">
        <f t="shared" si="1"/>
        <v>100</v>
      </c>
      <c r="AL33" s="145">
        <f t="shared" ref="AL33:AS33" si="2">ROUNDDOWN(SUM(AL35:AL57),0)</f>
        <v>100</v>
      </c>
      <c r="AM33" s="145">
        <f t="shared" si="2"/>
        <v>100</v>
      </c>
      <c r="AN33" s="145">
        <f t="shared" si="2"/>
        <v>100</v>
      </c>
      <c r="AO33" s="145">
        <f t="shared" si="2"/>
        <v>100</v>
      </c>
      <c r="AP33" s="145">
        <f>ROUNDDOWN(SUM(AP35:AP57),0)</f>
        <v>100</v>
      </c>
      <c r="AQ33" s="145">
        <f t="shared" si="2"/>
        <v>100</v>
      </c>
      <c r="AR33" s="145">
        <f t="shared" si="2"/>
        <v>100</v>
      </c>
      <c r="AS33" s="145">
        <f t="shared" si="2"/>
        <v>100</v>
      </c>
      <c r="AT33" s="145">
        <f t="shared" ref="AT33:AY33" si="3">ROUNDDOWN(SUM(AT35:AT57),0)</f>
        <v>100</v>
      </c>
      <c r="AU33" s="145">
        <f t="shared" si="3"/>
        <v>100</v>
      </c>
      <c r="AV33" s="145">
        <f t="shared" si="3"/>
        <v>100</v>
      </c>
      <c r="AW33" s="145">
        <f t="shared" si="3"/>
        <v>100</v>
      </c>
      <c r="AX33" s="145">
        <f t="shared" si="3"/>
        <v>100</v>
      </c>
      <c r="AY33" s="145">
        <f t="shared" si="3"/>
        <v>100</v>
      </c>
      <c r="AZ33" s="145">
        <v>100</v>
      </c>
      <c r="BA33" s="145">
        <v>100</v>
      </c>
      <c r="BB33" s="120"/>
    </row>
    <row r="34" spans="1:54" ht="20.25" customHeight="1">
      <c r="A34" s="144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20"/>
    </row>
    <row r="35" spans="1:54" ht="17.25" customHeight="1">
      <c r="A35" s="137" t="s">
        <v>85</v>
      </c>
      <c r="B35" s="147">
        <f t="shared" ref="B35:B40" si="4">B8*100/$B$6</f>
        <v>27.986667614164361</v>
      </c>
      <c r="C35" s="147">
        <f t="shared" ref="C35:C40" si="5">C8*100/$C$6</f>
        <v>30.837561756351988</v>
      </c>
      <c r="D35" s="148" t="s">
        <v>109</v>
      </c>
      <c r="E35" s="147">
        <f t="shared" ref="E35:E40" si="6">SUM(E8*100/$E$6)</f>
        <v>41.529079643638411</v>
      </c>
      <c r="F35" s="147">
        <f t="shared" ref="F35:F40" si="7">F8/$F$6*100</f>
        <v>29.2014309186725</v>
      </c>
      <c r="G35" s="147">
        <f t="shared" ref="G35:G40" si="8">G8/$G$6*100</f>
        <v>32.532822753469681</v>
      </c>
      <c r="H35" s="147">
        <f t="shared" ref="H35:H40" si="9">H8/$H$6*100</f>
        <v>38.656191113660995</v>
      </c>
      <c r="I35" s="147">
        <f t="shared" ref="I35:I40" si="10">I8/$I$6*100</f>
        <v>39.968981235275955</v>
      </c>
      <c r="J35" s="147">
        <f t="shared" ref="J35:J40" si="11">J8/$J$6*100</f>
        <v>30.702003932688516</v>
      </c>
      <c r="K35" s="147">
        <f>K8/$K$6*100</f>
        <v>39.03656179832516</v>
      </c>
      <c r="L35" s="147">
        <f t="shared" ref="L35:AS40" si="12">L8/L$6*100</f>
        <v>37.31430727053413</v>
      </c>
      <c r="M35" s="147">
        <f t="shared" si="12"/>
        <v>35.697145299483459</v>
      </c>
      <c r="N35" s="147">
        <f t="shared" si="12"/>
        <v>32.165365931856257</v>
      </c>
      <c r="O35" s="147">
        <f t="shared" si="12"/>
        <v>31.742835970846539</v>
      </c>
      <c r="P35" s="147">
        <f t="shared" si="12"/>
        <v>38.854803680452314</v>
      </c>
      <c r="Q35" s="147">
        <f t="shared" si="12"/>
        <v>41.434603087856978</v>
      </c>
      <c r="R35" s="147">
        <f t="shared" si="12"/>
        <v>33.89509361930422</v>
      </c>
      <c r="S35" s="147">
        <f t="shared" si="12"/>
        <v>39.974801567208146</v>
      </c>
      <c r="T35" s="147">
        <f t="shared" si="12"/>
        <v>41.267232962034107</v>
      </c>
      <c r="U35" s="147">
        <f t="shared" si="12"/>
        <v>39.009588048202403</v>
      </c>
      <c r="V35" s="147">
        <f t="shared" si="12"/>
        <v>37.130772888998486</v>
      </c>
      <c r="W35" s="147">
        <f t="shared" si="12"/>
        <v>37.897832575243797</v>
      </c>
      <c r="X35" s="147">
        <f t="shared" si="12"/>
        <v>42.878781834823236</v>
      </c>
      <c r="Y35" s="147">
        <f t="shared" si="12"/>
        <v>41.705541487943229</v>
      </c>
      <c r="Z35" s="147">
        <f t="shared" si="12"/>
        <v>34.671838738830921</v>
      </c>
      <c r="AA35" s="147">
        <f t="shared" si="12"/>
        <v>35.96899499297281</v>
      </c>
      <c r="AB35" s="147">
        <f t="shared" si="12"/>
        <v>37.593706242280255</v>
      </c>
      <c r="AC35" s="147">
        <f t="shared" si="12"/>
        <v>37.572264760152585</v>
      </c>
      <c r="AD35" s="147">
        <f t="shared" si="12"/>
        <v>31.35643681310513</v>
      </c>
      <c r="AE35" s="147">
        <f t="shared" si="12"/>
        <v>38.384971326873639</v>
      </c>
      <c r="AF35" s="147">
        <f t="shared" si="12"/>
        <v>40.176393374707743</v>
      </c>
      <c r="AG35" s="147">
        <f t="shared" si="12"/>
        <v>38.635913203241756</v>
      </c>
      <c r="AH35" s="147">
        <f t="shared" si="12"/>
        <v>36.677159851758148</v>
      </c>
      <c r="AI35" s="147">
        <f t="shared" si="12"/>
        <v>37.173715359638628</v>
      </c>
      <c r="AJ35" s="147">
        <f t="shared" si="12"/>
        <v>40.128372509541769</v>
      </c>
      <c r="AK35" s="147">
        <f t="shared" si="12"/>
        <v>37.593313492958885</v>
      </c>
      <c r="AL35" s="147">
        <f t="shared" si="12"/>
        <v>30.711201527507892</v>
      </c>
      <c r="AM35" s="147">
        <f t="shared" si="12"/>
        <v>28.52637915796754</v>
      </c>
      <c r="AN35" s="147">
        <f t="shared" si="12"/>
        <v>33.180657949884228</v>
      </c>
      <c r="AO35" s="147">
        <f t="shared" si="12"/>
        <v>36.675378759123298</v>
      </c>
      <c r="AP35" s="147">
        <f t="shared" si="12"/>
        <v>29.735341939780984</v>
      </c>
      <c r="AQ35" s="147">
        <f t="shared" si="12"/>
        <v>40.38336666369797</v>
      </c>
      <c r="AR35" s="147">
        <f t="shared" si="12"/>
        <v>41.814556191814674</v>
      </c>
      <c r="AS35" s="147">
        <f t="shared" si="12"/>
        <v>45.751246468740511</v>
      </c>
      <c r="AT35" s="147">
        <f t="shared" ref="AT35:AW36" si="13">AT8/AT$6*100</f>
        <v>33.993027538309377</v>
      </c>
      <c r="AU35" s="147">
        <f t="shared" si="13"/>
        <v>34.717467868711118</v>
      </c>
      <c r="AV35" s="147">
        <f t="shared" si="13"/>
        <v>40.680429087692353</v>
      </c>
      <c r="AW35" s="147">
        <f t="shared" si="13"/>
        <v>45.155891623778949</v>
      </c>
      <c r="AX35" s="147">
        <f t="shared" ref="AX35:BA35" si="14">AX8/AX$6*100</f>
        <v>34.901304336836411</v>
      </c>
      <c r="AY35" s="147">
        <f t="shared" si="14"/>
        <v>34.56363290395705</v>
      </c>
      <c r="AZ35" s="147">
        <f t="shared" si="14"/>
        <v>42.240382033284583</v>
      </c>
      <c r="BA35" s="147">
        <f t="shared" si="14"/>
        <v>37.670243243220071</v>
      </c>
    </row>
    <row r="36" spans="1:54" ht="17.25" customHeight="1">
      <c r="A36" s="137" t="s">
        <v>86</v>
      </c>
      <c r="B36" s="147">
        <f t="shared" si="4"/>
        <v>0.41913107172921976</v>
      </c>
      <c r="C36" s="147">
        <f t="shared" si="5"/>
        <v>9.6726011548337626E-2</v>
      </c>
      <c r="D36" s="148" t="s">
        <v>109</v>
      </c>
      <c r="E36" s="147">
        <f t="shared" si="6"/>
        <v>0</v>
      </c>
      <c r="F36" s="147">
        <f t="shared" si="7"/>
        <v>2.3147702574421135E-2</v>
      </c>
      <c r="G36" s="147">
        <f t="shared" si="8"/>
        <v>0.17662139841806346</v>
      </c>
      <c r="H36" s="147">
        <f t="shared" si="9"/>
        <v>0.10798240581373113</v>
      </c>
      <c r="I36" s="147">
        <f t="shared" si="10"/>
        <v>0</v>
      </c>
      <c r="J36" s="147">
        <f t="shared" si="11"/>
        <v>0.31035919769680181</v>
      </c>
      <c r="K36" s="147">
        <f>K9/$K$6*100</f>
        <v>7.6789920037002704E-2</v>
      </c>
      <c r="L36" s="147">
        <f t="shared" si="12"/>
        <v>0.12306883063795858</v>
      </c>
      <c r="M36" s="147">
        <f t="shared" si="12"/>
        <v>0.74760946428534636</v>
      </c>
      <c r="N36" s="147">
        <f t="shared" si="12"/>
        <v>0.11341103818659408</v>
      </c>
      <c r="O36" s="147">
        <f t="shared" si="12"/>
        <v>3.2623538348969333E-2</v>
      </c>
      <c r="P36" s="147">
        <f t="shared" si="12"/>
        <v>0.37665996076484792</v>
      </c>
      <c r="Q36" s="147">
        <f t="shared" si="12"/>
        <v>0.13228096199299119</v>
      </c>
      <c r="R36" s="147">
        <f t="shared" si="12"/>
        <v>4.8313904030209527E-2</v>
      </c>
      <c r="S36" s="147">
        <f t="shared" si="12"/>
        <v>6.3617261835331562E-2</v>
      </c>
      <c r="T36" s="147">
        <f t="shared" si="12"/>
        <v>0.14233295093213849</v>
      </c>
      <c r="U36" s="147">
        <f t="shared" si="12"/>
        <v>0.44803468694995335</v>
      </c>
      <c r="V36" s="147">
        <f t="shared" si="12"/>
        <v>0.67159556604549031</v>
      </c>
      <c r="W36" s="147">
        <f t="shared" si="12"/>
        <v>4.7274385538224079E-2</v>
      </c>
      <c r="X36" s="147">
        <f t="shared" si="12"/>
        <v>7.622095931825143E-2</v>
      </c>
      <c r="Y36" s="147">
        <f t="shared" si="12"/>
        <v>0.37288167303127184</v>
      </c>
      <c r="Z36" s="147">
        <f t="shared" si="12"/>
        <v>7.5846990608564702E-2</v>
      </c>
      <c r="AA36" s="147">
        <f t="shared" si="12"/>
        <v>1.8860006147768723E-2</v>
      </c>
      <c r="AB36" s="147">
        <f t="shared" si="12"/>
        <v>1.5308166907044909E-2</v>
      </c>
      <c r="AC36" s="147">
        <f t="shared" si="12"/>
        <v>0.11735261015048376</v>
      </c>
      <c r="AD36" s="147">
        <f t="shared" si="12"/>
        <v>0.58201997815918405</v>
      </c>
      <c r="AE36" s="147">
        <f t="shared" si="12"/>
        <v>0.44002372948388369</v>
      </c>
      <c r="AF36" s="147">
        <f t="shared" si="12"/>
        <v>0.37395630492093002</v>
      </c>
      <c r="AG36" s="147">
        <f t="shared" si="12"/>
        <v>0</v>
      </c>
      <c r="AH36" s="147">
        <f t="shared" si="12"/>
        <v>0.19177293308248905</v>
      </c>
      <c r="AI36" s="147">
        <f t="shared" si="12"/>
        <v>0.70903413758663336</v>
      </c>
      <c r="AJ36" s="147">
        <f t="shared" si="12"/>
        <v>0</v>
      </c>
      <c r="AK36" s="147">
        <f t="shared" si="12"/>
        <v>0</v>
      </c>
      <c r="AL36" s="147">
        <f t="shared" si="12"/>
        <v>0</v>
      </c>
      <c r="AM36" s="147">
        <f t="shared" si="12"/>
        <v>0</v>
      </c>
      <c r="AN36" s="147">
        <f t="shared" si="12"/>
        <v>0</v>
      </c>
      <c r="AO36" s="147">
        <f t="shared" si="12"/>
        <v>0</v>
      </c>
      <c r="AP36" s="147">
        <f t="shared" si="12"/>
        <v>0</v>
      </c>
      <c r="AQ36" s="147">
        <f t="shared" si="12"/>
        <v>0</v>
      </c>
      <c r="AR36" s="147">
        <f t="shared" si="12"/>
        <v>8.4774223672096707E-2</v>
      </c>
      <c r="AS36" s="147">
        <f t="shared" si="12"/>
        <v>3.6434954701185136E-2</v>
      </c>
      <c r="AT36" s="147">
        <f t="shared" si="13"/>
        <v>0</v>
      </c>
      <c r="AU36" s="147">
        <f t="shared" si="13"/>
        <v>2.1554331398271225E-2</v>
      </c>
      <c r="AV36" s="147">
        <f t="shared" si="13"/>
        <v>1.6993257488348897E-2</v>
      </c>
      <c r="AW36" s="147">
        <f t="shared" si="13"/>
        <v>0</v>
      </c>
      <c r="AX36" s="147">
        <f t="shared" ref="AX36:AZ36" si="15">AX9/AX$6*100</f>
        <v>0.11684157570608432</v>
      </c>
      <c r="AY36" s="147">
        <f t="shared" si="15"/>
        <v>3.61536488711292E-2</v>
      </c>
      <c r="AZ36" s="147">
        <f t="shared" si="15"/>
        <v>5.8038945155953078E-2</v>
      </c>
      <c r="BA36" s="147">
        <v>0</v>
      </c>
    </row>
    <row r="37" spans="1:54" ht="17.25" customHeight="1">
      <c r="A37" s="137" t="s">
        <v>87</v>
      </c>
      <c r="B37" s="147">
        <f t="shared" si="4"/>
        <v>19.098957023691085</v>
      </c>
      <c r="C37" s="147">
        <f t="shared" si="5"/>
        <v>19.908858446024482</v>
      </c>
      <c r="D37" s="148" t="s">
        <v>109</v>
      </c>
      <c r="E37" s="147">
        <f t="shared" si="6"/>
        <v>18.815112499863318</v>
      </c>
      <c r="F37" s="147">
        <f t="shared" si="7"/>
        <v>21.323788797899528</v>
      </c>
      <c r="G37" s="147">
        <f t="shared" si="8"/>
        <v>20.175050246890486</v>
      </c>
      <c r="H37" s="147">
        <f t="shared" si="9"/>
        <v>18.171224580863136</v>
      </c>
      <c r="I37" s="147">
        <f t="shared" si="10"/>
        <v>17.998588120038612</v>
      </c>
      <c r="J37" s="147">
        <f t="shared" si="11"/>
        <v>17.762253620443953</v>
      </c>
      <c r="K37" s="147">
        <f>ROUNDUP(K10/$K$6*100,1)</f>
        <v>16.5</v>
      </c>
      <c r="L37" s="147">
        <f t="shared" si="12"/>
        <v>18.018012848074036</v>
      </c>
      <c r="M37" s="147">
        <f t="shared" si="12"/>
        <v>13.952397449338678</v>
      </c>
      <c r="N37" s="147">
        <f t="shared" si="12"/>
        <v>20.55905987903266</v>
      </c>
      <c r="O37" s="147">
        <f t="shared" si="12"/>
        <v>18.509996451357971</v>
      </c>
      <c r="P37" s="147">
        <f t="shared" si="12"/>
        <v>18.198521367403817</v>
      </c>
      <c r="Q37" s="147">
        <f t="shared" si="12"/>
        <v>16.742891393615508</v>
      </c>
      <c r="R37" s="147">
        <f t="shared" si="12"/>
        <v>19.563351977165013</v>
      </c>
      <c r="S37" s="147">
        <f t="shared" si="12"/>
        <v>16.15984151383191</v>
      </c>
      <c r="T37" s="147">
        <f t="shared" si="12"/>
        <v>17.215526247619479</v>
      </c>
      <c r="U37" s="147">
        <f t="shared" si="12"/>
        <v>17.03703788948015</v>
      </c>
      <c r="V37" s="147">
        <f t="shared" si="12"/>
        <v>17.049250830779346</v>
      </c>
      <c r="W37" s="147">
        <f t="shared" si="12"/>
        <v>17.651086854844365</v>
      </c>
      <c r="X37" s="147">
        <f t="shared" si="12"/>
        <v>15.38581952151562</v>
      </c>
      <c r="Y37" s="147">
        <f t="shared" si="12"/>
        <v>17.199113200745188</v>
      </c>
      <c r="Z37" s="147">
        <f t="shared" si="12"/>
        <v>16.865136864371362</v>
      </c>
      <c r="AA37" s="147">
        <f t="shared" si="12"/>
        <v>16.986651729167093</v>
      </c>
      <c r="AB37" s="147">
        <f t="shared" si="12"/>
        <v>17.097946754593575</v>
      </c>
      <c r="AC37" s="147">
        <f t="shared" si="12"/>
        <v>17.149180407466837</v>
      </c>
      <c r="AD37" s="147">
        <f t="shared" si="12"/>
        <v>16.918757468104616</v>
      </c>
      <c r="AE37" s="147">
        <f t="shared" si="12"/>
        <v>13.325766264583747</v>
      </c>
      <c r="AF37" s="147">
        <f t="shared" si="12"/>
        <v>14.644308129417821</v>
      </c>
      <c r="AG37" s="147">
        <f t="shared" si="12"/>
        <v>17.986062381822173</v>
      </c>
      <c r="AH37" s="147">
        <f t="shared" si="12"/>
        <v>17.974809885162713</v>
      </c>
      <c r="AI37" s="147">
        <f t="shared" si="12"/>
        <v>18.289025020178851</v>
      </c>
      <c r="AJ37" s="147">
        <f t="shared" si="12"/>
        <v>18.236805197063266</v>
      </c>
      <c r="AK37" s="147">
        <f>AK10/AK$6*100+0.02</f>
        <v>17.763755151094824</v>
      </c>
      <c r="AL37" s="147">
        <f t="shared" ref="AL37:AS37" si="16">AL10/AL$6*100+0.02</f>
        <v>19.572489505139124</v>
      </c>
      <c r="AM37" s="147">
        <f t="shared" si="16"/>
        <v>22.304016241210149</v>
      </c>
      <c r="AN37" s="147">
        <f t="shared" si="16"/>
        <v>22.613237050218835</v>
      </c>
      <c r="AO37" s="147">
        <f t="shared" si="16"/>
        <v>20.746576831729257</v>
      </c>
      <c r="AP37" s="147">
        <f t="shared" si="16"/>
        <v>21.567878336719993</v>
      </c>
      <c r="AQ37" s="147">
        <f t="shared" si="16"/>
        <v>18.327438203884672</v>
      </c>
      <c r="AR37" s="147">
        <f t="shared" si="16"/>
        <v>15.458836522255755</v>
      </c>
      <c r="AS37" s="147">
        <f t="shared" si="16"/>
        <v>12.883319944167697</v>
      </c>
      <c r="AT37" s="147">
        <f t="shared" ref="AT37:BA37" si="17">AT10/AT$6*100+0.02</f>
        <v>15.79182491616835</v>
      </c>
      <c r="AU37" s="147">
        <f t="shared" si="17"/>
        <v>15.518757005157703</v>
      </c>
      <c r="AV37" s="147">
        <f t="shared" si="17"/>
        <v>13.918896470563945</v>
      </c>
      <c r="AW37" s="147">
        <f t="shared" si="17"/>
        <v>13.617322245394357</v>
      </c>
      <c r="AX37" s="147">
        <f t="shared" si="17"/>
        <v>15.9030344890566</v>
      </c>
      <c r="AY37" s="147">
        <f t="shared" si="17"/>
        <v>16.405958816278243</v>
      </c>
      <c r="AZ37" s="147">
        <f t="shared" si="17"/>
        <v>14.164335060326639</v>
      </c>
      <c r="BA37" s="147">
        <f t="shared" si="17"/>
        <v>15.625998633166381</v>
      </c>
    </row>
    <row r="38" spans="1:54" ht="17.25" customHeight="1">
      <c r="A38" s="137" t="s">
        <v>88</v>
      </c>
      <c r="B38" s="147">
        <f t="shared" si="4"/>
        <v>0.37710863789917898</v>
      </c>
      <c r="C38" s="147">
        <f t="shared" si="5"/>
        <v>0.10420758150235268</v>
      </c>
      <c r="D38" s="148" t="s">
        <v>109</v>
      </c>
      <c r="E38" s="147">
        <f t="shared" si="6"/>
        <v>0.18434270505231512</v>
      </c>
      <c r="F38" s="147">
        <f t="shared" si="7"/>
        <v>0.11389603024967336</v>
      </c>
      <c r="G38" s="147">
        <f t="shared" si="8"/>
        <v>0.39624974119273038</v>
      </c>
      <c r="H38" s="147">
        <f t="shared" si="9"/>
        <v>0.49550583285523042</v>
      </c>
      <c r="I38" s="147">
        <f t="shared" si="10"/>
        <v>5.3869421774396117E-2</v>
      </c>
      <c r="J38" s="147">
        <f t="shared" si="11"/>
        <v>0.21362470933766359</v>
      </c>
      <c r="K38" s="147">
        <f>K11/$K$6*100</f>
        <v>2.5853325130789251E-2</v>
      </c>
      <c r="L38" s="147">
        <f t="shared" si="12"/>
        <v>4.6408114543659999E-2</v>
      </c>
      <c r="M38" s="147">
        <f t="shared" si="12"/>
        <v>0.19859791853322814</v>
      </c>
      <c r="N38" s="147">
        <f t="shared" si="12"/>
        <v>0.14334357025930219</v>
      </c>
      <c r="O38" s="147">
        <f t="shared" si="12"/>
        <v>7.8163334738142839E-2</v>
      </c>
      <c r="P38" s="147">
        <f t="shared" si="12"/>
        <v>0.28307324520219607</v>
      </c>
      <c r="Q38" s="147">
        <f t="shared" si="12"/>
        <v>0.18938654625174559</v>
      </c>
      <c r="R38" s="147">
        <f t="shared" si="12"/>
        <v>0.33360306126380873</v>
      </c>
      <c r="S38" s="147">
        <f t="shared" si="12"/>
        <v>0.36385753177032598</v>
      </c>
      <c r="T38" s="147">
        <f t="shared" si="12"/>
        <v>0.34181258166353062</v>
      </c>
      <c r="U38" s="147">
        <f t="shared" si="12"/>
        <v>0.52851996005473545</v>
      </c>
      <c r="V38" s="147">
        <f t="shared" si="12"/>
        <v>0.56606016838693762</v>
      </c>
      <c r="W38" s="147">
        <f t="shared" si="12"/>
        <v>0.29868557213348612</v>
      </c>
      <c r="X38" s="147">
        <f t="shared" si="12"/>
        <v>0.28970288413224066</v>
      </c>
      <c r="Y38" s="147">
        <f t="shared" si="12"/>
        <v>0.40317561057395135</v>
      </c>
      <c r="Z38" s="147">
        <f t="shared" si="12"/>
        <v>0.19442137963410661</v>
      </c>
      <c r="AA38" s="147">
        <f t="shared" si="12"/>
        <v>0.47074840758824538</v>
      </c>
      <c r="AB38" s="147">
        <f t="shared" si="12"/>
        <v>0.44821412223421198</v>
      </c>
      <c r="AC38" s="147">
        <f t="shared" si="12"/>
        <v>0.39256069122165471</v>
      </c>
      <c r="AD38" s="147">
        <f t="shared" si="12"/>
        <v>0.24396143223681938</v>
      </c>
      <c r="AE38" s="147">
        <f t="shared" si="12"/>
        <v>0.17892030848329049</v>
      </c>
      <c r="AF38" s="147">
        <f t="shared" si="12"/>
        <v>0.24856965936995232</v>
      </c>
      <c r="AG38" s="147">
        <f t="shared" si="12"/>
        <v>0.62342031017207389</v>
      </c>
      <c r="AH38" s="147">
        <f t="shared" si="12"/>
        <v>0.50519347955850979</v>
      </c>
      <c r="AI38" s="147">
        <f t="shared" si="12"/>
        <v>0.23767533246204339</v>
      </c>
      <c r="AJ38" s="147">
        <f t="shared" si="12"/>
        <v>0.13986648828175788</v>
      </c>
      <c r="AK38" s="147">
        <f>AK11/AK$6*100</f>
        <v>0.34392093618699038</v>
      </c>
      <c r="AL38" s="147">
        <f t="shared" ref="AL38:AS40" si="18">AL11/AL$6*100</f>
        <v>0.46666345761646955</v>
      </c>
      <c r="AM38" s="147">
        <f t="shared" si="18"/>
        <v>0.64196329076633407</v>
      </c>
      <c r="AN38" s="147">
        <f t="shared" si="18"/>
        <v>0.17632246140315919</v>
      </c>
      <c r="AO38" s="147">
        <f t="shared" si="18"/>
        <v>0.2430932405229925</v>
      </c>
      <c r="AP38" s="147">
        <f t="shared" si="18"/>
        <v>0.13080636917493149</v>
      </c>
      <c r="AQ38" s="147">
        <f t="shared" si="18"/>
        <v>0.25730501736687422</v>
      </c>
      <c r="AR38" s="147">
        <f t="shared" si="18"/>
        <v>0.23795729023421111</v>
      </c>
      <c r="AS38" s="147">
        <f t="shared" si="18"/>
        <v>0.36702094898586901</v>
      </c>
      <c r="AT38" s="147">
        <f t="shared" ref="AT38:AW40" si="19">AT11/AT$6*100</f>
        <v>0.23177788665924734</v>
      </c>
      <c r="AU38" s="147">
        <f t="shared" si="19"/>
        <v>0.24101661472612368</v>
      </c>
      <c r="AV38" s="147">
        <f t="shared" si="19"/>
        <v>0.2074924383974564</v>
      </c>
      <c r="AW38" s="147">
        <f t="shared" si="19"/>
        <v>0.63249812479134238</v>
      </c>
      <c r="AX38" s="147">
        <f t="shared" ref="AX38:BA38" si="20">AX11/AX$6*100</f>
        <v>0.38762376197259235</v>
      </c>
      <c r="AY38" s="147">
        <f t="shared" si="20"/>
        <v>0.38296393735573703</v>
      </c>
      <c r="AZ38" s="147">
        <f t="shared" si="20"/>
        <v>0.18506312227474864</v>
      </c>
      <c r="BA38" s="147">
        <f t="shared" si="20"/>
        <v>0.1662666491739403</v>
      </c>
    </row>
    <row r="39" spans="1:54" ht="17.25" customHeight="1">
      <c r="A39" s="137" t="s">
        <v>89</v>
      </c>
      <c r="B39" s="147">
        <f t="shared" si="4"/>
        <v>0</v>
      </c>
      <c r="C39" s="147">
        <f t="shared" si="5"/>
        <v>0</v>
      </c>
      <c r="D39" s="148" t="s">
        <v>109</v>
      </c>
      <c r="E39" s="147">
        <f t="shared" si="6"/>
        <v>0</v>
      </c>
      <c r="F39" s="147">
        <f t="shared" si="7"/>
        <v>0.10540302316708984</v>
      </c>
      <c r="G39" s="147">
        <f t="shared" si="8"/>
        <v>0.16071016049046558</v>
      </c>
      <c r="H39" s="147">
        <f t="shared" si="9"/>
        <v>0.14680946006247211</v>
      </c>
      <c r="I39" s="147">
        <f t="shared" si="10"/>
        <v>0.1404363297886001</v>
      </c>
      <c r="J39" s="147">
        <f t="shared" si="11"/>
        <v>0.25254174855526779</v>
      </c>
      <c r="K39" s="147">
        <f>K12/$K$6*100</f>
        <v>0.41318796031542826</v>
      </c>
      <c r="L39" s="147">
        <f t="shared" si="12"/>
        <v>0.18837702408851237</v>
      </c>
      <c r="M39" s="147">
        <f t="shared" si="12"/>
        <v>0.4871434902339043</v>
      </c>
      <c r="N39" s="147">
        <f t="shared" si="12"/>
        <v>0.36703935994934084</v>
      </c>
      <c r="O39" s="147">
        <f t="shared" si="12"/>
        <v>0</v>
      </c>
      <c r="P39" s="147">
        <f t="shared" si="12"/>
        <v>0.54570370083259045</v>
      </c>
      <c r="Q39" s="147">
        <f t="shared" si="12"/>
        <v>8.0652980634470114E-2</v>
      </c>
      <c r="R39" s="147">
        <f t="shared" si="12"/>
        <v>0.26039119442048508</v>
      </c>
      <c r="S39" s="147">
        <f t="shared" si="12"/>
        <v>0.193900433184925</v>
      </c>
      <c r="T39" s="147">
        <f t="shared" si="12"/>
        <v>0.15742024373094518</v>
      </c>
      <c r="U39" s="147">
        <f t="shared" si="12"/>
        <v>0.34728689333545865</v>
      </c>
      <c r="V39" s="147">
        <f t="shared" si="12"/>
        <v>0.18303566186399878</v>
      </c>
      <c r="W39" s="147">
        <f t="shared" si="12"/>
        <v>7.0294777951872028E-2</v>
      </c>
      <c r="X39" s="147">
        <f t="shared" si="12"/>
        <v>0.50712844597059914</v>
      </c>
      <c r="Y39" s="147">
        <f t="shared" si="12"/>
        <v>0.50837688536586945</v>
      </c>
      <c r="Z39" s="147">
        <f t="shared" si="12"/>
        <v>0.26362882935520687</v>
      </c>
      <c r="AA39" s="147">
        <f t="shared" si="12"/>
        <v>0.65918844004025823</v>
      </c>
      <c r="AB39" s="147">
        <f t="shared" si="12"/>
        <v>0.46794965113888265</v>
      </c>
      <c r="AC39" s="147">
        <f t="shared" si="12"/>
        <v>0.86815414785105893</v>
      </c>
      <c r="AD39" s="147">
        <f t="shared" si="12"/>
        <v>0.20587259202593258</v>
      </c>
      <c r="AE39" s="147">
        <f t="shared" si="12"/>
        <v>0.26877595412299782</v>
      </c>
      <c r="AF39" s="147">
        <f t="shared" si="12"/>
        <v>0.69781671513432242</v>
      </c>
      <c r="AG39" s="147">
        <f t="shared" si="12"/>
        <v>0.25818339591513156</v>
      </c>
      <c r="AH39" s="147">
        <f t="shared" si="12"/>
        <v>0.18530231534879057</v>
      </c>
      <c r="AI39" s="147">
        <f t="shared" si="12"/>
        <v>9.8279588263612827E-2</v>
      </c>
      <c r="AJ39" s="147">
        <f t="shared" si="12"/>
        <v>0.35120490594401799</v>
      </c>
      <c r="AK39" s="147">
        <f>AK12/AK$6*100</f>
        <v>0.4975136194749189</v>
      </c>
      <c r="AL39" s="147">
        <f t="shared" si="18"/>
        <v>2.2210005311822566E-2</v>
      </c>
      <c r="AM39" s="147">
        <f t="shared" si="18"/>
        <v>5.6272121390664294E-2</v>
      </c>
      <c r="AN39" s="147">
        <f t="shared" si="18"/>
        <v>0.28823096954164751</v>
      </c>
      <c r="AO39" s="147">
        <f t="shared" si="18"/>
        <v>0.8712648606802107</v>
      </c>
      <c r="AP39" s="147">
        <f t="shared" si="18"/>
        <v>0.19447318602998662</v>
      </c>
      <c r="AQ39" s="147">
        <f t="shared" si="18"/>
        <v>0.27681744945794301</v>
      </c>
      <c r="AR39" s="147">
        <f t="shared" si="18"/>
        <v>5.7395174306817544E-2</v>
      </c>
      <c r="AS39" s="147">
        <f t="shared" si="18"/>
        <v>9.906448986982111E-2</v>
      </c>
      <c r="AT39" s="147">
        <f t="shared" si="19"/>
        <v>0.52011139910057436</v>
      </c>
      <c r="AU39" s="147">
        <f t="shared" si="19"/>
        <v>0.3375425335966426</v>
      </c>
      <c r="AV39" s="147">
        <f t="shared" si="19"/>
        <v>0.3564613685289636</v>
      </c>
      <c r="AW39" s="147">
        <f t="shared" si="19"/>
        <v>0.14160535204061725</v>
      </c>
      <c r="AX39" s="147">
        <f t="shared" ref="AX39:BA39" si="21">AX12/AX$6*100</f>
        <v>0.31155035643611179</v>
      </c>
      <c r="AY39" s="147">
        <f t="shared" si="21"/>
        <v>0.18159555897512267</v>
      </c>
      <c r="AZ39" s="147">
        <f t="shared" si="21"/>
        <v>0.12355916546769388</v>
      </c>
      <c r="BA39" s="147">
        <f t="shared" si="21"/>
        <v>0.67552793305430725</v>
      </c>
    </row>
    <row r="40" spans="1:54" ht="17.25" customHeight="1">
      <c r="A40" s="137" t="s">
        <v>90</v>
      </c>
      <c r="B40" s="147">
        <f t="shared" si="4"/>
        <v>7.6730914298833488</v>
      </c>
      <c r="C40" s="147">
        <f t="shared" si="5"/>
        <v>7.7464308903335448</v>
      </c>
      <c r="D40" s="148" t="s">
        <v>109</v>
      </c>
      <c r="E40" s="147">
        <f t="shared" si="6"/>
        <v>4.6306938965583999</v>
      </c>
      <c r="F40" s="147">
        <f t="shared" si="7"/>
        <v>9.0627247278339507</v>
      </c>
      <c r="G40" s="147">
        <f t="shared" si="8"/>
        <v>8.8109645072875473</v>
      </c>
      <c r="H40" s="147">
        <f t="shared" si="9"/>
        <v>5.1787467329636003</v>
      </c>
      <c r="I40" s="147">
        <f t="shared" si="10"/>
        <v>5.0233862193249665</v>
      </c>
      <c r="J40" s="147">
        <f t="shared" si="11"/>
        <v>6.7721585575704388</v>
      </c>
      <c r="K40" s="147">
        <f>K13/$K$6*100</f>
        <v>7.0444272463989046</v>
      </c>
      <c r="L40" s="147">
        <f t="shared" si="12"/>
        <v>7.977018452171988</v>
      </c>
      <c r="M40" s="147">
        <f t="shared" si="12"/>
        <v>6.1207198948228205</v>
      </c>
      <c r="N40" s="147">
        <f t="shared" si="12"/>
        <v>7.4526683522008055</v>
      </c>
      <c r="O40" s="147">
        <f t="shared" si="12"/>
        <v>8.3892427544120007</v>
      </c>
      <c r="P40" s="147">
        <f t="shared" si="12"/>
        <v>5.7256065006820522</v>
      </c>
      <c r="Q40" s="147">
        <f t="shared" si="12"/>
        <v>6.0837909545258224</v>
      </c>
      <c r="R40" s="147">
        <f t="shared" si="12"/>
        <v>5.9904794932671752</v>
      </c>
      <c r="S40" s="147">
        <f t="shared" si="12"/>
        <v>6.170130127232305</v>
      </c>
      <c r="T40" s="147">
        <f t="shared" si="12"/>
        <v>5.6523973138925498</v>
      </c>
      <c r="U40" s="147">
        <f t="shared" si="12"/>
        <v>5.9584518499571795</v>
      </c>
      <c r="V40" s="147">
        <f t="shared" si="12"/>
        <v>7.7079003299632465</v>
      </c>
      <c r="W40" s="147">
        <f t="shared" si="12"/>
        <v>8.3269005343654268</v>
      </c>
      <c r="X40" s="147">
        <f t="shared" si="12"/>
        <v>5.1880147981539269</v>
      </c>
      <c r="Y40" s="147">
        <f t="shared" si="12"/>
        <v>4.824363521493944</v>
      </c>
      <c r="Z40" s="147">
        <f t="shared" si="12"/>
        <v>10.241687099528281</v>
      </c>
      <c r="AA40" s="147">
        <f t="shared" si="12"/>
        <v>9.6075181979738744</v>
      </c>
      <c r="AB40" s="147">
        <f t="shared" si="12"/>
        <v>6.286478836459251</v>
      </c>
      <c r="AC40" s="147">
        <f t="shared" si="12"/>
        <v>6.3865134399927417</v>
      </c>
      <c r="AD40" s="147">
        <f t="shared" si="12"/>
        <v>9.1757944616897795</v>
      </c>
      <c r="AE40" s="147">
        <f t="shared" si="12"/>
        <v>6.1661854854656912</v>
      </c>
      <c r="AF40" s="147">
        <f t="shared" si="12"/>
        <v>6.485508550458392</v>
      </c>
      <c r="AG40" s="147">
        <f t="shared" si="12"/>
        <v>6.4924630190928685</v>
      </c>
      <c r="AH40" s="147">
        <f t="shared" si="12"/>
        <v>8.2742215442452753</v>
      </c>
      <c r="AI40" s="147">
        <f t="shared" si="12"/>
        <v>6.9627615366744138</v>
      </c>
      <c r="AJ40" s="147">
        <f t="shared" si="12"/>
        <v>5.8454652253289137</v>
      </c>
      <c r="AK40" s="147">
        <f>AK13/AK$6*100</f>
        <v>6.0808451714498117</v>
      </c>
      <c r="AL40" s="147">
        <f t="shared" si="18"/>
        <v>7.1466392377323498</v>
      </c>
      <c r="AM40" s="147">
        <f t="shared" si="18"/>
        <v>7.4473035919374597</v>
      </c>
      <c r="AN40" s="147">
        <f t="shared" si="18"/>
        <v>4.5787155685948484</v>
      </c>
      <c r="AO40" s="147">
        <f t="shared" si="18"/>
        <v>5.2727207506025193</v>
      </c>
      <c r="AP40" s="147">
        <f t="shared" si="18"/>
        <v>8.4334935540687113</v>
      </c>
      <c r="AQ40" s="147">
        <f t="shared" si="18"/>
        <v>8.0691598319178048</v>
      </c>
      <c r="AR40" s="147">
        <f t="shared" si="18"/>
        <v>7.4346916599382462</v>
      </c>
      <c r="AS40" s="147">
        <f t="shared" si="18"/>
        <v>4.7727564490240848</v>
      </c>
      <c r="AT40" s="147">
        <f t="shared" si="19"/>
        <v>7.5593287639544853</v>
      </c>
      <c r="AU40" s="147">
        <f t="shared" si="19"/>
        <v>7.0822591665544925</v>
      </c>
      <c r="AV40" s="147">
        <f t="shared" si="19"/>
        <v>5.7900157465558877</v>
      </c>
      <c r="AW40" s="147">
        <f t="shared" si="19"/>
        <v>5.412047294279855</v>
      </c>
      <c r="AX40" s="147">
        <f t="shared" ref="AX40:BA40" si="22">AX13/AX$6*100</f>
        <v>7.2442592301175672</v>
      </c>
      <c r="AY40" s="147">
        <f t="shared" si="22"/>
        <v>4.854103066855294</v>
      </c>
      <c r="AZ40" s="147">
        <f t="shared" si="22"/>
        <v>4.307403233643373</v>
      </c>
      <c r="BA40" s="147">
        <f t="shared" si="22"/>
        <v>5.8677807132401929</v>
      </c>
    </row>
    <row r="41" spans="1:54" ht="17.25" customHeight="1">
      <c r="A41" s="137" t="s">
        <v>110</v>
      </c>
      <c r="B41" s="147"/>
      <c r="C41" s="147"/>
      <c r="D41" s="148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</row>
    <row r="42" spans="1:54" ht="17.25" customHeight="1">
      <c r="A42" s="149" t="s">
        <v>111</v>
      </c>
      <c r="B42" s="147">
        <f t="shared" ref="B42:B49" si="23">B15*100/$B$6</f>
        <v>18.664451890804536</v>
      </c>
      <c r="C42" s="147">
        <f t="shared" ref="C42:C49" si="24">C15*100/$C$6</f>
        <v>18.519424025993111</v>
      </c>
      <c r="D42" s="148" t="s">
        <v>109</v>
      </c>
      <c r="E42" s="147">
        <f>SUM(E15*100/$E$6)</f>
        <v>16.284484660512906</v>
      </c>
      <c r="F42" s="147">
        <f t="shared" ref="F42:F49" si="25">F15/$F$6*100</f>
        <v>16.488856822967264</v>
      </c>
      <c r="G42" s="147">
        <f t="shared" ref="G42:G49" si="26">G15/$G$6*100</f>
        <v>14.689201595384544</v>
      </c>
      <c r="H42" s="147">
        <f t="shared" ref="H42:H49" si="27">H15/$H$6*100</f>
        <v>14.322942563906418</v>
      </c>
      <c r="I42" s="147">
        <f>I15/$I$6*100</f>
        <v>16.068684765539608</v>
      </c>
      <c r="J42" s="147">
        <f t="shared" ref="J42:J49" si="28">J15/$J$6*100</f>
        <v>18.600930641962186</v>
      </c>
      <c r="K42" s="147">
        <f t="shared" ref="K42:K49" si="29">K15/$K$6*100</f>
        <v>16.06521824687491</v>
      </c>
      <c r="L42" s="147">
        <f t="shared" ref="L42:AG49" si="30">L15/L$6*100</f>
        <v>15.206142692813756</v>
      </c>
      <c r="M42" s="147">
        <f t="shared" si="30"/>
        <v>20.234152249510284</v>
      </c>
      <c r="N42" s="147">
        <f t="shared" si="30"/>
        <v>15.580947211651605</v>
      </c>
      <c r="O42" s="147">
        <f t="shared" si="30"/>
        <v>17.236546618703407</v>
      </c>
      <c r="P42" s="147">
        <f t="shared" si="30"/>
        <v>16.074221704866133</v>
      </c>
      <c r="Q42" s="147">
        <f t="shared" si="30"/>
        <v>15.66600725562021</v>
      </c>
      <c r="R42" s="147">
        <f t="shared" si="30"/>
        <v>15.712689365309432</v>
      </c>
      <c r="S42" s="147">
        <f t="shared" si="30"/>
        <v>14.480118941915723</v>
      </c>
      <c r="T42" s="147">
        <f t="shared" si="30"/>
        <v>14.814796364247101</v>
      </c>
      <c r="U42" s="147">
        <f t="shared" si="30"/>
        <v>15.509088520590947</v>
      </c>
      <c r="V42" s="147">
        <f t="shared" si="30"/>
        <v>14.807320839351345</v>
      </c>
      <c r="W42" s="147">
        <f t="shared" si="30"/>
        <v>15.08605826570941</v>
      </c>
      <c r="X42" s="147">
        <f t="shared" si="30"/>
        <v>14.491910896346683</v>
      </c>
      <c r="Y42" s="147">
        <f t="shared" si="30"/>
        <v>13.900887734697065</v>
      </c>
      <c r="Z42" s="147">
        <f t="shared" si="30"/>
        <v>16.087607570326405</v>
      </c>
      <c r="AA42" s="147">
        <f t="shared" si="30"/>
        <v>17.184550647980551</v>
      </c>
      <c r="AB42" s="147">
        <f t="shared" si="30"/>
        <v>17.046319211299227</v>
      </c>
      <c r="AC42" s="147">
        <f t="shared" si="30"/>
        <v>14.748806154038272</v>
      </c>
      <c r="AD42" s="147">
        <f t="shared" si="30"/>
        <v>17.187307898452257</v>
      </c>
      <c r="AE42" s="147">
        <f t="shared" si="30"/>
        <v>16.750168083844176</v>
      </c>
      <c r="AF42" s="147">
        <f t="shared" si="30"/>
        <v>14.723638871769934</v>
      </c>
      <c r="AG42" s="147">
        <f t="shared" si="30"/>
        <v>14.576572343768055</v>
      </c>
      <c r="AH42" s="147">
        <f>AH15/AH$6*100-0.02</f>
        <v>16.044683530174918</v>
      </c>
      <c r="AI42" s="147">
        <f t="shared" ref="AI42:AS49" si="31">AI15/AI$6*100</f>
        <v>15.631164928477848</v>
      </c>
      <c r="AJ42" s="147">
        <f t="shared" si="31"/>
        <v>15.3451540262392</v>
      </c>
      <c r="AK42" s="147">
        <f t="shared" si="31"/>
        <v>15.281442757827882</v>
      </c>
      <c r="AL42" s="147">
        <f t="shared" si="31"/>
        <v>16.351377484797126</v>
      </c>
      <c r="AM42" s="147">
        <f t="shared" si="31"/>
        <v>14.139758089651139</v>
      </c>
      <c r="AN42" s="147">
        <f t="shared" si="31"/>
        <v>16.147891001284844</v>
      </c>
      <c r="AO42" s="147">
        <f t="shared" si="31"/>
        <v>16.289499523240263</v>
      </c>
      <c r="AP42" s="147">
        <f t="shared" si="31"/>
        <v>16.466197817697417</v>
      </c>
      <c r="AQ42" s="147">
        <f t="shared" si="31"/>
        <v>13.512318740840898</v>
      </c>
      <c r="AR42" s="147">
        <f t="shared" si="31"/>
        <v>13.691851514030407</v>
      </c>
      <c r="AS42" s="147">
        <f t="shared" si="31"/>
        <v>13.866876619073661</v>
      </c>
      <c r="AT42" s="147">
        <f t="shared" ref="AT42:AW49" si="32">AT15/AT$6*100</f>
        <v>16.515790950007013</v>
      </c>
      <c r="AU42" s="147">
        <f t="shared" si="32"/>
        <v>17.840596773836278</v>
      </c>
      <c r="AV42" s="147">
        <f t="shared" si="32"/>
        <v>18.070661776208325</v>
      </c>
      <c r="AW42" s="147">
        <f t="shared" si="32"/>
        <v>15.550400839399762</v>
      </c>
      <c r="AX42" s="147">
        <f t="shared" ref="AX42:BA42" si="33">AX15/AX$6*100</f>
        <v>15.724935525138878</v>
      </c>
      <c r="AY42" s="147">
        <f t="shared" si="33"/>
        <v>17.619650376841808</v>
      </c>
      <c r="AZ42" s="147">
        <f t="shared" si="33"/>
        <v>16.101594141610303</v>
      </c>
      <c r="BA42" s="147">
        <f t="shared" si="33"/>
        <v>16.739938895505826</v>
      </c>
    </row>
    <row r="43" spans="1:54" ht="18.75" customHeight="1">
      <c r="A43" s="139" t="s">
        <v>93</v>
      </c>
      <c r="B43" s="147">
        <f t="shared" si="23"/>
        <v>2.2051186740863025</v>
      </c>
      <c r="C43" s="147">
        <f t="shared" si="24"/>
        <v>2.7639724998864406</v>
      </c>
      <c r="D43" s="148" t="s">
        <v>109</v>
      </c>
      <c r="E43" s="147">
        <f>SUM(E16*100/$E$6)</f>
        <v>1.2220905080230242</v>
      </c>
      <c r="F43" s="147">
        <f t="shared" si="25"/>
        <v>1.9432458575299099</v>
      </c>
      <c r="G43" s="147">
        <f t="shared" si="26"/>
        <v>1.619151538230577</v>
      </c>
      <c r="H43" s="147">
        <f t="shared" si="27"/>
        <v>1.293682667176643</v>
      </c>
      <c r="I43" s="147">
        <f>ROUNDDOWN(I16/$I$6*100,1)</f>
        <v>1.9</v>
      </c>
      <c r="J43" s="147">
        <f t="shared" si="28"/>
        <v>3.6304509122514852</v>
      </c>
      <c r="K43" s="147">
        <f t="shared" si="29"/>
        <v>1.6408743791180034</v>
      </c>
      <c r="L43" s="147">
        <f t="shared" si="30"/>
        <v>2.4121615558035963</v>
      </c>
      <c r="M43" s="147">
        <f t="shared" si="30"/>
        <v>1.6624131656588408</v>
      </c>
      <c r="N43" s="147">
        <f t="shared" si="30"/>
        <v>2.0298247749572464</v>
      </c>
      <c r="O43" s="147">
        <f t="shared" si="30"/>
        <v>2.8285273535053328</v>
      </c>
      <c r="P43" s="147">
        <f t="shared" si="30"/>
        <v>1.8063423910936955</v>
      </c>
      <c r="Q43" s="147">
        <f t="shared" si="30"/>
        <v>1.7114046210820972</v>
      </c>
      <c r="R43" s="147">
        <f t="shared" si="30"/>
        <v>1.9757570907323261</v>
      </c>
      <c r="S43" s="147">
        <f t="shared" si="30"/>
        <v>2.3128472582355655</v>
      </c>
      <c r="T43" s="147">
        <f t="shared" si="30"/>
        <v>2.2127792216664912</v>
      </c>
      <c r="U43" s="147">
        <f t="shared" si="30"/>
        <v>1.7558497737859029</v>
      </c>
      <c r="V43" s="147">
        <f t="shared" si="30"/>
        <v>2.3369705616420662</v>
      </c>
      <c r="W43" s="147">
        <f t="shared" si="30"/>
        <v>1.831911671850518</v>
      </c>
      <c r="X43" s="147">
        <f t="shared" si="30"/>
        <v>2.0899761134754473</v>
      </c>
      <c r="Y43" s="147">
        <f t="shared" si="30"/>
        <v>1.5503156398029239</v>
      </c>
      <c r="Z43" s="147">
        <f>Z16/Z$6*100-0.01</f>
        <v>2.2445537486457292</v>
      </c>
      <c r="AA43" s="147">
        <f t="shared" si="30"/>
        <v>1.1099496126364725</v>
      </c>
      <c r="AB43" s="147">
        <f t="shared" si="30"/>
        <v>1.3219802764775008</v>
      </c>
      <c r="AC43" s="147">
        <f t="shared" si="30"/>
        <v>1.6005792327272481</v>
      </c>
      <c r="AD43" s="147">
        <f t="shared" si="30"/>
        <v>2.9545368710419551</v>
      </c>
      <c r="AE43" s="147">
        <f t="shared" si="30"/>
        <v>1.9242238481313032</v>
      </c>
      <c r="AF43" s="147">
        <f t="shared" si="30"/>
        <v>1.7257374637227128</v>
      </c>
      <c r="AG43" s="147">
        <f t="shared" si="30"/>
        <v>1.9690501315021238</v>
      </c>
      <c r="AH43" s="147">
        <f>AH16/AH$6*100</f>
        <v>1.7740007344151127</v>
      </c>
      <c r="AI43" s="147">
        <f t="shared" si="31"/>
        <v>2.4046165060209219</v>
      </c>
      <c r="AJ43" s="147">
        <f t="shared" si="31"/>
        <v>1.4542114199679799</v>
      </c>
      <c r="AK43" s="147">
        <f t="shared" si="31"/>
        <v>1.2959580581134544</v>
      </c>
      <c r="AL43" s="147">
        <f t="shared" si="31"/>
        <v>2.0189992661408889</v>
      </c>
      <c r="AM43" s="147">
        <f t="shared" si="31"/>
        <v>1.2713742266852819</v>
      </c>
      <c r="AN43" s="147">
        <f t="shared" si="31"/>
        <v>1.2507472018578702</v>
      </c>
      <c r="AO43" s="147">
        <f t="shared" si="31"/>
        <v>1.184349600447812</v>
      </c>
      <c r="AP43" s="147">
        <f t="shared" si="31"/>
        <v>2.5520153441480846</v>
      </c>
      <c r="AQ43" s="147">
        <f t="shared" si="31"/>
        <v>1.2435329646752111</v>
      </c>
      <c r="AR43" s="147">
        <f t="shared" si="31"/>
        <v>0.98137991960021931</v>
      </c>
      <c r="AS43" s="147">
        <f t="shared" si="31"/>
        <v>1.8280552119423543</v>
      </c>
      <c r="AT43" s="147">
        <f t="shared" si="32"/>
        <v>2.4579384609219752</v>
      </c>
      <c r="AU43" s="147">
        <f t="shared" si="32"/>
        <v>1.8439602718742385</v>
      </c>
      <c r="AV43" s="147">
        <f t="shared" si="32"/>
        <v>1.7190982774077819</v>
      </c>
      <c r="AW43" s="147">
        <f t="shared" si="32"/>
        <v>1.8256077627134812</v>
      </c>
      <c r="AX43" s="147">
        <f t="shared" ref="AX43:BA43" si="34">AX16/AX$6*100</f>
        <v>2.7559283034652129</v>
      </c>
      <c r="AY43" s="147">
        <f t="shared" si="34"/>
        <v>1.8516955813126172</v>
      </c>
      <c r="AZ43" s="147">
        <f t="shared" si="34"/>
        <v>1.9193802039159356</v>
      </c>
      <c r="BA43" s="147">
        <f t="shared" si="34"/>
        <v>1.847283353870137</v>
      </c>
    </row>
    <row r="44" spans="1:54" ht="19.5" customHeight="1">
      <c r="A44" s="140" t="s">
        <v>94</v>
      </c>
      <c r="B44" s="147">
        <f t="shared" si="23"/>
        <v>8.7932796903869068</v>
      </c>
      <c r="C44" s="147">
        <f t="shared" si="24"/>
        <v>6.3092346621135968</v>
      </c>
      <c r="D44" s="148" t="s">
        <v>109</v>
      </c>
      <c r="E44" s="147">
        <f>SUM(E17*100/$E$6)</f>
        <v>4.3209261130510903</v>
      </c>
      <c r="F44" s="147">
        <f t="shared" si="25"/>
        <v>6.8613436621298156</v>
      </c>
      <c r="G44" s="147">
        <f t="shared" si="26"/>
        <v>6.9981485710177136</v>
      </c>
      <c r="H44" s="147">
        <f t="shared" si="27"/>
        <v>4.8331739657040869</v>
      </c>
      <c r="I44" s="147">
        <f>I17/$I$6*100</f>
        <v>5.1409593642907119</v>
      </c>
      <c r="J44" s="147">
        <f t="shared" si="28"/>
        <v>5.868690599699204</v>
      </c>
      <c r="K44" s="147">
        <f t="shared" si="29"/>
        <v>4.2952789324347851</v>
      </c>
      <c r="L44" s="147">
        <f t="shared" si="30"/>
        <v>5.4338662504790278</v>
      </c>
      <c r="M44" s="147">
        <f t="shared" si="30"/>
        <v>6.615371037457134</v>
      </c>
      <c r="N44" s="147">
        <f t="shared" si="30"/>
        <v>6.5729844929528838</v>
      </c>
      <c r="O44" s="147">
        <f t="shared" si="30"/>
        <v>6.8153234756984595</v>
      </c>
      <c r="P44" s="147">
        <f t="shared" si="30"/>
        <v>3.8062348632708716</v>
      </c>
      <c r="Q44" s="147">
        <f t="shared" si="30"/>
        <v>4.9660451581138414</v>
      </c>
      <c r="R44" s="147">
        <f t="shared" si="30"/>
        <v>7.2500496477234666</v>
      </c>
      <c r="S44" s="147">
        <f t="shared" si="30"/>
        <v>6.8114453705200795</v>
      </c>
      <c r="T44" s="147">
        <f t="shared" si="30"/>
        <v>5.5408082803617535</v>
      </c>
      <c r="U44" s="147">
        <f t="shared" si="30"/>
        <v>6.9882397389978381</v>
      </c>
      <c r="V44" s="147">
        <f t="shared" si="30"/>
        <v>6.6929110743180562</v>
      </c>
      <c r="W44" s="147">
        <f t="shared" si="30"/>
        <v>6.4465641881621103</v>
      </c>
      <c r="X44" s="147">
        <f t="shared" si="30"/>
        <v>6.4672573095070716</v>
      </c>
      <c r="Y44" s="147">
        <f t="shared" si="30"/>
        <v>7.5443417616680231</v>
      </c>
      <c r="Z44" s="147">
        <f t="shared" si="30"/>
        <v>5.592758682371394</v>
      </c>
      <c r="AA44" s="147">
        <f t="shared" ref="AA44:AG49" si="35">AA17/AA$6*100</f>
        <v>5.8352827796020694</v>
      </c>
      <c r="AB44" s="147">
        <f t="shared" si="35"/>
        <v>7.8440097792172123</v>
      </c>
      <c r="AC44" s="147">
        <f t="shared" si="35"/>
        <v>8.2467626185799752</v>
      </c>
      <c r="AD44" s="147">
        <f t="shared" si="35"/>
        <v>6.0397329281237875</v>
      </c>
      <c r="AE44" s="147">
        <f t="shared" si="35"/>
        <v>7.1273086810361876</v>
      </c>
      <c r="AF44" s="147">
        <f t="shared" si="35"/>
        <v>7.0668266013608161</v>
      </c>
      <c r="AG44" s="147">
        <f t="shared" si="35"/>
        <v>6.1810206891063286</v>
      </c>
      <c r="AH44" s="147">
        <f>AH17/AH$6*100</f>
        <v>6.1614030887493749</v>
      </c>
      <c r="AI44" s="147">
        <f t="shared" si="31"/>
        <v>5.4735583198741127</v>
      </c>
      <c r="AJ44" s="147">
        <f t="shared" si="31"/>
        <v>5.7669922781081251</v>
      </c>
      <c r="AK44" s="147">
        <f t="shared" si="31"/>
        <v>6.1196391997029487</v>
      </c>
      <c r="AL44" s="147">
        <f t="shared" si="31"/>
        <v>7.9556576821706013</v>
      </c>
      <c r="AM44" s="147">
        <f t="shared" si="31"/>
        <v>9.8585511850020708</v>
      </c>
      <c r="AN44" s="147">
        <f t="shared" si="31"/>
        <v>6.853386971547927</v>
      </c>
      <c r="AO44" s="147">
        <f t="shared" si="31"/>
        <v>6.3562125172163242</v>
      </c>
      <c r="AP44" s="147">
        <f t="shared" si="31"/>
        <v>6.5656070964903996</v>
      </c>
      <c r="AQ44" s="147">
        <f t="shared" si="31"/>
        <v>5.6581195197188912</v>
      </c>
      <c r="AR44" s="147">
        <f t="shared" si="31"/>
        <v>5.8114940817043577</v>
      </c>
      <c r="AS44" s="147">
        <f t="shared" si="31"/>
        <v>7.2376442093280913</v>
      </c>
      <c r="AT44" s="147">
        <f t="shared" si="32"/>
        <v>7.4334674518275383</v>
      </c>
      <c r="AU44" s="147">
        <f t="shared" si="32"/>
        <v>5.8943854800481867</v>
      </c>
      <c r="AV44" s="147">
        <f t="shared" si="32"/>
        <v>4.4252348285547072</v>
      </c>
      <c r="AW44" s="147">
        <f t="shared" si="32"/>
        <v>5.9338105540645421</v>
      </c>
      <c r="AX44" s="147">
        <f t="shared" ref="AX44:BA44" si="36">AX17/AX$6*100</f>
        <v>5.2042199948305958</v>
      </c>
      <c r="AY44" s="147">
        <f t="shared" si="36"/>
        <v>6.3009936048579922</v>
      </c>
      <c r="AZ44" s="147">
        <f t="shared" si="36"/>
        <v>7.0731125333408933</v>
      </c>
      <c r="BA44" s="147">
        <f t="shared" si="36"/>
        <v>5.7184922984842208</v>
      </c>
    </row>
    <row r="45" spans="1:54" ht="19.5" customHeight="1">
      <c r="A45" s="140" t="s">
        <v>95</v>
      </c>
      <c r="B45" s="147">
        <f t="shared" si="23"/>
        <v>0</v>
      </c>
      <c r="C45" s="147">
        <f t="shared" si="24"/>
        <v>0</v>
      </c>
      <c r="D45" s="148" t="s">
        <v>109</v>
      </c>
      <c r="E45" s="147" t="s">
        <v>109</v>
      </c>
      <c r="F45" s="147">
        <f t="shared" si="25"/>
        <v>0.19584115459474727</v>
      </c>
      <c r="G45" s="147">
        <f t="shared" si="26"/>
        <v>0.22475455750447879</v>
      </c>
      <c r="H45" s="147">
        <f t="shared" si="27"/>
        <v>0.10403518837253778</v>
      </c>
      <c r="I45" s="147">
        <f>I18/$I$6*100</f>
        <v>0.16248520939858549</v>
      </c>
      <c r="J45" s="147">
        <f t="shared" si="28"/>
        <v>1.021131050498477</v>
      </c>
      <c r="K45" s="147">
        <f t="shared" si="29"/>
        <v>0.17473646924986397</v>
      </c>
      <c r="L45" s="147">
        <f t="shared" si="30"/>
        <v>0.21164345785838493</v>
      </c>
      <c r="M45" s="147">
        <f t="shared" si="30"/>
        <v>0.3134118470952888</v>
      </c>
      <c r="N45" s="147">
        <f t="shared" si="30"/>
        <v>1.7161318388352653</v>
      </c>
      <c r="O45" s="147">
        <f t="shared" si="30"/>
        <v>0.61771671184028043</v>
      </c>
      <c r="P45" s="147">
        <f t="shared" si="30"/>
        <v>0.28451111725158884</v>
      </c>
      <c r="Q45" s="147">
        <f t="shared" si="30"/>
        <v>0.62513930110823868</v>
      </c>
      <c r="R45" s="147">
        <f t="shared" si="30"/>
        <v>0.22119172320579059</v>
      </c>
      <c r="S45" s="147">
        <f t="shared" si="30"/>
        <v>0.27072492340397941</v>
      </c>
      <c r="T45" s="147">
        <f t="shared" si="30"/>
        <v>0.40422558064727332</v>
      </c>
      <c r="U45" s="147">
        <f t="shared" si="30"/>
        <v>0.43158462674520404</v>
      </c>
      <c r="V45" s="147">
        <f t="shared" si="30"/>
        <v>0.4011519357452355</v>
      </c>
      <c r="W45" s="147">
        <f t="shared" si="30"/>
        <v>0.43730487476906527</v>
      </c>
      <c r="X45" s="147">
        <f t="shared" si="30"/>
        <v>2.111909849687265E-2</v>
      </c>
      <c r="Y45" s="147">
        <f t="shared" si="30"/>
        <v>0.15168555900230046</v>
      </c>
      <c r="Z45" s="147">
        <f t="shared" si="30"/>
        <v>0.33627321788864162</v>
      </c>
      <c r="AA45" s="147">
        <f t="shared" si="35"/>
        <v>0.26627268613426791</v>
      </c>
      <c r="AB45" s="147">
        <f t="shared" si="35"/>
        <v>0.36529488482105199</v>
      </c>
      <c r="AC45" s="147">
        <f t="shared" si="35"/>
        <v>0.12674346491625776</v>
      </c>
      <c r="AD45" s="147">
        <f t="shared" si="35"/>
        <v>0.28478238334890904</v>
      </c>
      <c r="AE45" s="147">
        <f t="shared" si="35"/>
        <v>0.10527981016412893</v>
      </c>
      <c r="AF45" s="147">
        <f t="shared" si="35"/>
        <v>0.16887164506250602</v>
      </c>
      <c r="AG45" s="147">
        <f t="shared" si="35"/>
        <v>0.24226693285930842</v>
      </c>
      <c r="AH45" s="147">
        <f>AH18/AH$6*100</f>
        <v>0.30897199678410298</v>
      </c>
      <c r="AI45" s="147">
        <f t="shared" si="31"/>
        <v>0.28581716164397558</v>
      </c>
      <c r="AJ45" s="147">
        <f t="shared" si="31"/>
        <v>0.38782561464705256</v>
      </c>
      <c r="AK45" s="147">
        <f t="shared" si="31"/>
        <v>0.37194764231272576</v>
      </c>
      <c r="AL45" s="147">
        <f t="shared" si="31"/>
        <v>0.32031387888875656</v>
      </c>
      <c r="AM45" s="147">
        <f t="shared" si="31"/>
        <v>1.8017325665296156E-2</v>
      </c>
      <c r="AN45" s="147">
        <f t="shared" si="31"/>
        <v>0.3328913104718193</v>
      </c>
      <c r="AO45" s="147">
        <f t="shared" si="31"/>
        <v>0.28972643251075941</v>
      </c>
      <c r="AP45" s="147">
        <f t="shared" si="31"/>
        <v>9.4209080045662016E-2</v>
      </c>
      <c r="AQ45" s="147">
        <f t="shared" si="31"/>
        <v>0.11164997449619872</v>
      </c>
      <c r="AR45" s="147">
        <f t="shared" si="31"/>
        <v>8.5782517274784059E-2</v>
      </c>
      <c r="AS45" s="147">
        <f t="shared" si="31"/>
        <v>0</v>
      </c>
      <c r="AT45" s="147">
        <f t="shared" si="32"/>
        <v>0.10209155636346416</v>
      </c>
      <c r="AU45" s="147">
        <f t="shared" si="32"/>
        <v>6.1936754650368304E-2</v>
      </c>
      <c r="AV45" s="147">
        <f t="shared" si="32"/>
        <v>0.21011289399145414</v>
      </c>
      <c r="AW45" s="147">
        <f t="shared" si="32"/>
        <v>0.31989108614686895</v>
      </c>
      <c r="AX45" s="147">
        <f t="shared" ref="AX45:BA45" si="37">AX18/AX$6*100</f>
        <v>4.6557250333687468E-2</v>
      </c>
      <c r="AY45" s="147">
        <f t="shared" si="37"/>
        <v>0.16157454518378794</v>
      </c>
      <c r="AZ45" s="147">
        <f t="shared" si="37"/>
        <v>2.45700826169028E-2</v>
      </c>
      <c r="BA45" s="147">
        <f t="shared" si="37"/>
        <v>0.11301673213576756</v>
      </c>
    </row>
    <row r="46" spans="1:54" ht="19.5" customHeight="1">
      <c r="A46" s="140" t="s">
        <v>96</v>
      </c>
      <c r="B46" s="147">
        <f t="shared" si="23"/>
        <v>0.89203719292875183</v>
      </c>
      <c r="C46" s="147">
        <f t="shared" si="24"/>
        <v>0.53833903803042327</v>
      </c>
      <c r="D46" s="148" t="s">
        <v>109</v>
      </c>
      <c r="E46" s="147">
        <f>SUM(E19*100/$E$6)</f>
        <v>0.78863430099317366</v>
      </c>
      <c r="F46" s="147">
        <f t="shared" si="25"/>
        <v>0.97815332141939715</v>
      </c>
      <c r="G46" s="147">
        <f t="shared" si="26"/>
        <v>0.70056048833519846</v>
      </c>
      <c r="H46" s="147">
        <f t="shared" si="27"/>
        <v>1.0766239561420283</v>
      </c>
      <c r="I46" s="147">
        <f>ROUNDDOWN(I19/$I$6*100,1)</f>
        <v>0.4</v>
      </c>
      <c r="J46" s="147">
        <f t="shared" si="28"/>
        <v>0.59192807828789451</v>
      </c>
      <c r="K46" s="147">
        <f t="shared" si="29"/>
        <v>0.77679269801169715</v>
      </c>
      <c r="L46" s="147">
        <f t="shared" si="30"/>
        <v>0.75319621386383673</v>
      </c>
      <c r="M46" s="147">
        <f t="shared" si="30"/>
        <v>0.47465837505356551</v>
      </c>
      <c r="N46" s="147">
        <f t="shared" si="30"/>
        <v>0.99109939529633539</v>
      </c>
      <c r="O46" s="147">
        <f t="shared" si="30"/>
        <v>0.81518898682608254</v>
      </c>
      <c r="P46" s="147">
        <f t="shared" si="30"/>
        <v>0.82502597547115319</v>
      </c>
      <c r="Q46" s="147">
        <f t="shared" si="30"/>
        <v>0.97066901049307242</v>
      </c>
      <c r="R46" s="147">
        <f t="shared" si="30"/>
        <v>1.1891741286454027</v>
      </c>
      <c r="S46" s="147">
        <f t="shared" si="30"/>
        <v>1.4499704714140365</v>
      </c>
      <c r="T46" s="147">
        <f t="shared" si="30"/>
        <v>0.39390644170469324</v>
      </c>
      <c r="U46" s="147">
        <f t="shared" si="30"/>
        <v>0.50013831111778595</v>
      </c>
      <c r="V46" s="147">
        <f t="shared" si="30"/>
        <v>0.65478916405396836</v>
      </c>
      <c r="W46" s="147">
        <f t="shared" si="30"/>
        <v>1.051187121442436</v>
      </c>
      <c r="X46" s="147">
        <f t="shared" si="30"/>
        <v>1.0962783938389089</v>
      </c>
      <c r="Y46" s="147">
        <f t="shared" si="30"/>
        <v>0.73540152419521387</v>
      </c>
      <c r="Z46" s="147">
        <f t="shared" si="30"/>
        <v>0.86899873380049653</v>
      </c>
      <c r="AA46" s="147">
        <f t="shared" si="35"/>
        <v>1.6459180447956527</v>
      </c>
      <c r="AB46" s="147">
        <f t="shared" si="35"/>
        <v>1.3417908454160294</v>
      </c>
      <c r="AC46" s="147">
        <f t="shared" si="35"/>
        <v>0.87581220705281404</v>
      </c>
      <c r="AD46" s="147">
        <f t="shared" si="35"/>
        <v>0.69098298939539193</v>
      </c>
      <c r="AE46" s="147">
        <f t="shared" si="35"/>
        <v>0.69479928811548353</v>
      </c>
      <c r="AF46" s="147">
        <f t="shared" si="35"/>
        <v>0.99442554626194279</v>
      </c>
      <c r="AG46" s="147">
        <f t="shared" si="35"/>
        <v>0.85757596858947238</v>
      </c>
      <c r="AH46" s="147">
        <f>AH19/AH$6*100-0.04</f>
        <v>0.72159170725631239</v>
      </c>
      <c r="AI46" s="147">
        <f t="shared" si="31"/>
        <v>0.76148717535202215</v>
      </c>
      <c r="AJ46" s="147">
        <f t="shared" si="31"/>
        <v>0.67917566476972424</v>
      </c>
      <c r="AK46" s="147">
        <f t="shared" si="31"/>
        <v>0.68071643861320053</v>
      </c>
      <c r="AL46" s="147">
        <f t="shared" si="31"/>
        <v>0.99539670194088414</v>
      </c>
      <c r="AM46" s="147">
        <f t="shared" si="31"/>
        <v>1.1388486843509706</v>
      </c>
      <c r="AN46" s="147">
        <f t="shared" si="31"/>
        <v>0.98476051751028915</v>
      </c>
      <c r="AO46" s="147">
        <f t="shared" si="31"/>
        <v>0.69741231666857151</v>
      </c>
      <c r="AP46" s="147">
        <f t="shared" si="31"/>
        <v>0.79748253392150181</v>
      </c>
      <c r="AQ46" s="147">
        <f t="shared" si="31"/>
        <v>0.48667729999757109</v>
      </c>
      <c r="AR46" s="147">
        <f t="shared" si="31"/>
        <v>0.82431880072007679</v>
      </c>
      <c r="AS46" s="147">
        <f t="shared" si="31"/>
        <v>0.48879235563484014</v>
      </c>
      <c r="AT46" s="147">
        <f t="shared" si="32"/>
        <v>1.6647936220554191</v>
      </c>
      <c r="AU46" s="147">
        <f t="shared" si="32"/>
        <v>0.98936936967637845</v>
      </c>
      <c r="AV46" s="147">
        <f t="shared" si="32"/>
        <v>0.4209404576903622</v>
      </c>
      <c r="AW46" s="147">
        <f t="shared" si="32"/>
        <v>0.97007904058688621</v>
      </c>
      <c r="AX46" s="147">
        <f t="shared" ref="AX46:BA46" si="38">AX19/AX$6*100</f>
        <v>0.83721514260298235</v>
      </c>
      <c r="AY46" s="147">
        <f t="shared" si="38"/>
        <v>0.79695217294184806</v>
      </c>
      <c r="AZ46" s="147">
        <f t="shared" si="38"/>
        <v>0.73757498009587052</v>
      </c>
      <c r="BA46" s="147">
        <f t="shared" si="38"/>
        <v>1.4814795759557331</v>
      </c>
    </row>
    <row r="47" spans="1:54" ht="19.5" customHeight="1">
      <c r="A47" s="141" t="s">
        <v>112</v>
      </c>
      <c r="B47" s="147">
        <f t="shared" si="23"/>
        <v>1.039901496681936</v>
      </c>
      <c r="C47" s="147">
        <f t="shared" si="24"/>
        <v>1.3705300959511346</v>
      </c>
      <c r="D47" s="148" t="s">
        <v>109</v>
      </c>
      <c r="E47" s="147">
        <f>SUM(E20*100/$E$6)</f>
        <v>1.8828555495451571</v>
      </c>
      <c r="F47" s="147">
        <f t="shared" si="25"/>
        <v>9.1926104052838617E-2</v>
      </c>
      <c r="G47" s="147">
        <f t="shared" si="26"/>
        <v>0.13334815719237886</v>
      </c>
      <c r="H47" s="147">
        <f t="shared" si="27"/>
        <v>7.7835150124306751E-2</v>
      </c>
      <c r="I47" s="147">
        <f>I20/$I$6*100</f>
        <v>7.2535802807849645E-2</v>
      </c>
      <c r="J47" s="147">
        <f t="shared" si="28"/>
        <v>0.11373902173652317</v>
      </c>
      <c r="K47" s="147">
        <f t="shared" si="29"/>
        <v>0.14170045279190724</v>
      </c>
      <c r="L47" s="147">
        <f t="shared" si="30"/>
        <v>0.20846225645821467</v>
      </c>
      <c r="M47" s="147">
        <f t="shared" si="30"/>
        <v>0.19074313079970867</v>
      </c>
      <c r="N47" s="147">
        <f t="shared" si="30"/>
        <v>0.27710873025533778</v>
      </c>
      <c r="O47" s="147">
        <f t="shared" si="30"/>
        <v>0.14620671472313601</v>
      </c>
      <c r="P47" s="147">
        <f t="shared" si="30"/>
        <v>0.38009835044817847</v>
      </c>
      <c r="Q47" s="147">
        <f t="shared" si="30"/>
        <v>0.32601181399319767</v>
      </c>
      <c r="R47" s="147">
        <f t="shared" si="30"/>
        <v>0.1404956473025725</v>
      </c>
      <c r="S47" s="147">
        <f t="shared" si="30"/>
        <v>0.59219337082726276</v>
      </c>
      <c r="T47" s="147">
        <f t="shared" si="30"/>
        <v>0.41233855885040521</v>
      </c>
      <c r="U47" s="147">
        <f t="shared" si="30"/>
        <v>0.28452250053708034</v>
      </c>
      <c r="V47" s="147">
        <f t="shared" si="30"/>
        <v>0.24174798323176103</v>
      </c>
      <c r="W47" s="147">
        <f t="shared" si="30"/>
        <v>0.26130118565983018</v>
      </c>
      <c r="X47" s="147">
        <f t="shared" si="30"/>
        <v>6.502829091130001E-2</v>
      </c>
      <c r="Y47" s="147">
        <f t="shared" si="30"/>
        <v>5.6774148981411331E-2</v>
      </c>
      <c r="Z47" s="147">
        <f t="shared" si="30"/>
        <v>0.21801127784603921</v>
      </c>
      <c r="AA47" s="147">
        <f t="shared" si="35"/>
        <v>0.23380630965721072</v>
      </c>
      <c r="AB47" s="147">
        <f t="shared" si="35"/>
        <v>8.2994277447017983E-2</v>
      </c>
      <c r="AC47" s="147">
        <f t="shared" si="35"/>
        <v>0.29757019179226063</v>
      </c>
      <c r="AD47" s="147">
        <f t="shared" si="35"/>
        <v>0.14592686460542292</v>
      </c>
      <c r="AE47" s="147">
        <f t="shared" si="35"/>
        <v>0.56183508008700811</v>
      </c>
      <c r="AF47" s="147">
        <f t="shared" si="35"/>
        <v>0.3682268624177219</v>
      </c>
      <c r="AG47" s="147">
        <f t="shared" si="35"/>
        <v>0.58883261160845801</v>
      </c>
      <c r="AH47" s="147">
        <f>AH20/AH$6*100</f>
        <v>0.13353737347920261</v>
      </c>
      <c r="AI47" s="147">
        <f>AI20/AI$6*100-0.02</f>
        <v>0.23260488811216171</v>
      </c>
      <c r="AJ47" s="147">
        <f>AJ20/AJ$6*100+0.02</f>
        <v>6.5391214568887329E-2</v>
      </c>
      <c r="AK47" s="147">
        <f>AK20/AK$6*100</f>
        <v>8.7880349716288983E-2</v>
      </c>
      <c r="AL47" s="147">
        <f t="shared" si="31"/>
        <v>0.12473071424168032</v>
      </c>
      <c r="AM47" s="147">
        <f t="shared" si="31"/>
        <v>0.33225314769510583</v>
      </c>
      <c r="AN47" s="147">
        <f t="shared" si="31"/>
        <v>0.21428375119380527</v>
      </c>
      <c r="AO47" s="147">
        <f t="shared" si="31"/>
        <v>0.2772964761490827</v>
      </c>
      <c r="AP47" s="147">
        <f t="shared" si="31"/>
        <v>0.57638504266121948</v>
      </c>
      <c r="AQ47" s="147">
        <f t="shared" si="31"/>
        <v>0.55250139663673681</v>
      </c>
      <c r="AR47" s="147">
        <f t="shared" si="31"/>
        <v>0.70409917886120221</v>
      </c>
      <c r="AS47" s="147">
        <f t="shared" si="31"/>
        <v>0.76068171210152513</v>
      </c>
      <c r="AT47" s="147">
        <f t="shared" si="32"/>
        <v>0.50226131431267163</v>
      </c>
      <c r="AU47" s="147">
        <f t="shared" si="32"/>
        <v>0.54107335458664241</v>
      </c>
      <c r="AV47" s="147">
        <f t="shared" si="32"/>
        <v>0.22250050225398882</v>
      </c>
      <c r="AW47" s="147">
        <f t="shared" si="32"/>
        <v>0.48282829158735868</v>
      </c>
      <c r="AX47" s="147">
        <f t="shared" ref="AX47:BA47" si="39">AX20/AX$6*100</f>
        <v>0.12091839272304469</v>
      </c>
      <c r="AY47" s="147">
        <f t="shared" si="39"/>
        <v>0.27127646372639053</v>
      </c>
      <c r="AZ47" s="147">
        <f t="shared" si="39"/>
        <v>0.10284784582588159</v>
      </c>
      <c r="BA47" s="147">
        <f t="shared" si="39"/>
        <v>5.5222136187734687E-2</v>
      </c>
    </row>
    <row r="48" spans="1:54" ht="19.5" customHeight="1">
      <c r="A48" s="141" t="s">
        <v>98</v>
      </c>
      <c r="B48" s="147">
        <f t="shared" si="23"/>
        <v>0</v>
      </c>
      <c r="C48" s="147">
        <f t="shared" si="24"/>
        <v>0</v>
      </c>
      <c r="D48" s="148" t="s">
        <v>109</v>
      </c>
      <c r="E48" s="147" t="s">
        <v>109</v>
      </c>
      <c r="F48" s="147">
        <f t="shared" si="25"/>
        <v>0.6836801461245896</v>
      </c>
      <c r="G48" s="147">
        <f t="shared" si="26"/>
        <v>0.17469074611722521</v>
      </c>
      <c r="H48" s="147">
        <f t="shared" si="27"/>
        <v>0.14445081914961433</v>
      </c>
      <c r="I48" s="147">
        <f>I21/$I$6*100</f>
        <v>0.31338222922942299</v>
      </c>
      <c r="J48" s="147">
        <f t="shared" si="28"/>
        <v>0.23738627158065112</v>
      </c>
      <c r="K48" s="147">
        <f t="shared" si="29"/>
        <v>0.11155856104453081</v>
      </c>
      <c r="L48" s="147">
        <f t="shared" si="30"/>
        <v>0.11664405133957553</v>
      </c>
      <c r="M48" s="147">
        <f t="shared" si="30"/>
        <v>9.1374558832604549E-2</v>
      </c>
      <c r="N48" s="147">
        <f t="shared" si="30"/>
        <v>0.46987423680357804</v>
      </c>
      <c r="O48" s="147">
        <f t="shared" si="30"/>
        <v>0.24760599820370802</v>
      </c>
      <c r="P48" s="147">
        <f t="shared" si="30"/>
        <v>0.18467278408288143</v>
      </c>
      <c r="Q48" s="147">
        <f t="shared" si="30"/>
        <v>0.30510877763828431</v>
      </c>
      <c r="R48" s="147">
        <f t="shared" si="30"/>
        <v>0.4085933540223548</v>
      </c>
      <c r="S48" s="147">
        <f t="shared" si="30"/>
        <v>0.22735182718873742</v>
      </c>
      <c r="T48" s="147">
        <f t="shared" si="30"/>
        <v>0.16652955259060204</v>
      </c>
      <c r="U48" s="147">
        <f t="shared" si="30"/>
        <v>0.38943576004033131</v>
      </c>
      <c r="V48" s="147">
        <f t="shared" si="30"/>
        <v>0.35447564025786454</v>
      </c>
      <c r="W48" s="147">
        <f t="shared" si="30"/>
        <v>0.44944064100465375</v>
      </c>
      <c r="X48" s="147">
        <f t="shared" si="30"/>
        <v>0.46233581445290267</v>
      </c>
      <c r="Y48" s="147">
        <f t="shared" si="30"/>
        <v>0.59055188934149905</v>
      </c>
      <c r="Z48" s="147">
        <f t="shared" si="30"/>
        <v>0.5971681186431278</v>
      </c>
      <c r="AA48" s="147">
        <f t="shared" si="35"/>
        <v>0.31536881058176863</v>
      </c>
      <c r="AB48" s="147">
        <f t="shared" si="35"/>
        <v>0.23952778807493796</v>
      </c>
      <c r="AC48" s="147">
        <f t="shared" si="35"/>
        <v>0.23008240457949505</v>
      </c>
      <c r="AD48" s="147">
        <f t="shared" si="35"/>
        <v>0.35155838802242584</v>
      </c>
      <c r="AE48" s="147">
        <f t="shared" si="35"/>
        <v>0.34629226814316788</v>
      </c>
      <c r="AF48" s="147">
        <f t="shared" si="35"/>
        <v>0.1267088245901796</v>
      </c>
      <c r="AG48" s="147">
        <f t="shared" si="35"/>
        <v>0.29269457302174817</v>
      </c>
      <c r="AH48" s="147">
        <f>AH21/AH$6*100</f>
        <v>0.15634630099048979</v>
      </c>
      <c r="AI48" s="147">
        <f>AI21/AI$6*100</f>
        <v>0.20629931443799801</v>
      </c>
      <c r="AJ48" s="147">
        <f>AJ21/AJ$6*100</f>
        <v>0.45460455404670369</v>
      </c>
      <c r="AK48" s="147">
        <f>AK21/AK$6*100</f>
        <v>0.63543034848913094</v>
      </c>
      <c r="AL48" s="147">
        <f t="shared" si="31"/>
        <v>0.76772303532235331</v>
      </c>
      <c r="AM48" s="147">
        <f t="shared" si="31"/>
        <v>0.29758473906899097</v>
      </c>
      <c r="AN48" s="147">
        <f t="shared" si="31"/>
        <v>0.17658011721621789</v>
      </c>
      <c r="AO48" s="147">
        <f t="shared" si="31"/>
        <v>0.29314675607336843</v>
      </c>
      <c r="AP48" s="147">
        <f t="shared" si="31"/>
        <v>0.68991677901114301</v>
      </c>
      <c r="AQ48" s="147">
        <f t="shared" si="31"/>
        <v>0.21892786877282183</v>
      </c>
      <c r="AR48" s="147">
        <f t="shared" si="31"/>
        <v>0.43930576658623588</v>
      </c>
      <c r="AS48" s="147">
        <f t="shared" si="31"/>
        <v>0.6571648856083413</v>
      </c>
      <c r="AT48" s="147">
        <f t="shared" si="32"/>
        <v>0.4068180038140895</v>
      </c>
      <c r="AU48" s="147">
        <f t="shared" si="32"/>
        <v>0.20975005495076582</v>
      </c>
      <c r="AV48" s="147">
        <f t="shared" si="32"/>
        <v>0.5312378158740847</v>
      </c>
      <c r="AW48" s="147">
        <f t="shared" si="32"/>
        <v>0.54153424586261767</v>
      </c>
      <c r="AX48" s="147">
        <f t="shared" ref="AX48:BA48" si="40">AX21/AX$6*100</f>
        <v>0.56015465813035537</v>
      </c>
      <c r="AY48" s="147">
        <f t="shared" si="40"/>
        <v>0.50400006618516957</v>
      </c>
      <c r="AZ48" s="147">
        <f t="shared" si="40"/>
        <v>0.16041428939304808</v>
      </c>
      <c r="BA48" s="147">
        <f t="shared" si="40"/>
        <v>0.56328293884662906</v>
      </c>
    </row>
    <row r="49" spans="1:53" ht="19.5" customHeight="1">
      <c r="A49" s="141" t="s">
        <v>99</v>
      </c>
      <c r="B49" s="147">
        <f t="shared" si="23"/>
        <v>0</v>
      </c>
      <c r="C49" s="147">
        <f t="shared" si="24"/>
        <v>0</v>
      </c>
      <c r="D49" s="148" t="s">
        <v>109</v>
      </c>
      <c r="E49" s="147" t="s">
        <v>109</v>
      </c>
      <c r="F49" s="147">
        <f t="shared" si="25"/>
        <v>0.84564551631403762</v>
      </c>
      <c r="G49" s="147">
        <f t="shared" si="26"/>
        <v>0.84715691476436383</v>
      </c>
      <c r="H49" s="147">
        <f t="shared" si="27"/>
        <v>1.3910244151208007</v>
      </c>
      <c r="I49" s="147">
        <f>I22/$I$6*100</f>
        <v>0.65658055702234897</v>
      </c>
      <c r="J49" s="147">
        <f t="shared" si="28"/>
        <v>0.38186712829971325</v>
      </c>
      <c r="K49" s="147">
        <f t="shared" si="29"/>
        <v>0.40631521626879519</v>
      </c>
      <c r="L49" s="147">
        <f t="shared" si="30"/>
        <v>0.29279528181174735</v>
      </c>
      <c r="M49" s="147">
        <f t="shared" si="30"/>
        <v>0.55881982055627899</v>
      </c>
      <c r="N49" s="147">
        <f t="shared" si="30"/>
        <v>0.50639192593228188</v>
      </c>
      <c r="O49" s="147">
        <f t="shared" si="30"/>
        <v>0.60047284157011094</v>
      </c>
      <c r="P49" s="147">
        <f t="shared" si="30"/>
        <v>0.50613096138625868</v>
      </c>
      <c r="Q49" s="147">
        <f t="shared" si="30"/>
        <v>0.37178442673422796</v>
      </c>
      <c r="R49" s="147">
        <f t="shared" si="30"/>
        <v>0.68536088707884657</v>
      </c>
      <c r="S49" s="147">
        <f t="shared" si="30"/>
        <v>0.67484822082102269</v>
      </c>
      <c r="T49" s="147">
        <f t="shared" si="30"/>
        <v>0.65074625166173716</v>
      </c>
      <c r="U49" s="147">
        <f t="shared" si="30"/>
        <v>0.24463286956848224</v>
      </c>
      <c r="V49" s="147">
        <f t="shared" si="30"/>
        <v>0.18699874355632273</v>
      </c>
      <c r="W49" s="147">
        <f t="shared" si="30"/>
        <v>0.29985340029466101</v>
      </c>
      <c r="X49" s="147">
        <f t="shared" si="30"/>
        <v>0.18809348059270198</v>
      </c>
      <c r="Y49" s="147">
        <f t="shared" si="30"/>
        <v>0.43310976263512641</v>
      </c>
      <c r="Z49" s="147">
        <f t="shared" si="30"/>
        <v>0.81228924339697661</v>
      </c>
      <c r="AA49" s="147">
        <f t="shared" si="35"/>
        <v>0.32388313537703828</v>
      </c>
      <c r="AB49" s="147">
        <f t="shared" si="35"/>
        <v>0.69074351166347248</v>
      </c>
      <c r="AC49" s="147">
        <f t="shared" si="35"/>
        <v>0.82737376607126079</v>
      </c>
      <c r="AD49" s="147">
        <f t="shared" si="35"/>
        <v>1.0234969573123742</v>
      </c>
      <c r="AE49" s="147">
        <f t="shared" si="35"/>
        <v>0.87814910025706938</v>
      </c>
      <c r="AF49" s="147">
        <f t="shared" si="35"/>
        <v>1.0252763905099864</v>
      </c>
      <c r="AG49" s="147">
        <f t="shared" si="35"/>
        <v>0.41704194064536665</v>
      </c>
      <c r="AH49" s="147">
        <f>AH22/AH$6*100</f>
        <v>0.57184084221560427</v>
      </c>
      <c r="AI49" s="147">
        <f>AI22/AI$6*100</f>
        <v>0.77992956762569765</v>
      </c>
      <c r="AJ49" s="147">
        <f>AJ22/AJ$6*100</f>
        <v>0.30481354596937554</v>
      </c>
      <c r="AK49" s="147">
        <f>AK22/AK$6*100</f>
        <v>0.87128220597095518</v>
      </c>
      <c r="AL49" s="147">
        <f t="shared" si="31"/>
        <v>0.33534574560170111</v>
      </c>
      <c r="AM49" s="147">
        <f t="shared" si="31"/>
        <v>0.58330024464283425</v>
      </c>
      <c r="AN49" s="147">
        <f t="shared" si="31"/>
        <v>0.17752485519743308</v>
      </c>
      <c r="AO49" s="147">
        <f t="shared" si="31"/>
        <v>0.33485801903201506</v>
      </c>
      <c r="AP49" s="147">
        <f t="shared" si="31"/>
        <v>0.65563464685842099</v>
      </c>
      <c r="AQ49" s="147">
        <f t="shared" si="31"/>
        <v>0.42498239023244894</v>
      </c>
      <c r="AR49" s="147">
        <f t="shared" si="31"/>
        <v>0.7297718852065489</v>
      </c>
      <c r="AS49" s="147">
        <f t="shared" si="31"/>
        <v>0.84883797724410759</v>
      </c>
      <c r="AT49" s="147">
        <f t="shared" si="32"/>
        <v>0.73631599750098808</v>
      </c>
      <c r="AU49" s="147">
        <f t="shared" si="32"/>
        <v>0.41370685086958525</v>
      </c>
      <c r="AV49" s="147">
        <f t="shared" si="32"/>
        <v>0.43213694977380707</v>
      </c>
      <c r="AW49" s="147">
        <f t="shared" si="32"/>
        <v>0.64567878217662955</v>
      </c>
      <c r="AX49" s="147">
        <f t="shared" ref="AX49:BA49" si="41">AX22/AX$6*100</f>
        <v>0.90089502440790348</v>
      </c>
      <c r="AY49" s="147">
        <f t="shared" si="41"/>
        <v>1.2708379869780679</v>
      </c>
      <c r="AZ49" s="147">
        <f t="shared" si="41"/>
        <v>0.74600125842923148</v>
      </c>
      <c r="BA49" s="147">
        <f t="shared" si="41"/>
        <v>0.65177555460088721</v>
      </c>
    </row>
    <row r="50" spans="1:53" ht="19.5" customHeight="1">
      <c r="A50" s="141" t="s">
        <v>100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50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</row>
    <row r="51" spans="1:53" ht="18.75" customHeight="1">
      <c r="A51" s="141" t="s">
        <v>101</v>
      </c>
      <c r="B51" s="147">
        <f>B24*100/$B$6</f>
        <v>4.1938388962380699</v>
      </c>
      <c r="C51" s="147">
        <f t="shared" ref="C51:C56" si="42">C24*100/$C$6</f>
        <v>3.5579541112562891</v>
      </c>
      <c r="D51" s="148" t="s">
        <v>109</v>
      </c>
      <c r="E51" s="147">
        <f>SUM(E24*100/$E$6)</f>
        <v>4.1941503029819653</v>
      </c>
      <c r="F51" s="147">
        <f>F24/$F$6*100</f>
        <v>4.0585987022995376</v>
      </c>
      <c r="G51" s="147">
        <f>G24/$G$6*100</f>
        <v>3.8001228960050808</v>
      </c>
      <c r="H51" s="147">
        <f>H24/$H$6*100</f>
        <v>3.6710014661821888</v>
      </c>
      <c r="I51" s="147">
        <f t="shared" ref="I51:I58" si="43">I24/$I$6*100</f>
        <v>4.6840715010087992</v>
      </c>
      <c r="J51" s="147">
        <f t="shared" ref="J51:J58" si="44">J24/$J$6*100</f>
        <v>5.2148710412084105</v>
      </c>
      <c r="K51" s="147">
        <f t="shared" ref="K51:K56" si="45">K24/$K$6*100</f>
        <v>4.8794326576099731</v>
      </c>
      <c r="L51" s="147">
        <f t="shared" ref="L51:AI51" si="46">ROUNDUP(L24/L$6*100,1)</f>
        <v>5.5</v>
      </c>
      <c r="M51" s="147">
        <f t="shared" si="46"/>
        <v>6</v>
      </c>
      <c r="N51" s="147">
        <f t="shared" si="46"/>
        <v>4.5</v>
      </c>
      <c r="O51" s="147">
        <f t="shared" si="46"/>
        <v>4.3999999999999995</v>
      </c>
      <c r="P51" s="147">
        <f t="shared" si="46"/>
        <v>5</v>
      </c>
      <c r="Q51" s="147">
        <f t="shared" si="46"/>
        <v>4</v>
      </c>
      <c r="R51" s="147">
        <f t="shared" si="46"/>
        <v>5</v>
      </c>
      <c r="S51" s="147">
        <f t="shared" si="46"/>
        <v>4.5999999999999996</v>
      </c>
      <c r="T51" s="147">
        <f t="shared" si="46"/>
        <v>4</v>
      </c>
      <c r="U51" s="147">
        <f t="shared" si="46"/>
        <v>4.6999999999999993</v>
      </c>
      <c r="V51" s="147">
        <f t="shared" si="46"/>
        <v>4.8</v>
      </c>
      <c r="W51" s="147">
        <f t="shared" si="46"/>
        <v>4.0999999999999996</v>
      </c>
      <c r="X51" s="147">
        <f t="shared" si="46"/>
        <v>3.8000000000000003</v>
      </c>
      <c r="Y51" s="147">
        <f t="shared" si="46"/>
        <v>3.8000000000000003</v>
      </c>
      <c r="Z51" s="147">
        <f t="shared" si="46"/>
        <v>4.0999999999999996</v>
      </c>
      <c r="AA51" s="147">
        <f t="shared" si="46"/>
        <v>3.8000000000000003</v>
      </c>
      <c r="AB51" s="147">
        <f t="shared" si="46"/>
        <v>3.6</v>
      </c>
      <c r="AC51" s="147">
        <f t="shared" si="46"/>
        <v>3.8000000000000003</v>
      </c>
      <c r="AD51" s="147">
        <f t="shared" si="46"/>
        <v>4.3999999999999995</v>
      </c>
      <c r="AE51" s="147">
        <f t="shared" si="46"/>
        <v>5.3</v>
      </c>
      <c r="AF51" s="147">
        <f t="shared" si="46"/>
        <v>4.3999999999999995</v>
      </c>
      <c r="AG51" s="147">
        <f t="shared" si="46"/>
        <v>3.3000000000000003</v>
      </c>
      <c r="AH51" s="147">
        <f t="shared" si="46"/>
        <v>3.2</v>
      </c>
      <c r="AI51" s="147">
        <f t="shared" si="46"/>
        <v>3.5</v>
      </c>
      <c r="AJ51" s="147">
        <f>(AJ24/AJ$6*100)</f>
        <v>3.2099282126401452</v>
      </c>
      <c r="AK51" s="147">
        <f>(AK24/AK$6*100)</f>
        <v>3.4142703437071731</v>
      </c>
      <c r="AL51" s="147">
        <f t="shared" ref="AL51:AS51" si="47">(AL24/AL$6*100)</f>
        <v>3.0001241395734159</v>
      </c>
      <c r="AM51" s="147">
        <f t="shared" si="47"/>
        <v>4.281036124311008</v>
      </c>
      <c r="AN51" s="147">
        <f t="shared" si="47"/>
        <v>5.1774217928722095</v>
      </c>
      <c r="AO51" s="147">
        <f t="shared" si="47"/>
        <v>3.6786831253748797</v>
      </c>
      <c r="AP51" s="147">
        <f t="shared" si="47"/>
        <v>3.6811886372095595</v>
      </c>
      <c r="AQ51" s="147">
        <f t="shared" si="47"/>
        <v>4.1172851001125412</v>
      </c>
      <c r="AR51" s="147">
        <f t="shared" si="47"/>
        <v>4.2099360354050663</v>
      </c>
      <c r="AS51" s="147">
        <f t="shared" si="47"/>
        <v>3.389638076976448</v>
      </c>
      <c r="AT51" s="147">
        <f t="shared" ref="AT51:BA51" si="48">(AT24/AT$6*100)</f>
        <v>5.0102273700085789</v>
      </c>
      <c r="AU51" s="147">
        <f t="shared" si="48"/>
        <v>5.851702792180463</v>
      </c>
      <c r="AV51" s="147">
        <f t="shared" si="48"/>
        <v>5.0861454924590435</v>
      </c>
      <c r="AW51" s="147">
        <f t="shared" si="48"/>
        <v>2.7681981954639463</v>
      </c>
      <c r="AX51" s="147">
        <f t="shared" si="48"/>
        <v>4.5206193174266804</v>
      </c>
      <c r="AY51" s="147">
        <f t="shared" si="48"/>
        <v>4.1013294945934993</v>
      </c>
      <c r="AZ51" s="147">
        <f t="shared" si="48"/>
        <v>3.1549718585928748</v>
      </c>
      <c r="BA51" s="147">
        <f t="shared" si="48"/>
        <v>3.8104988942710465</v>
      </c>
    </row>
    <row r="52" spans="1:53" ht="17.25" customHeight="1">
      <c r="A52" s="141" t="s">
        <v>102</v>
      </c>
      <c r="B52" s="147">
        <f>B25*100/$B$6</f>
        <v>3.7414998524090128</v>
      </c>
      <c r="C52" s="147">
        <f t="shared" si="42"/>
        <v>3.5496709445214867</v>
      </c>
      <c r="D52" s="148" t="s">
        <v>109</v>
      </c>
      <c r="E52" s="147">
        <f>SUM(E25*100/$E$6)</f>
        <v>2.4088047118664346</v>
      </c>
      <c r="F52" s="147">
        <f>F25/$F$6*100</f>
        <v>4.5837969543990749</v>
      </c>
      <c r="G52" s="147">
        <f>G25/$G$6*100</f>
        <v>4.2431077377215507</v>
      </c>
      <c r="H52" s="147">
        <f>H25/$H$6*100</f>
        <v>3.5392363103206472</v>
      </c>
      <c r="I52" s="147">
        <f t="shared" si="43"/>
        <v>2.4166073163444208</v>
      </c>
      <c r="J52" s="147">
        <f t="shared" si="44"/>
        <v>3.6943393733693743</v>
      </c>
      <c r="K52" s="147">
        <f t="shared" si="45"/>
        <v>3.1810415605741618</v>
      </c>
      <c r="L52" s="147">
        <f t="shared" ref="L52:AS52" si="49">L25/L$6*100</f>
        <v>3.1223803625161137</v>
      </c>
      <c r="M52" s="147">
        <f t="shared" si="49"/>
        <v>2.6548693703443376</v>
      </c>
      <c r="N52" s="147">
        <f t="shared" si="49"/>
        <v>2.4204110601371176</v>
      </c>
      <c r="O52" s="147">
        <f t="shared" si="49"/>
        <v>2.5478317664048129</v>
      </c>
      <c r="P52" s="147">
        <f t="shared" si="49"/>
        <v>3.0973014267441701</v>
      </c>
      <c r="Q52" s="147">
        <f t="shared" si="49"/>
        <v>2.7092727632177076</v>
      </c>
      <c r="R52" s="147">
        <f t="shared" si="49"/>
        <v>2.1641961366661038</v>
      </c>
      <c r="S52" s="147">
        <f t="shared" si="49"/>
        <v>2.3546502293316585</v>
      </c>
      <c r="T52" s="147">
        <f t="shared" si="49"/>
        <v>3.1722456439000366</v>
      </c>
      <c r="U52" s="147">
        <f t="shared" si="49"/>
        <v>2.3549708505992188</v>
      </c>
      <c r="V52" s="147">
        <f t="shared" si="49"/>
        <v>2.5250701612240345</v>
      </c>
      <c r="W52" s="147">
        <f t="shared" si="49"/>
        <v>1.5336031956689506</v>
      </c>
      <c r="X52" s="147">
        <f t="shared" si="49"/>
        <v>2.1928663939252768</v>
      </c>
      <c r="Y52" s="147">
        <f t="shared" si="49"/>
        <v>2.887782188747781</v>
      </c>
      <c r="Z52" s="147">
        <f t="shared" si="49"/>
        <v>3.5159102927725083</v>
      </c>
      <c r="AA52" s="147">
        <f t="shared" si="49"/>
        <v>2.2238031528700062</v>
      </c>
      <c r="AB52" s="147">
        <f t="shared" si="49"/>
        <v>2.4854760014467718</v>
      </c>
      <c r="AC52" s="147">
        <f t="shared" si="49"/>
        <v>3.0189457738697687</v>
      </c>
      <c r="AD52" s="147">
        <f t="shared" si="49"/>
        <v>4.0145155445056844</v>
      </c>
      <c r="AE52" s="147">
        <f t="shared" si="49"/>
        <v>3.8242436227012058</v>
      </c>
      <c r="AF52" s="147">
        <f t="shared" si="49"/>
        <v>2.6840234495798043</v>
      </c>
      <c r="AG52" s="147">
        <f t="shared" si="49"/>
        <v>2.8560868610362689</v>
      </c>
      <c r="AH52" s="147">
        <f t="shared" si="49"/>
        <v>3.2191323225149997</v>
      </c>
      <c r="AI52" s="147">
        <f t="shared" si="49"/>
        <v>3.3074155182751337</v>
      </c>
      <c r="AJ52" s="147">
        <f t="shared" si="49"/>
        <v>2.8391050698909304</v>
      </c>
      <c r="AK52" s="147">
        <f t="shared" si="49"/>
        <v>2.540137964231906</v>
      </c>
      <c r="AL52" s="147">
        <f t="shared" si="49"/>
        <v>3.6612729288747801</v>
      </c>
      <c r="AM52" s="147">
        <f t="shared" si="49"/>
        <v>3.3934907074148555</v>
      </c>
      <c r="AN52" s="147">
        <f t="shared" si="49"/>
        <v>4.4216314079000707</v>
      </c>
      <c r="AO52" s="147">
        <f t="shared" si="49"/>
        <v>3.2083469242531804</v>
      </c>
      <c r="AP52" s="147">
        <f t="shared" si="49"/>
        <v>3.5910756041224041</v>
      </c>
      <c r="AQ52" s="147">
        <f t="shared" si="49"/>
        <v>2.4567042611589254</v>
      </c>
      <c r="AR52" s="147">
        <f t="shared" si="49"/>
        <v>3.3604874556641668</v>
      </c>
      <c r="AS52" s="147">
        <f t="shared" si="49"/>
        <v>3.2824851755741848</v>
      </c>
      <c r="AT52" s="147">
        <f t="shared" ref="AT52:BA52" si="50">AT25/AT$6*100</f>
        <v>2.592906959165199</v>
      </c>
      <c r="AU52" s="147">
        <f t="shared" si="50"/>
        <v>2.4318056736452718</v>
      </c>
      <c r="AV52" s="147">
        <f t="shared" si="50"/>
        <v>2.6113237032913719</v>
      </c>
      <c r="AW52" s="147">
        <f t="shared" si="50"/>
        <v>1.8160691290793916</v>
      </c>
      <c r="AX52" s="147">
        <f t="shared" si="50"/>
        <v>2.9386512421653768</v>
      </c>
      <c r="AY52" s="147">
        <f t="shared" si="50"/>
        <v>3.2315736351377065</v>
      </c>
      <c r="AZ52" s="147">
        <f t="shared" si="50"/>
        <v>3.2623084695122291</v>
      </c>
      <c r="BA52" s="147">
        <f t="shared" si="50"/>
        <v>2.3996762130648372</v>
      </c>
    </row>
    <row r="53" spans="1:53" ht="17.25" customHeight="1">
      <c r="A53" s="141" t="s">
        <v>103</v>
      </c>
      <c r="B53" s="147">
        <f>ROUNDDOWN(B26*100/$B$6,1)</f>
        <v>2.1</v>
      </c>
      <c r="C53" s="147">
        <f t="shared" si="42"/>
        <v>1.7621101233657446</v>
      </c>
      <c r="D53" s="148" t="s">
        <v>109</v>
      </c>
      <c r="E53" s="147">
        <f>ROUNDUP(SUM(E26*100/$E$6),1)</f>
        <v>2.1</v>
      </c>
      <c r="F53" s="147">
        <f>F26/$F$6*100</f>
        <v>1.3002291159337704</v>
      </c>
      <c r="G53" s="147">
        <f>G26/$G$6*100</f>
        <v>1.6596286623309098</v>
      </c>
      <c r="H53" s="147">
        <f>H26/$H$6*100</f>
        <v>2.6324982469560783</v>
      </c>
      <c r="I53" s="147">
        <f t="shared" si="43"/>
        <v>1.6080648788282526</v>
      </c>
      <c r="J53" s="147">
        <f t="shared" si="44"/>
        <v>1.7628706963678731</v>
      </c>
      <c r="K53" s="147">
        <f t="shared" si="45"/>
        <v>2.0949516370905199</v>
      </c>
      <c r="L53" s="147">
        <f t="shared" ref="L53:AG53" si="51">ROUNDUP(L26/L$6*100,1)</f>
        <v>1.5</v>
      </c>
      <c r="M53" s="147">
        <f t="shared" si="51"/>
        <v>1.6</v>
      </c>
      <c r="N53" s="147">
        <f t="shared" si="51"/>
        <v>1.7000000000000002</v>
      </c>
      <c r="O53" s="147">
        <f t="shared" si="51"/>
        <v>2.8000000000000003</v>
      </c>
      <c r="P53" s="147">
        <f t="shared" si="51"/>
        <v>2.4</v>
      </c>
      <c r="Q53" s="147">
        <f t="shared" si="51"/>
        <v>1.5</v>
      </c>
      <c r="R53" s="147">
        <f t="shared" si="51"/>
        <v>2</v>
      </c>
      <c r="S53" s="147">
        <f t="shared" si="51"/>
        <v>1.7000000000000002</v>
      </c>
      <c r="T53" s="147">
        <f t="shared" si="51"/>
        <v>1.7000000000000002</v>
      </c>
      <c r="U53" s="147">
        <f t="shared" si="51"/>
        <v>1.9000000000000001</v>
      </c>
      <c r="V53" s="147">
        <f t="shared" si="51"/>
        <v>1.5</v>
      </c>
      <c r="W53" s="147">
        <f t="shared" si="51"/>
        <v>1.4000000000000001</v>
      </c>
      <c r="X53" s="147">
        <f t="shared" si="51"/>
        <v>1.7000000000000002</v>
      </c>
      <c r="Y53" s="147">
        <f t="shared" si="51"/>
        <v>1.7000000000000002</v>
      </c>
      <c r="Z53" s="147">
        <f t="shared" si="51"/>
        <v>1.4000000000000001</v>
      </c>
      <c r="AA53" s="147">
        <f t="shared" si="51"/>
        <v>1.4000000000000001</v>
      </c>
      <c r="AB53" s="147">
        <f t="shared" si="51"/>
        <v>1.2000000000000002</v>
      </c>
      <c r="AC53" s="147">
        <f t="shared" si="51"/>
        <v>1.1000000000000001</v>
      </c>
      <c r="AD53" s="147">
        <f t="shared" si="51"/>
        <v>1.5</v>
      </c>
      <c r="AE53" s="147">
        <f t="shared" si="51"/>
        <v>1.6</v>
      </c>
      <c r="AF53" s="147">
        <f t="shared" si="51"/>
        <v>1.6</v>
      </c>
      <c r="AG53" s="147">
        <f t="shared" si="51"/>
        <v>2</v>
      </c>
      <c r="AH53" s="147">
        <f>(AH26/AH$6*100)-0.02</f>
        <v>0.83242300369310507</v>
      </c>
      <c r="AI53" s="147">
        <f>ROUNDUP(AI26/AI$6*100,1)</f>
        <v>1.7000000000000002</v>
      </c>
      <c r="AJ53" s="147">
        <f>(AJ26/AJ$6*100)</f>
        <v>1.7318671714580041</v>
      </c>
      <c r="AK53" s="147">
        <f>ROUNDUP(AK26/AK$6*100,1)</f>
        <v>1.1000000000000001</v>
      </c>
      <c r="AL53" s="147">
        <f t="shared" ref="AL53:AS53" si="52">ROUNDUP(AL26/AL$6*100,1)</f>
        <v>1.7000000000000002</v>
      </c>
      <c r="AM53" s="147">
        <f t="shared" si="52"/>
        <v>1.6</v>
      </c>
      <c r="AN53" s="147">
        <f t="shared" si="52"/>
        <v>1.4000000000000001</v>
      </c>
      <c r="AO53" s="147">
        <f t="shared" si="52"/>
        <v>1.2000000000000002</v>
      </c>
      <c r="AP53" s="147">
        <f t="shared" si="52"/>
        <v>1.3</v>
      </c>
      <c r="AQ53" s="147">
        <f t="shared" si="52"/>
        <v>1</v>
      </c>
      <c r="AR53" s="147">
        <f t="shared" si="52"/>
        <v>1.2000000000000002</v>
      </c>
      <c r="AS53" s="147">
        <f t="shared" si="52"/>
        <v>1.1000000000000001</v>
      </c>
      <c r="AT53" s="147">
        <f t="shared" ref="AT53:BA53" si="53">ROUNDUP(AT26/AT$6*100,1)</f>
        <v>1.6</v>
      </c>
      <c r="AU53" s="147">
        <f t="shared" si="53"/>
        <v>2.1</v>
      </c>
      <c r="AV53" s="147">
        <f t="shared" si="53"/>
        <v>1.8</v>
      </c>
      <c r="AW53" s="147">
        <f t="shared" si="53"/>
        <v>1.7000000000000002</v>
      </c>
      <c r="AX53" s="147">
        <f t="shared" si="53"/>
        <v>2.8000000000000003</v>
      </c>
      <c r="AY53" s="147">
        <f t="shared" si="53"/>
        <v>3.4</v>
      </c>
      <c r="AZ53" s="147">
        <f t="shared" si="53"/>
        <v>3.4</v>
      </c>
      <c r="BA53" s="147">
        <f t="shared" si="53"/>
        <v>3.7</v>
      </c>
    </row>
    <row r="54" spans="1:53" ht="17.25" customHeight="1">
      <c r="A54" s="140" t="s">
        <v>104</v>
      </c>
      <c r="B54" s="147">
        <f>B27*100/$B$6</f>
        <v>0</v>
      </c>
      <c r="C54" s="147">
        <f t="shared" si="42"/>
        <v>0</v>
      </c>
      <c r="D54" s="148" t="s">
        <v>109</v>
      </c>
      <c r="E54" s="147">
        <f>SUM(E27*100/$E$6)</f>
        <v>0</v>
      </c>
      <c r="F54" s="147">
        <f>F27/$F$6*100</f>
        <v>0.47606676697268546</v>
      </c>
      <c r="G54" s="147">
        <f>G27/$G$6*100</f>
        <v>0.43286556069138654</v>
      </c>
      <c r="H54" s="147">
        <f>H27/$H$6*100</f>
        <v>0.47701918786256131</v>
      </c>
      <c r="I54" s="147">
        <f t="shared" si="43"/>
        <v>0.31263056287908259</v>
      </c>
      <c r="J54" s="147">
        <f t="shared" si="44"/>
        <v>0.64940896523648428</v>
      </c>
      <c r="K54" s="147">
        <f t="shared" si="45"/>
        <v>0.61819787243587687</v>
      </c>
      <c r="L54" s="147">
        <f t="shared" ref="L54:AS58" si="54">L27/L$6*100</f>
        <v>0.26310406874349179</v>
      </c>
      <c r="M54" s="147">
        <f t="shared" si="54"/>
        <v>0.72298327535997953</v>
      </c>
      <c r="N54" s="147">
        <f t="shared" si="54"/>
        <v>1.023759113624557</v>
      </c>
      <c r="O54" s="147">
        <f t="shared" si="54"/>
        <v>0.45027140786546849</v>
      </c>
      <c r="P54" s="147">
        <f t="shared" si="54"/>
        <v>0.71137156739306295</v>
      </c>
      <c r="Q54" s="147">
        <f t="shared" si="54"/>
        <v>0.84688777713837426</v>
      </c>
      <c r="R54" s="147">
        <f t="shared" si="54"/>
        <v>0.76435263814664312</v>
      </c>
      <c r="S54" s="147">
        <f t="shared" si="54"/>
        <v>0.18023662329435763</v>
      </c>
      <c r="T54" s="147">
        <f t="shared" si="54"/>
        <v>0.33846775731662537</v>
      </c>
      <c r="U54" s="147">
        <f t="shared" si="54"/>
        <v>0.19761252580726749</v>
      </c>
      <c r="V54" s="147">
        <f t="shared" si="54"/>
        <v>0.44269090311292725</v>
      </c>
      <c r="W54" s="147">
        <f t="shared" si="54"/>
        <v>0.53499830452982855</v>
      </c>
      <c r="X54" s="147">
        <f t="shared" si="54"/>
        <v>1.1135168012624324</v>
      </c>
      <c r="Y54" s="147">
        <f t="shared" si="54"/>
        <v>0.26969519693577904</v>
      </c>
      <c r="Z54" s="147">
        <f t="shared" si="54"/>
        <v>0.4642210764023687</v>
      </c>
      <c r="AA54" s="147">
        <f t="shared" si="54"/>
        <v>5.120928821579588E-2</v>
      </c>
      <c r="AB54" s="147">
        <f t="shared" si="54"/>
        <v>0.13522214101223004</v>
      </c>
      <c r="AC54" s="147">
        <f t="shared" si="54"/>
        <v>0.66074635025277295</v>
      </c>
      <c r="AD54" s="147">
        <f t="shared" si="54"/>
        <v>0.29346085327037691</v>
      </c>
      <c r="AE54" s="147">
        <f t="shared" si="54"/>
        <v>0.36203282578603913</v>
      </c>
      <c r="AF54" s="147">
        <f t="shared" si="54"/>
        <v>0.67622112416069169</v>
      </c>
      <c r="AG54" s="147">
        <f t="shared" si="54"/>
        <v>0.58301698087652276</v>
      </c>
      <c r="AH54" s="147">
        <f t="shared" si="54"/>
        <v>0.63355435885075362</v>
      </c>
      <c r="AI54" s="147">
        <f t="shared" si="54"/>
        <v>0.49946149811304785</v>
      </c>
      <c r="AJ54" s="147">
        <f t="shared" si="54"/>
        <v>0.85889410075772554</v>
      </c>
      <c r="AK54" s="147">
        <f t="shared" si="54"/>
        <v>1.323668078294266</v>
      </c>
      <c r="AL54" s="147">
        <f t="shared" si="54"/>
        <v>0.52679092446824771</v>
      </c>
      <c r="AM54" s="147">
        <f t="shared" si="54"/>
        <v>1.0794171267062023</v>
      </c>
      <c r="AN54" s="147">
        <f t="shared" si="54"/>
        <v>0.84906178929938236</v>
      </c>
      <c r="AO54" s="147">
        <f t="shared" si="54"/>
        <v>0.60973524192949624</v>
      </c>
      <c r="AP54" s="147">
        <f t="shared" si="54"/>
        <v>1.229971666040387</v>
      </c>
      <c r="AQ54" s="147">
        <f t="shared" si="54"/>
        <v>1.1344738525313534</v>
      </c>
      <c r="AR54" s="147">
        <f t="shared" si="54"/>
        <v>0.65500303651496505</v>
      </c>
      <c r="AS54" s="147">
        <f t="shared" si="54"/>
        <v>0.92935106451658389</v>
      </c>
      <c r="AT54" s="147">
        <f t="shared" ref="AT54:AW58" si="55">AT27/AT$6*100</f>
        <v>1.1577054991011206</v>
      </c>
      <c r="AU54" s="147">
        <f t="shared" si="55"/>
        <v>0.1339265176208789</v>
      </c>
      <c r="AV54" s="147">
        <f t="shared" si="55"/>
        <v>0.32215722257117518</v>
      </c>
      <c r="AW54" s="147">
        <f t="shared" si="55"/>
        <v>0.49852367965799665</v>
      </c>
      <c r="AX54" s="147">
        <f t="shared" ref="AX54:BA54" si="56">AX27/AX$6*100</f>
        <v>1.1732264011408564</v>
      </c>
      <c r="AY54" s="147">
        <f t="shared" si="56"/>
        <v>1.762841991180826</v>
      </c>
      <c r="AZ54" s="147">
        <f t="shared" si="56"/>
        <v>1.172433942309131</v>
      </c>
      <c r="BA54" s="147">
        <f t="shared" si="56"/>
        <v>1.271138116222017</v>
      </c>
    </row>
    <row r="55" spans="1:53" ht="17.25" customHeight="1">
      <c r="A55" s="140" t="s">
        <v>105</v>
      </c>
      <c r="B55" s="147">
        <f>B28*100/$B$6</f>
        <v>2.2653166646623446</v>
      </c>
      <c r="C55" s="147">
        <f t="shared" si="42"/>
        <v>2.4716568738259945</v>
      </c>
      <c r="D55" s="148" t="s">
        <v>109</v>
      </c>
      <c r="E55" s="147">
        <f>SUM(E28*100/$E$6)</f>
        <v>1.198356223946156</v>
      </c>
      <c r="F55" s="147">
        <f>ROUNDDOWN(F28/$F$6*100,0)</f>
        <v>1</v>
      </c>
      <c r="G55" s="147">
        <f>ROUNDUP(G28/$G$6*100,1)</f>
        <v>1.9000000000000001</v>
      </c>
      <c r="H55" s="147">
        <f>H28/$H$6*100</f>
        <v>3.4315675400012751</v>
      </c>
      <c r="I55" s="147">
        <f t="shared" si="43"/>
        <v>1.9540819554349549</v>
      </c>
      <c r="J55" s="147">
        <f t="shared" si="44"/>
        <v>1.1068648407285582</v>
      </c>
      <c r="K55" s="147">
        <f t="shared" si="45"/>
        <v>1.7724421868588989</v>
      </c>
      <c r="L55" s="147">
        <f t="shared" si="54"/>
        <v>0.90414733912681688</v>
      </c>
      <c r="M55" s="147">
        <f t="shared" si="54"/>
        <v>1.6233298110956966</v>
      </c>
      <c r="N55" s="147">
        <f t="shared" si="54"/>
        <v>1.3154350094886127</v>
      </c>
      <c r="O55" s="147">
        <f t="shared" si="54"/>
        <v>1.4861686184197824</v>
      </c>
      <c r="P55" s="147">
        <f t="shared" si="54"/>
        <v>0.86672426490354382</v>
      </c>
      <c r="Q55" s="147">
        <f t="shared" si="54"/>
        <v>1.1556482900434808</v>
      </c>
      <c r="R55" s="147">
        <f t="shared" si="54"/>
        <v>1.8525269950233716</v>
      </c>
      <c r="S55" s="147">
        <f t="shared" si="54"/>
        <v>1.15221921477184</v>
      </c>
      <c r="T55" s="147">
        <f t="shared" si="54"/>
        <v>1.313377304726308</v>
      </c>
      <c r="U55" s="147">
        <f t="shared" si="54"/>
        <v>1.1807330766705042</v>
      </c>
      <c r="V55" s="147">
        <f t="shared" si="54"/>
        <v>1.5420057303225656</v>
      </c>
      <c r="W55" s="147">
        <f t="shared" si="54"/>
        <v>2.2597584539650617</v>
      </c>
      <c r="X55" s="147">
        <f t="shared" si="54"/>
        <v>1.7234015845545274</v>
      </c>
      <c r="Y55" s="147">
        <f t="shared" si="54"/>
        <v>1.1064123127226622</v>
      </c>
      <c r="Z55" s="147">
        <f t="shared" si="54"/>
        <v>1.5066289957342902</v>
      </c>
      <c r="AA55" s="147">
        <f t="shared" si="54"/>
        <v>1.8935852099644439</v>
      </c>
      <c r="AB55" s="147">
        <f t="shared" si="54"/>
        <v>1.66258699015925</v>
      </c>
      <c r="AC55" s="147">
        <f t="shared" si="54"/>
        <v>1.9400231630439584</v>
      </c>
      <c r="AD55" s="147">
        <f t="shared" si="54"/>
        <v>2.1876976260366954</v>
      </c>
      <c r="AE55" s="147">
        <f t="shared" si="54"/>
        <v>1.4891833102630017</v>
      </c>
      <c r="AF55" s="147">
        <f t="shared" si="54"/>
        <v>1.5443785721788557</v>
      </c>
      <c r="AG55" s="147">
        <f t="shared" si="54"/>
        <v>1.7902960079521097</v>
      </c>
      <c r="AH55" s="147">
        <f t="shared" si="54"/>
        <v>1.9615677659706978</v>
      </c>
      <c r="AI55" s="147">
        <f>AI28/AI$6*100-0.02</f>
        <v>1.2312085355542977</v>
      </c>
      <c r="AJ55" s="147">
        <f t="shared" si="54"/>
        <v>1.7198654265889426</v>
      </c>
      <c r="AK55" s="147">
        <f t="shared" si="54"/>
        <v>3.6291417573378117</v>
      </c>
      <c r="AL55" s="147">
        <f t="shared" si="54"/>
        <v>3.912338882456714</v>
      </c>
      <c r="AM55" s="147">
        <f t="shared" si="54"/>
        <v>2.2348315038489619</v>
      </c>
      <c r="AN55" s="147">
        <f t="shared" si="54"/>
        <v>0.92043244951663761</v>
      </c>
      <c r="AO55" s="147">
        <f t="shared" si="54"/>
        <v>1.1108543551146768</v>
      </c>
      <c r="AP55" s="147">
        <f t="shared" si="54"/>
        <v>0.86827291070439538</v>
      </c>
      <c r="AQ55" s="147">
        <f t="shared" si="54"/>
        <v>1.1874246018573245</v>
      </c>
      <c r="AR55" s="147">
        <f t="shared" si="54"/>
        <v>1.7627299006365436</v>
      </c>
      <c r="AS55" s="147">
        <f t="shared" si="54"/>
        <v>1.275075003320701</v>
      </c>
      <c r="AT55" s="147">
        <f t="shared" si="55"/>
        <v>1.3580635936592127</v>
      </c>
      <c r="AU55" s="147">
        <f t="shared" si="55"/>
        <v>3.4393215752893647</v>
      </c>
      <c r="AV55" s="147">
        <f t="shared" si="55"/>
        <v>2.7663276220636011</v>
      </c>
      <c r="AW55" s="147">
        <f t="shared" si="55"/>
        <v>1.404867304598922</v>
      </c>
      <c r="AX55" s="147">
        <f t="shared" ref="AX55:BA55" si="57">AX28/AX$6*100</f>
        <v>2.4359797039741631</v>
      </c>
      <c r="AY55" s="147">
        <f t="shared" si="57"/>
        <v>1.8775077974402885</v>
      </c>
      <c r="AZ55" s="147">
        <f t="shared" si="57"/>
        <v>0.85766913391246291</v>
      </c>
      <c r="BA55" s="147">
        <f t="shared" si="57"/>
        <v>1.3804676560346905</v>
      </c>
    </row>
    <row r="56" spans="1:53" ht="17.25" customHeight="1">
      <c r="A56" s="141" t="s">
        <v>106</v>
      </c>
      <c r="B56" s="147">
        <f>B29*100/$B$6</f>
        <v>0.49176496955252597</v>
      </c>
      <c r="C56" s="147">
        <f t="shared" si="42"/>
        <v>0.46325613956334349</v>
      </c>
      <c r="D56" s="148" t="s">
        <v>109</v>
      </c>
      <c r="E56" s="147">
        <f>SUM(E29*100/$E$6)</f>
        <v>0.50768212525398582</v>
      </c>
      <c r="F56" s="147">
        <f>F29/$F$6*100</f>
        <v>0.60281724663440539</v>
      </c>
      <c r="G56" s="147">
        <f>G29/$G$6*100</f>
        <v>0.37527886275259092</v>
      </c>
      <c r="H56" s="147">
        <f>ROUNDUP(H29/$H$6*100,1)</f>
        <v>0.30000000000000004</v>
      </c>
      <c r="I56" s="147">
        <f t="shared" si="43"/>
        <v>1.0234563748509977</v>
      </c>
      <c r="J56" s="147">
        <f t="shared" si="44"/>
        <v>1.1125599344490846</v>
      </c>
      <c r="K56" s="147">
        <f t="shared" si="45"/>
        <v>0.79954205834756908</v>
      </c>
      <c r="L56" s="147">
        <f t="shared" si="54"/>
        <v>0.53855868409940921</v>
      </c>
      <c r="M56" s="147">
        <f t="shared" si="54"/>
        <v>0.17022625693171561</v>
      </c>
      <c r="N56" s="147">
        <f t="shared" si="54"/>
        <v>0.21139019317125865</v>
      </c>
      <c r="O56" s="147">
        <f t="shared" si="54"/>
        <v>0.35572972530314928</v>
      </c>
      <c r="P56" s="147">
        <f t="shared" si="54"/>
        <v>0.2201194559092165</v>
      </c>
      <c r="Q56" s="147">
        <f t="shared" si="54"/>
        <v>0.27218019928400805</v>
      </c>
      <c r="R56" s="147">
        <f t="shared" si="54"/>
        <v>0.62052244225302844</v>
      </c>
      <c r="S56" s="147">
        <f t="shared" si="54"/>
        <v>0.38312985148713208</v>
      </c>
      <c r="T56" s="147">
        <f t="shared" si="54"/>
        <v>0.15578341479522559</v>
      </c>
      <c r="U56" s="147">
        <f t="shared" si="54"/>
        <v>0.28833496084204374</v>
      </c>
      <c r="V56" s="147">
        <f t="shared" si="54"/>
        <v>0.35564988668521974</v>
      </c>
      <c r="W56" s="147">
        <f t="shared" si="54"/>
        <v>0.16084896283997099</v>
      </c>
      <c r="X56" s="147">
        <f t="shared" si="54"/>
        <v>0.39249435407756189</v>
      </c>
      <c r="Y56" s="147">
        <f t="shared" si="54"/>
        <v>0.40130472607012796</v>
      </c>
      <c r="Z56" s="147">
        <f t="shared" si="54"/>
        <v>5.647515366631542E-2</v>
      </c>
      <c r="AA56" s="147">
        <f t="shared" si="54"/>
        <v>0.14348592756660072</v>
      </c>
      <c r="AB56" s="147">
        <f t="shared" si="54"/>
        <v>0.23517546611117029</v>
      </c>
      <c r="AC56" s="147">
        <f t="shared" si="54"/>
        <v>0.14413452807369839</v>
      </c>
      <c r="AD56" s="147">
        <f t="shared" si="54"/>
        <v>0.54095795843816463</v>
      </c>
      <c r="AE56" s="147">
        <f t="shared" si="54"/>
        <v>0.42111924065651574</v>
      </c>
      <c r="AF56" s="147">
        <f t="shared" si="54"/>
        <v>0.36624359385891914</v>
      </c>
      <c r="AG56" s="147">
        <f t="shared" si="54"/>
        <v>0.38367858539373734</v>
      </c>
      <c r="AH56" s="147">
        <f t="shared" si="54"/>
        <v>0.42560488143401831</v>
      </c>
      <c r="AI56" s="147">
        <f>AI29/AI$6*100</f>
        <v>0.49443175476568185</v>
      </c>
      <c r="AJ56" s="147">
        <f t="shared" si="54"/>
        <v>0.50045737418747804</v>
      </c>
      <c r="AK56" s="147">
        <f t="shared" si="54"/>
        <v>0.41177089988686394</v>
      </c>
      <c r="AL56" s="147">
        <f t="shared" si="54"/>
        <v>0.43575523729659477</v>
      </c>
      <c r="AM56" s="147">
        <f t="shared" si="54"/>
        <v>0.90052472258868832</v>
      </c>
      <c r="AN56" s="147">
        <f t="shared" si="54"/>
        <v>0.33589729495750398</v>
      </c>
      <c r="AO56" s="147">
        <f t="shared" si="54"/>
        <v>0.72711073589512787</v>
      </c>
      <c r="AP56" s="147">
        <f t="shared" si="54"/>
        <v>0.91395273874165883</v>
      </c>
      <c r="AQ56" s="147">
        <f t="shared" si="54"/>
        <v>0.60140392353717487</v>
      </c>
      <c r="AR56" s="147">
        <f t="shared" si="54"/>
        <v>0.55394099310714984</v>
      </c>
      <c r="AS56" s="147">
        <f t="shared" si="54"/>
        <v>0.48938600051795522</v>
      </c>
      <c r="AT56" s="147">
        <f t="shared" si="55"/>
        <v>0.45918432398268183</v>
      </c>
      <c r="AU56" s="147">
        <f t="shared" si="55"/>
        <v>0.43696508198313477</v>
      </c>
      <c r="AV56" s="147">
        <f t="shared" si="55"/>
        <v>0.460961961307782</v>
      </c>
      <c r="AW56" s="147">
        <f t="shared" si="55"/>
        <v>0.66111402569361044</v>
      </c>
      <c r="AX56" s="147">
        <f t="shared" ref="AX56:BA56" si="58">AX29/AX$6*100</f>
        <v>1.1384103838160149</v>
      </c>
      <c r="AY56" s="147">
        <f t="shared" si="58"/>
        <v>0.47893243321502738</v>
      </c>
      <c r="AZ56" s="147">
        <f t="shared" si="58"/>
        <v>0.32452984123159112</v>
      </c>
      <c r="BA56" s="147">
        <f t="shared" si="58"/>
        <v>0.35791490131615616</v>
      </c>
    </row>
    <row r="57" spans="1:53" ht="17.25" customHeight="1">
      <c r="A57" s="141" t="s">
        <v>107</v>
      </c>
      <c r="B57" s="147">
        <f>B30*100/$B$6</f>
        <v>0</v>
      </c>
      <c r="C57" s="147">
        <f t="shared" ref="C57:E58" si="59">C30*100/$B$6</f>
        <v>0</v>
      </c>
      <c r="D57" s="147">
        <f t="shared" si="59"/>
        <v>0</v>
      </c>
      <c r="E57" s="147">
        <f t="shared" si="59"/>
        <v>0</v>
      </c>
      <c r="F57" s="147">
        <f>F30/$F$6*100</f>
        <v>0</v>
      </c>
      <c r="G57" s="147">
        <f>G30/$G$6*100</f>
        <v>0</v>
      </c>
      <c r="H57" s="147">
        <f>H30/$H$6*100</f>
        <v>0</v>
      </c>
      <c r="I57" s="147">
        <f t="shared" si="43"/>
        <v>0</v>
      </c>
      <c r="J57" s="147">
        <f t="shared" si="44"/>
        <v>0</v>
      </c>
      <c r="K57" s="147" t="s">
        <v>109</v>
      </c>
      <c r="L57" s="147">
        <f t="shared" si="54"/>
        <v>0</v>
      </c>
      <c r="M57" s="147">
        <f t="shared" si="54"/>
        <v>0</v>
      </c>
      <c r="N57" s="147">
        <f t="shared" si="54"/>
        <v>0</v>
      </c>
      <c r="O57" s="147">
        <f t="shared" si="54"/>
        <v>0</v>
      </c>
      <c r="P57" s="147">
        <f t="shared" si="54"/>
        <v>0</v>
      </c>
      <c r="Q57" s="147">
        <f t="shared" si="54"/>
        <v>0</v>
      </c>
      <c r="R57" s="147">
        <f t="shared" si="54"/>
        <v>0</v>
      </c>
      <c r="S57" s="147">
        <f t="shared" si="54"/>
        <v>0</v>
      </c>
      <c r="T57" s="147">
        <f t="shared" si="54"/>
        <v>0</v>
      </c>
      <c r="U57" s="147">
        <f t="shared" si="54"/>
        <v>0</v>
      </c>
      <c r="V57" s="147">
        <f t="shared" si="54"/>
        <v>0</v>
      </c>
      <c r="W57" s="147">
        <f t="shared" si="54"/>
        <v>0</v>
      </c>
      <c r="X57" s="147">
        <f t="shared" si="54"/>
        <v>0</v>
      </c>
      <c r="Y57" s="147">
        <f t="shared" si="54"/>
        <v>0</v>
      </c>
      <c r="Z57" s="147">
        <f t="shared" si="54"/>
        <v>0</v>
      </c>
      <c r="AA57" s="147">
        <f t="shared" si="54"/>
        <v>0</v>
      </c>
      <c r="AB57" s="147">
        <f t="shared" si="54"/>
        <v>0</v>
      </c>
      <c r="AC57" s="147">
        <f t="shared" si="54"/>
        <v>0</v>
      </c>
      <c r="AD57" s="147">
        <f t="shared" si="54"/>
        <v>0</v>
      </c>
      <c r="AE57" s="147">
        <f t="shared" si="54"/>
        <v>0</v>
      </c>
      <c r="AF57" s="147">
        <f t="shared" si="54"/>
        <v>0</v>
      </c>
      <c r="AG57" s="147">
        <f t="shared" si="54"/>
        <v>0</v>
      </c>
      <c r="AH57" s="147">
        <f t="shared" si="54"/>
        <v>0</v>
      </c>
      <c r="AI57" s="147">
        <f>AI30/AI$6*100</f>
        <v>0</v>
      </c>
      <c r="AJ57" s="147">
        <f t="shared" si="54"/>
        <v>0</v>
      </c>
      <c r="AK57" s="147">
        <f t="shared" si="54"/>
        <v>0</v>
      </c>
      <c r="AL57" s="147">
        <f t="shared" si="54"/>
        <v>0</v>
      </c>
      <c r="AM57" s="147">
        <f t="shared" si="54"/>
        <v>0</v>
      </c>
      <c r="AN57" s="147">
        <f t="shared" si="54"/>
        <v>0</v>
      </c>
      <c r="AO57" s="147">
        <f t="shared" si="54"/>
        <v>0</v>
      </c>
      <c r="AP57" s="147">
        <f t="shared" si="54"/>
        <v>0</v>
      </c>
      <c r="AQ57" s="147">
        <f t="shared" si="54"/>
        <v>0</v>
      </c>
      <c r="AR57" s="147">
        <f t="shared" si="54"/>
        <v>0</v>
      </c>
      <c r="AS57" s="147">
        <f t="shared" si="54"/>
        <v>0</v>
      </c>
      <c r="AT57" s="147">
        <f t="shared" si="55"/>
        <v>0</v>
      </c>
      <c r="AU57" s="147">
        <f t="shared" si="55"/>
        <v>0</v>
      </c>
      <c r="AV57" s="147">
        <f t="shared" si="55"/>
        <v>0</v>
      </c>
      <c r="AW57" s="147">
        <f t="shared" si="55"/>
        <v>0</v>
      </c>
      <c r="AX57" s="147">
        <f t="shared" ref="AX57:BA57" si="60">AX30/AX$6*100</f>
        <v>0</v>
      </c>
      <c r="AY57" s="147">
        <f t="shared" si="60"/>
        <v>0</v>
      </c>
      <c r="AZ57" s="147">
        <v>0</v>
      </c>
      <c r="BA57" s="147">
        <f t="shared" si="60"/>
        <v>0</v>
      </c>
    </row>
    <row r="58" spans="1:53" ht="21.75">
      <c r="A58" s="151" t="s">
        <v>108</v>
      </c>
      <c r="B58" s="152">
        <f>B31*100/$B$6</f>
        <v>0</v>
      </c>
      <c r="C58" s="152">
        <f t="shared" si="59"/>
        <v>0</v>
      </c>
      <c r="D58" s="152">
        <f t="shared" si="59"/>
        <v>0</v>
      </c>
      <c r="E58" s="152">
        <f t="shared" si="59"/>
        <v>0</v>
      </c>
      <c r="F58" s="152">
        <f>F31/$F$6*100</f>
        <v>0</v>
      </c>
      <c r="G58" s="152">
        <f>G31/$G$6*100</f>
        <v>0</v>
      </c>
      <c r="H58" s="152">
        <f>H31/$H$6*100</f>
        <v>0</v>
      </c>
      <c r="I58" s="152">
        <f t="shared" si="43"/>
        <v>0</v>
      </c>
      <c r="J58" s="152">
        <f t="shared" si="44"/>
        <v>0</v>
      </c>
      <c r="K58" s="152" t="s">
        <v>109</v>
      </c>
      <c r="L58" s="152">
        <f t="shared" si="54"/>
        <v>0</v>
      </c>
      <c r="M58" s="152">
        <f t="shared" si="54"/>
        <v>0</v>
      </c>
      <c r="N58" s="152">
        <f t="shared" si="54"/>
        <v>0</v>
      </c>
      <c r="O58" s="152">
        <f t="shared" si="54"/>
        <v>0</v>
      </c>
      <c r="P58" s="152">
        <f t="shared" si="54"/>
        <v>0</v>
      </c>
      <c r="Q58" s="152">
        <f t="shared" si="54"/>
        <v>0</v>
      </c>
      <c r="R58" s="152">
        <f t="shared" si="54"/>
        <v>0</v>
      </c>
      <c r="S58" s="152">
        <f t="shared" si="54"/>
        <v>0</v>
      </c>
      <c r="T58" s="152">
        <f t="shared" si="54"/>
        <v>0</v>
      </c>
      <c r="U58" s="152">
        <f t="shared" si="54"/>
        <v>0</v>
      </c>
      <c r="V58" s="152">
        <f t="shared" si="54"/>
        <v>0</v>
      </c>
      <c r="W58" s="152">
        <f t="shared" si="54"/>
        <v>0</v>
      </c>
      <c r="X58" s="152">
        <f t="shared" si="54"/>
        <v>0</v>
      </c>
      <c r="Y58" s="152">
        <f t="shared" si="54"/>
        <v>0</v>
      </c>
      <c r="Z58" s="152">
        <f t="shared" si="54"/>
        <v>0</v>
      </c>
      <c r="AA58" s="152">
        <f t="shared" si="54"/>
        <v>0</v>
      </c>
      <c r="AB58" s="152">
        <f t="shared" si="54"/>
        <v>0</v>
      </c>
      <c r="AC58" s="152">
        <f t="shared" si="54"/>
        <v>0</v>
      </c>
      <c r="AD58" s="152">
        <f t="shared" si="54"/>
        <v>0</v>
      </c>
      <c r="AE58" s="152">
        <f t="shared" si="54"/>
        <v>0</v>
      </c>
      <c r="AF58" s="152">
        <f t="shared" si="54"/>
        <v>0</v>
      </c>
      <c r="AG58" s="152">
        <f t="shared" si="54"/>
        <v>0</v>
      </c>
      <c r="AH58" s="152">
        <f t="shared" si="54"/>
        <v>0</v>
      </c>
      <c r="AI58" s="152">
        <f>AI31/AI$6*100</f>
        <v>0</v>
      </c>
      <c r="AJ58" s="152">
        <f t="shared" si="54"/>
        <v>0</v>
      </c>
      <c r="AK58" s="152">
        <f t="shared" si="54"/>
        <v>0</v>
      </c>
      <c r="AL58" s="152">
        <f t="shared" si="54"/>
        <v>0</v>
      </c>
      <c r="AM58" s="152">
        <f t="shared" si="54"/>
        <v>0</v>
      </c>
      <c r="AN58" s="152">
        <f t="shared" si="54"/>
        <v>0</v>
      </c>
      <c r="AO58" s="152">
        <f t="shared" si="54"/>
        <v>0</v>
      </c>
      <c r="AP58" s="152">
        <f t="shared" si="54"/>
        <v>0</v>
      </c>
      <c r="AQ58" s="152">
        <f t="shared" si="54"/>
        <v>0</v>
      </c>
      <c r="AR58" s="152">
        <f t="shared" si="54"/>
        <v>0</v>
      </c>
      <c r="AS58" s="152">
        <f t="shared" si="54"/>
        <v>3.4802431272618797E-2</v>
      </c>
      <c r="AT58" s="152">
        <f t="shared" si="55"/>
        <v>0</v>
      </c>
      <c r="AU58" s="152">
        <f t="shared" si="55"/>
        <v>0</v>
      </c>
      <c r="AV58" s="152">
        <f t="shared" si="55"/>
        <v>0</v>
      </c>
      <c r="AW58" s="152">
        <f t="shared" si="55"/>
        <v>0</v>
      </c>
      <c r="AX58" s="152">
        <f t="shared" ref="AX58:AY58" si="61">AX31/AX$6*100</f>
        <v>0</v>
      </c>
      <c r="AY58" s="152">
        <f t="shared" si="61"/>
        <v>0</v>
      </c>
      <c r="AZ58" s="152">
        <v>0</v>
      </c>
      <c r="BA58" s="152"/>
    </row>
    <row r="59" spans="1:53">
      <c r="P59" s="153"/>
      <c r="Q59" s="154"/>
      <c r="S59" s="154"/>
      <c r="W59" s="154"/>
      <c r="AA59" s="154"/>
      <c r="AB59" s="147"/>
      <c r="AD59" s="154"/>
      <c r="AE59" s="154"/>
      <c r="AF59" s="147"/>
      <c r="AG59" s="122"/>
      <c r="AH59" s="154"/>
      <c r="AI59" s="154"/>
      <c r="AJ59" s="147"/>
      <c r="AK59" s="122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</row>
    <row r="60" spans="1:53">
      <c r="AD60" s="122"/>
      <c r="AE60" s="122"/>
      <c r="AF60" s="122"/>
      <c r="AG60" s="122"/>
      <c r="AH60" s="122"/>
      <c r="AI60" s="122"/>
      <c r="AJ60" s="122"/>
      <c r="AK60" s="122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</row>
    <row r="61" spans="1:53">
      <c r="AD61" s="122"/>
      <c r="AE61" s="122"/>
      <c r="AF61" s="122"/>
      <c r="AG61" s="122"/>
      <c r="AH61" s="122"/>
      <c r="AI61" s="122"/>
      <c r="AJ61" s="122"/>
      <c r="AK61" s="122"/>
    </row>
    <row r="62" spans="1:53">
      <c r="AD62" s="122"/>
      <c r="AE62" s="122"/>
      <c r="AF62" s="122"/>
      <c r="AG62" s="122"/>
      <c r="AH62" s="122"/>
      <c r="AI62" s="122"/>
      <c r="AJ62" s="122"/>
      <c r="AK62" s="122"/>
    </row>
    <row r="63" spans="1:53">
      <c r="AD63" s="122"/>
      <c r="AE63" s="122"/>
      <c r="AF63" s="122"/>
      <c r="AG63" s="122"/>
      <c r="AH63" s="122"/>
      <c r="AI63" s="122"/>
      <c r="AJ63" s="122"/>
      <c r="AK63" s="122"/>
    </row>
    <row r="64" spans="1:53">
      <c r="AD64" s="122"/>
      <c r="AE64" s="122"/>
      <c r="AF64" s="122"/>
      <c r="AG64" s="122"/>
      <c r="AH64" s="122"/>
      <c r="AI64" s="122"/>
      <c r="AJ64" s="122"/>
      <c r="AK64" s="122"/>
    </row>
    <row r="65" spans="16:37" ht="21.75">
      <c r="P65" s="122"/>
      <c r="AD65" s="122"/>
      <c r="AE65" s="122"/>
      <c r="AF65" s="122"/>
      <c r="AG65" s="122"/>
      <c r="AH65" s="122"/>
      <c r="AI65" s="122"/>
      <c r="AJ65" s="122"/>
      <c r="AK65" s="122"/>
    </row>
    <row r="66" spans="16:37" ht="21.75">
      <c r="P66" s="122"/>
      <c r="AD66" s="122"/>
      <c r="AE66" s="122"/>
      <c r="AF66" s="122"/>
      <c r="AG66" s="122"/>
      <c r="AH66" s="122"/>
      <c r="AI66" s="122"/>
      <c r="AJ66" s="122"/>
      <c r="AK66" s="122"/>
    </row>
    <row r="67" spans="16:37" ht="21.75">
      <c r="P67" s="122"/>
      <c r="AD67" s="122"/>
      <c r="AE67" s="122"/>
      <c r="AF67" s="122"/>
      <c r="AG67" s="122"/>
      <c r="AH67" s="122"/>
      <c r="AI67" s="122"/>
      <c r="AJ67" s="122"/>
      <c r="AK67" s="122"/>
    </row>
    <row r="68" spans="16:37" ht="21.75">
      <c r="P68" s="122"/>
      <c r="AD68" s="122"/>
      <c r="AE68" s="122"/>
      <c r="AF68" s="122"/>
      <c r="AG68" s="122"/>
      <c r="AH68" s="122"/>
      <c r="AI68" s="122"/>
      <c r="AJ68" s="122"/>
      <c r="AK68" s="122"/>
    </row>
    <row r="69" spans="16:37" ht="21.75">
      <c r="P69" s="122"/>
      <c r="AD69" s="122"/>
      <c r="AE69" s="122"/>
      <c r="AF69" s="122"/>
      <c r="AG69" s="122"/>
      <c r="AH69" s="122"/>
      <c r="AI69" s="122"/>
      <c r="AJ69" s="122"/>
      <c r="AK69" s="122"/>
    </row>
    <row r="70" spans="16:37" ht="21.75">
      <c r="P70" s="122"/>
      <c r="AD70" s="122"/>
      <c r="AE70" s="122"/>
      <c r="AF70" s="122"/>
      <c r="AG70" s="122"/>
      <c r="AH70" s="122"/>
      <c r="AI70" s="122"/>
      <c r="AJ70" s="122"/>
      <c r="AK70" s="122"/>
    </row>
    <row r="71" spans="16:37" ht="21.75">
      <c r="P71" s="122"/>
      <c r="AD71" s="122"/>
      <c r="AE71" s="122"/>
      <c r="AF71" s="122"/>
      <c r="AG71" s="122"/>
      <c r="AH71" s="122"/>
      <c r="AI71" s="122"/>
      <c r="AJ71" s="122"/>
      <c r="AK71" s="122"/>
    </row>
    <row r="72" spans="16:37" ht="21.75">
      <c r="P72" s="122"/>
      <c r="AD72" s="122"/>
      <c r="AE72" s="122"/>
      <c r="AF72" s="122"/>
      <c r="AG72" s="122"/>
      <c r="AH72" s="122"/>
      <c r="AI72" s="122"/>
      <c r="AJ72" s="122"/>
      <c r="AK72" s="122"/>
    </row>
    <row r="73" spans="16:37" ht="21.75">
      <c r="P73" s="122"/>
      <c r="AD73" s="122"/>
      <c r="AE73" s="122"/>
      <c r="AF73" s="122"/>
      <c r="AG73" s="122"/>
      <c r="AH73" s="122"/>
      <c r="AI73" s="122"/>
      <c r="AJ73" s="122"/>
      <c r="AK73" s="122"/>
    </row>
    <row r="74" spans="16:37" ht="21.75">
      <c r="P74" s="122"/>
      <c r="AD74" s="122"/>
      <c r="AE74" s="122"/>
      <c r="AF74" s="122"/>
      <c r="AG74" s="122"/>
      <c r="AH74" s="122"/>
      <c r="AI74" s="122"/>
      <c r="AJ74" s="122"/>
      <c r="AK74" s="122"/>
    </row>
    <row r="75" spans="16:37" ht="21.75">
      <c r="P75" s="122"/>
      <c r="AD75" s="122"/>
      <c r="AE75" s="122"/>
      <c r="AF75" s="122"/>
      <c r="AG75" s="122"/>
      <c r="AH75" s="122"/>
      <c r="AI75" s="122"/>
      <c r="AJ75" s="122"/>
      <c r="AK75" s="122"/>
    </row>
    <row r="76" spans="16:37" ht="21.75">
      <c r="P76" s="122"/>
      <c r="AD76" s="122"/>
      <c r="AE76" s="122"/>
      <c r="AF76" s="122"/>
      <c r="AG76" s="122"/>
      <c r="AH76" s="122"/>
      <c r="AI76" s="122"/>
      <c r="AJ76" s="122"/>
      <c r="AK76" s="122"/>
    </row>
    <row r="77" spans="16:37" ht="21.75">
      <c r="P77" s="122"/>
      <c r="AD77" s="122"/>
      <c r="AE77" s="122"/>
      <c r="AF77" s="122"/>
      <c r="AG77" s="122"/>
      <c r="AH77" s="122"/>
      <c r="AI77" s="122"/>
      <c r="AJ77" s="122"/>
      <c r="AK77" s="122"/>
    </row>
    <row r="78" spans="16:37" ht="21.75">
      <c r="P78" s="122"/>
      <c r="AD78" s="122"/>
      <c r="AE78" s="122"/>
      <c r="AF78" s="122"/>
      <c r="AG78" s="122"/>
      <c r="AH78" s="122"/>
      <c r="AI78" s="122"/>
      <c r="AJ78" s="122"/>
      <c r="AK78" s="122"/>
    </row>
    <row r="79" spans="16:37" ht="21.75">
      <c r="P79" s="122"/>
      <c r="AD79" s="122"/>
      <c r="AE79" s="122"/>
      <c r="AF79" s="122"/>
      <c r="AG79" s="122"/>
      <c r="AH79" s="122"/>
      <c r="AI79" s="122"/>
      <c r="AJ79" s="122"/>
      <c r="AK79" s="122"/>
    </row>
    <row r="80" spans="16:37" ht="21.75">
      <c r="P80" s="122"/>
      <c r="AD80" s="122"/>
      <c r="AE80" s="122"/>
      <c r="AF80" s="122"/>
      <c r="AG80" s="122"/>
      <c r="AH80" s="122"/>
      <c r="AI80" s="122"/>
      <c r="AJ80" s="122"/>
      <c r="AK80" s="122"/>
    </row>
    <row r="81" spans="16:37">
      <c r="AD81" s="122"/>
      <c r="AE81" s="122"/>
      <c r="AF81" s="122"/>
      <c r="AG81" s="122"/>
      <c r="AH81" s="122"/>
      <c r="AI81" s="122"/>
      <c r="AJ81" s="122"/>
      <c r="AK81" s="122"/>
    </row>
    <row r="82" spans="16:37">
      <c r="P82" s="156"/>
      <c r="AD82" s="122"/>
      <c r="AE82" s="122"/>
      <c r="AF82" s="122"/>
      <c r="AG82" s="122"/>
      <c r="AH82" s="122"/>
      <c r="AI82" s="122"/>
      <c r="AJ82" s="122"/>
      <c r="AK82" s="122"/>
    </row>
    <row r="83" spans="16:37">
      <c r="P83" s="156"/>
      <c r="AD83" s="122"/>
      <c r="AE83" s="122"/>
      <c r="AF83" s="122"/>
      <c r="AG83" s="122"/>
      <c r="AH83" s="122"/>
      <c r="AI83" s="122"/>
      <c r="AJ83" s="122"/>
      <c r="AK83" s="122"/>
    </row>
    <row r="84" spans="16:37">
      <c r="P84" s="156"/>
      <c r="AD84" s="122"/>
      <c r="AE84" s="122"/>
      <c r="AF84" s="122"/>
      <c r="AG84" s="122"/>
      <c r="AH84" s="122"/>
      <c r="AI84" s="122"/>
      <c r="AJ84" s="122"/>
      <c r="AK84" s="122"/>
    </row>
    <row r="85" spans="16:37">
      <c r="P85" s="156"/>
      <c r="AD85" s="122"/>
      <c r="AE85" s="122"/>
      <c r="AF85" s="122"/>
      <c r="AG85" s="122"/>
      <c r="AH85" s="122"/>
      <c r="AI85" s="122"/>
      <c r="AJ85" s="122"/>
      <c r="AK85" s="122"/>
    </row>
    <row r="86" spans="16:37">
      <c r="P86" s="156"/>
      <c r="AD86" s="122"/>
      <c r="AE86" s="122"/>
      <c r="AF86" s="122"/>
      <c r="AG86" s="122"/>
      <c r="AH86" s="122"/>
      <c r="AI86" s="122"/>
      <c r="AJ86" s="122"/>
      <c r="AK86" s="122"/>
    </row>
    <row r="87" spans="16:37">
      <c r="P87" s="156"/>
      <c r="AD87" s="122"/>
      <c r="AE87" s="122"/>
      <c r="AF87" s="122"/>
      <c r="AG87" s="122"/>
      <c r="AH87" s="122"/>
      <c r="AI87" s="122"/>
      <c r="AJ87" s="122"/>
      <c r="AK87" s="122"/>
    </row>
    <row r="88" spans="16:37">
      <c r="P88" s="156"/>
      <c r="AD88" s="122"/>
      <c r="AE88" s="122"/>
      <c r="AF88" s="122"/>
      <c r="AG88" s="122"/>
      <c r="AH88" s="122"/>
      <c r="AI88" s="122"/>
      <c r="AJ88" s="122"/>
      <c r="AK88" s="122"/>
    </row>
    <row r="89" spans="16:37">
      <c r="P89" s="156"/>
      <c r="AD89" s="122"/>
      <c r="AE89" s="122"/>
      <c r="AF89" s="122"/>
      <c r="AG89" s="122"/>
      <c r="AH89" s="122"/>
      <c r="AI89" s="122"/>
      <c r="AJ89" s="122"/>
      <c r="AK89" s="122"/>
    </row>
    <row r="90" spans="16:37">
      <c r="P90" s="156"/>
      <c r="AD90" s="122"/>
      <c r="AE90" s="122"/>
      <c r="AF90" s="122"/>
      <c r="AG90" s="122"/>
      <c r="AH90" s="122"/>
      <c r="AI90" s="122"/>
      <c r="AJ90" s="122"/>
      <c r="AK90" s="122"/>
    </row>
    <row r="91" spans="16:37">
      <c r="P91" s="156"/>
      <c r="AD91" s="122"/>
      <c r="AE91" s="122"/>
      <c r="AF91" s="122"/>
      <c r="AG91" s="122"/>
      <c r="AH91" s="122"/>
      <c r="AI91" s="122"/>
      <c r="AJ91" s="122"/>
      <c r="AK91" s="122"/>
    </row>
    <row r="92" spans="16:37">
      <c r="P92" s="156"/>
      <c r="AD92" s="122"/>
      <c r="AE92" s="122"/>
      <c r="AF92" s="122"/>
      <c r="AG92" s="122"/>
      <c r="AH92" s="122"/>
      <c r="AI92" s="122"/>
      <c r="AJ92" s="122"/>
      <c r="AK92" s="122"/>
    </row>
    <row r="93" spans="16:37">
      <c r="P93" s="156"/>
      <c r="AD93" s="122"/>
      <c r="AE93" s="122"/>
      <c r="AF93" s="122"/>
      <c r="AG93" s="122"/>
      <c r="AH93" s="122"/>
      <c r="AI93" s="122"/>
      <c r="AJ93" s="122"/>
      <c r="AK93" s="122"/>
    </row>
    <row r="94" spans="16:37">
      <c r="P94" s="156"/>
      <c r="AD94" s="122"/>
      <c r="AE94" s="122"/>
      <c r="AF94" s="122"/>
      <c r="AG94" s="122"/>
      <c r="AH94" s="122"/>
      <c r="AI94" s="122"/>
      <c r="AJ94" s="122"/>
      <c r="AK94" s="122"/>
    </row>
    <row r="95" spans="16:37">
      <c r="P95" s="156"/>
      <c r="AD95" s="122"/>
      <c r="AE95" s="122"/>
      <c r="AF95" s="122"/>
      <c r="AG95" s="122"/>
      <c r="AH95" s="122"/>
      <c r="AI95" s="122"/>
      <c r="AJ95" s="122"/>
      <c r="AK95" s="122"/>
    </row>
    <row r="96" spans="16:37">
      <c r="P96" s="156"/>
      <c r="AD96" s="157"/>
      <c r="AE96" s="157"/>
      <c r="AF96" s="157"/>
      <c r="AG96" s="157"/>
      <c r="AH96" s="157"/>
      <c r="AI96" s="157"/>
      <c r="AJ96" s="157"/>
      <c r="AK96" s="157"/>
    </row>
    <row r="97" spans="16:37">
      <c r="P97" s="156"/>
      <c r="AD97" s="122"/>
      <c r="AE97" s="122"/>
      <c r="AF97" s="122"/>
      <c r="AG97" s="122"/>
      <c r="AH97" s="122"/>
      <c r="AI97" s="122"/>
      <c r="AJ97" s="122"/>
      <c r="AK97" s="122"/>
    </row>
    <row r="98" spans="16:37">
      <c r="P98" s="156"/>
      <c r="AD98" s="122"/>
      <c r="AE98" s="122"/>
      <c r="AF98" s="122"/>
      <c r="AG98" s="122"/>
      <c r="AH98" s="122"/>
      <c r="AI98" s="122"/>
      <c r="AJ98" s="122"/>
      <c r="AK98" s="122"/>
    </row>
    <row r="99" spans="16:37">
      <c r="P99" s="156"/>
      <c r="AD99" s="122"/>
      <c r="AE99" s="122"/>
      <c r="AF99" s="122"/>
      <c r="AG99" s="122"/>
      <c r="AH99" s="122"/>
      <c r="AI99" s="122"/>
      <c r="AJ99" s="122"/>
      <c r="AK99" s="122"/>
    </row>
    <row r="100" spans="16:37">
      <c r="P100" s="156"/>
      <c r="AD100" s="122"/>
      <c r="AE100" s="122"/>
      <c r="AF100" s="122"/>
      <c r="AG100" s="122"/>
      <c r="AH100" s="122"/>
      <c r="AI100" s="122"/>
      <c r="AJ100" s="122"/>
      <c r="AK100" s="122"/>
    </row>
    <row r="101" spans="16:37">
      <c r="P101" s="156"/>
      <c r="AD101" s="122"/>
      <c r="AE101" s="122"/>
      <c r="AF101" s="122"/>
      <c r="AG101" s="122"/>
      <c r="AH101" s="122"/>
      <c r="AI101" s="122"/>
      <c r="AJ101" s="122"/>
      <c r="AK101" s="122"/>
    </row>
  </sheetData>
  <mergeCells count="16">
    <mergeCell ref="AX3:BA3"/>
    <mergeCell ref="A5:K5"/>
    <mergeCell ref="A32:K3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workbookViewId="0">
      <pane xSplit="1" ySplit="3" topLeftCell="AT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7.125" defaultRowHeight="24"/>
  <cols>
    <col min="1" max="1" width="16.625" style="5" customWidth="1"/>
    <col min="2" max="6" width="9.5" style="5" customWidth="1"/>
    <col min="7" max="8" width="10.5" style="5" customWidth="1"/>
    <col min="9" max="10" width="9.5" style="5" customWidth="1"/>
    <col min="11" max="15" width="10.75" style="5" customWidth="1"/>
    <col min="16" max="16" width="10.75" style="37" customWidth="1"/>
    <col min="17" max="18" width="10.75" style="4" customWidth="1"/>
    <col min="19" max="20" width="9.5" style="4" customWidth="1"/>
    <col min="21" max="21" width="10.75" style="4" customWidth="1"/>
    <col min="22" max="22" width="9.5" style="4" customWidth="1"/>
    <col min="23" max="23" width="10.125" style="4" customWidth="1"/>
    <col min="24" max="24" width="9.5" style="4" customWidth="1"/>
    <col min="25" max="25" width="10" style="4" customWidth="1"/>
    <col min="26" max="26" width="8.625" style="4" customWidth="1"/>
    <col min="27" max="27" width="9.375" style="4" customWidth="1"/>
    <col min="28" max="28" width="8.25" style="4" customWidth="1"/>
    <col min="29" max="29" width="8.875" style="4" customWidth="1"/>
    <col min="30" max="30" width="11.625" style="5" customWidth="1"/>
    <col min="31" max="31" width="9.375" style="5" customWidth="1"/>
    <col min="32" max="32" width="8.875" style="4" customWidth="1"/>
    <col min="33" max="33" width="8.5" style="5" customWidth="1"/>
    <col min="34" max="37" width="9.375" style="5" customWidth="1"/>
    <col min="38" max="53" width="8.875" style="5" customWidth="1"/>
    <col min="54" max="16384" width="7.125" style="5"/>
  </cols>
  <sheetData>
    <row r="1" spans="1:53" s="2" customFormat="1" ht="34.5" customHeight="1">
      <c r="A1" s="2" t="s">
        <v>54</v>
      </c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F1" s="4"/>
    </row>
    <row r="2" spans="1:53" s="2" customFormat="1" ht="27.6" customHeight="1">
      <c r="A2" s="59"/>
      <c r="B2" s="60"/>
      <c r="C2" s="60"/>
      <c r="F2" s="60"/>
      <c r="J2" s="60"/>
      <c r="P2" s="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F2" s="4"/>
    </row>
    <row r="3" spans="1:53" s="2" customFormat="1" ht="30.75" customHeight="1">
      <c r="A3" s="244" t="s">
        <v>55</v>
      </c>
      <c r="B3" s="237" t="s">
        <v>35</v>
      </c>
      <c r="C3" s="237"/>
      <c r="D3" s="237"/>
      <c r="E3" s="237"/>
      <c r="F3" s="237" t="s">
        <v>34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s="2" customFormat="1" ht="30.75" customHeight="1">
      <c r="A4" s="245"/>
      <c r="B4" s="61" t="s">
        <v>14</v>
      </c>
      <c r="C4" s="61" t="s">
        <v>15</v>
      </c>
      <c r="D4" s="61" t="s">
        <v>16</v>
      </c>
      <c r="E4" s="61" t="s">
        <v>17</v>
      </c>
      <c r="F4" s="61" t="s">
        <v>14</v>
      </c>
      <c r="G4" s="61" t="s">
        <v>15</v>
      </c>
      <c r="H4" s="61" t="s">
        <v>16</v>
      </c>
      <c r="I4" s="61" t="s">
        <v>17</v>
      </c>
      <c r="J4" s="62" t="s">
        <v>14</v>
      </c>
      <c r="K4" s="63" t="s">
        <v>15</v>
      </c>
      <c r="L4" s="63" t="s">
        <v>16</v>
      </c>
      <c r="M4" s="63" t="s">
        <v>17</v>
      </c>
      <c r="N4" s="63" t="s">
        <v>14</v>
      </c>
      <c r="O4" s="63" t="s">
        <v>15</v>
      </c>
      <c r="P4" s="63" t="s">
        <v>16</v>
      </c>
      <c r="Q4" s="62" t="s">
        <v>17</v>
      </c>
      <c r="R4" s="63" t="s">
        <v>14</v>
      </c>
      <c r="S4" s="63" t="s">
        <v>15</v>
      </c>
      <c r="T4" s="63" t="s">
        <v>16</v>
      </c>
      <c r="U4" s="63" t="s">
        <v>17</v>
      </c>
      <c r="V4" s="63" t="s">
        <v>14</v>
      </c>
      <c r="W4" s="63" t="s">
        <v>15</v>
      </c>
      <c r="X4" s="63" t="s">
        <v>16</v>
      </c>
      <c r="Y4" s="63" t="s">
        <v>17</v>
      </c>
      <c r="Z4" s="63" t="s">
        <v>14</v>
      </c>
      <c r="AA4" s="63" t="s">
        <v>15</v>
      </c>
      <c r="AB4" s="63" t="s">
        <v>16</v>
      </c>
      <c r="AC4" s="63" t="s">
        <v>17</v>
      </c>
      <c r="AD4" s="63" t="s">
        <v>14</v>
      </c>
      <c r="AE4" s="63" t="s">
        <v>15</v>
      </c>
      <c r="AF4" s="63" t="s">
        <v>16</v>
      </c>
      <c r="AG4" s="63" t="s">
        <v>17</v>
      </c>
      <c r="AH4" s="63" t="s">
        <v>14</v>
      </c>
      <c r="AI4" s="63" t="s">
        <v>15</v>
      </c>
      <c r="AJ4" s="63" t="s">
        <v>16</v>
      </c>
      <c r="AK4" s="63" t="s">
        <v>17</v>
      </c>
      <c r="AL4" s="63" t="s">
        <v>14</v>
      </c>
      <c r="AM4" s="63" t="s">
        <v>15</v>
      </c>
      <c r="AN4" s="63" t="s">
        <v>16</v>
      </c>
      <c r="AO4" s="63" t="s">
        <v>17</v>
      </c>
      <c r="AP4" s="63" t="s">
        <v>14</v>
      </c>
      <c r="AQ4" s="63" t="s">
        <v>15</v>
      </c>
      <c r="AR4" s="63" t="s">
        <v>16</v>
      </c>
      <c r="AS4" s="63" t="s">
        <v>17</v>
      </c>
      <c r="AT4" s="63" t="s">
        <v>14</v>
      </c>
      <c r="AU4" s="63" t="s">
        <v>15</v>
      </c>
      <c r="AV4" s="63" t="s">
        <v>16</v>
      </c>
      <c r="AW4" s="63" t="s">
        <v>17</v>
      </c>
      <c r="AX4" s="63" t="s">
        <v>14</v>
      </c>
      <c r="AY4" s="63" t="s">
        <v>15</v>
      </c>
      <c r="AZ4" s="63" t="s">
        <v>16</v>
      </c>
      <c r="BA4" s="63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2"/>
      <c r="P5" s="13"/>
    </row>
    <row r="6" spans="1:53" s="2" customFormat="1" ht="24.95" customHeight="1">
      <c r="A6" s="14" t="s">
        <v>19</v>
      </c>
      <c r="B6" s="64">
        <v>1463504</v>
      </c>
      <c r="C6" s="64">
        <v>1497012</v>
      </c>
      <c r="D6" s="65">
        <v>0</v>
      </c>
      <c r="E6" s="64">
        <v>1554713</v>
      </c>
      <c r="F6" s="64">
        <v>1444247</v>
      </c>
      <c r="G6" s="64">
        <v>1502083</v>
      </c>
      <c r="H6" s="64">
        <v>1568700</v>
      </c>
      <c r="I6" s="64">
        <v>1596453</v>
      </c>
      <c r="J6" s="64">
        <v>1473724.65</v>
      </c>
      <c r="K6" s="64">
        <v>1558329.53</v>
      </c>
      <c r="L6" s="64">
        <v>1603167.91</v>
      </c>
      <c r="M6" s="64">
        <v>1616084</v>
      </c>
      <c r="N6" s="64">
        <v>1503381</v>
      </c>
      <c r="O6" s="64">
        <v>1501983</v>
      </c>
      <c r="P6" s="64">
        <v>1599586</v>
      </c>
      <c r="Q6" s="64">
        <v>1588286</v>
      </c>
      <c r="R6" s="64">
        <v>1349508</v>
      </c>
      <c r="S6" s="64">
        <v>1397341</v>
      </c>
      <c r="T6" s="64">
        <v>1405156</v>
      </c>
      <c r="U6" s="64">
        <f>SUM(U8:U13)</f>
        <v>1416408</v>
      </c>
      <c r="V6" s="64">
        <v>1362576</v>
      </c>
      <c r="W6" s="64">
        <v>1368352</v>
      </c>
      <c r="X6" s="64">
        <v>1366251.5</v>
      </c>
      <c r="Y6" s="64">
        <v>1389717</v>
      </c>
      <c r="Z6" s="66">
        <v>1280209</v>
      </c>
      <c r="AA6" s="66">
        <v>1281018</v>
      </c>
      <c r="AB6" s="66">
        <v>1332622</v>
      </c>
      <c r="AC6" s="66">
        <v>1315216</v>
      </c>
      <c r="AD6" s="66">
        <v>1244459</v>
      </c>
      <c r="AE6" s="66">
        <v>1264250</v>
      </c>
      <c r="AF6" s="66">
        <v>1361389</v>
      </c>
      <c r="AG6" s="66">
        <v>1306823</v>
      </c>
      <c r="AH6" s="66">
        <v>1236358</v>
      </c>
      <c r="AI6" s="66">
        <v>1252549</v>
      </c>
      <c r="AJ6" s="66">
        <v>1299811</v>
      </c>
      <c r="AK6" s="66">
        <v>1263081</v>
      </c>
      <c r="AL6" s="66">
        <v>1184151</v>
      </c>
      <c r="AM6" s="66">
        <v>1171095</v>
      </c>
      <c r="AN6" s="66">
        <v>1164344</v>
      </c>
      <c r="AO6" s="66">
        <v>1198717</v>
      </c>
      <c r="AP6" s="66">
        <v>1123034</v>
      </c>
      <c r="AQ6" s="66">
        <v>1235110</v>
      </c>
      <c r="AR6" s="66">
        <v>1289307</v>
      </c>
      <c r="AS6" s="66">
        <v>1347607</v>
      </c>
      <c r="AT6" s="66">
        <v>1098034</v>
      </c>
      <c r="AU6" s="66">
        <v>1173778</v>
      </c>
      <c r="AV6" s="66">
        <v>1259323</v>
      </c>
      <c r="AW6" s="66">
        <v>1153205</v>
      </c>
      <c r="AX6" s="230">
        <v>1226447</v>
      </c>
      <c r="AY6" s="66">
        <v>1208730</v>
      </c>
      <c r="AZ6" s="66">
        <v>1269837</v>
      </c>
      <c r="BA6" s="66">
        <v>1166199</v>
      </c>
    </row>
    <row r="7" spans="1:53" s="2" customFormat="1" ht="6" customHeight="1">
      <c r="A7" s="14"/>
      <c r="B7" s="64"/>
      <c r="C7" s="64"/>
      <c r="D7" s="67"/>
      <c r="E7" s="64"/>
      <c r="F7" s="64"/>
      <c r="G7" s="64"/>
      <c r="H7" s="68"/>
      <c r="I7" s="68"/>
      <c r="J7" s="68"/>
      <c r="K7" s="64"/>
      <c r="L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231"/>
      <c r="AY7" s="60"/>
      <c r="AZ7" s="60"/>
      <c r="BA7" s="60"/>
    </row>
    <row r="8" spans="1:53" ht="24.95" customHeight="1">
      <c r="A8" s="69" t="s">
        <v>56</v>
      </c>
      <c r="B8" s="70">
        <v>30259</v>
      </c>
      <c r="C8" s="70">
        <v>28558</v>
      </c>
      <c r="D8" s="71">
        <v>0</v>
      </c>
      <c r="E8" s="70">
        <v>28350</v>
      </c>
      <c r="F8" s="70">
        <v>37077</v>
      </c>
      <c r="G8" s="70">
        <v>29567</v>
      </c>
      <c r="H8" s="70">
        <v>23227</v>
      </c>
      <c r="I8" s="70">
        <v>30768.880000000001</v>
      </c>
      <c r="J8" s="70">
        <v>41227.06</v>
      </c>
      <c r="K8" s="70">
        <v>26737.16</v>
      </c>
      <c r="L8" s="70">
        <v>23615.35</v>
      </c>
      <c r="M8" s="70">
        <v>32193</v>
      </c>
      <c r="N8" s="70">
        <v>32736</v>
      </c>
      <c r="O8" s="70">
        <v>30190</v>
      </c>
      <c r="P8" s="70">
        <v>31923</v>
      </c>
      <c r="Q8" s="70">
        <v>33558</v>
      </c>
      <c r="R8" s="70">
        <v>27800</v>
      </c>
      <c r="S8" s="70">
        <v>29983</v>
      </c>
      <c r="T8" s="70">
        <v>33095</v>
      </c>
      <c r="U8" s="70">
        <v>32264</v>
      </c>
      <c r="V8" s="70">
        <v>35015</v>
      </c>
      <c r="W8" s="70">
        <v>18358.34</v>
      </c>
      <c r="X8" s="70">
        <v>21061.279999999999</v>
      </c>
      <c r="Y8" s="70">
        <v>17303</v>
      </c>
      <c r="Z8" s="72">
        <v>35270</v>
      </c>
      <c r="AA8" s="72">
        <v>38575</v>
      </c>
      <c r="AB8" s="72">
        <v>24388</v>
      </c>
      <c r="AC8" s="72">
        <v>18302</v>
      </c>
      <c r="AD8" s="72">
        <v>26585</v>
      </c>
      <c r="AE8" s="72">
        <v>32943</v>
      </c>
      <c r="AF8" s="72">
        <v>33573</v>
      </c>
      <c r="AG8" s="72">
        <v>16876</v>
      </c>
      <c r="AH8" s="72">
        <v>23779</v>
      </c>
      <c r="AI8" s="72">
        <v>31443</v>
      </c>
      <c r="AJ8" s="72">
        <v>25072</v>
      </c>
      <c r="AK8" s="72">
        <v>25064</v>
      </c>
      <c r="AL8" s="72">
        <v>20864</v>
      </c>
      <c r="AM8" s="72">
        <v>11358</v>
      </c>
      <c r="AN8" s="72">
        <v>16620</v>
      </c>
      <c r="AO8" s="72">
        <v>13405</v>
      </c>
      <c r="AP8" s="72">
        <v>19984</v>
      </c>
      <c r="AQ8" s="72">
        <v>18232</v>
      </c>
      <c r="AR8" s="72">
        <v>23091</v>
      </c>
      <c r="AS8" s="72">
        <v>15642</v>
      </c>
      <c r="AT8" s="72">
        <v>18465</v>
      </c>
      <c r="AU8" s="72">
        <v>15365</v>
      </c>
      <c r="AV8" s="72">
        <v>14138</v>
      </c>
      <c r="AW8" s="72">
        <v>17461</v>
      </c>
      <c r="AX8" s="75">
        <v>34759</v>
      </c>
      <c r="AY8" s="72">
        <v>28569</v>
      </c>
      <c r="AZ8" s="72">
        <v>16584</v>
      </c>
      <c r="BA8" s="72">
        <v>17103</v>
      </c>
    </row>
    <row r="9" spans="1:53" ht="24.95" customHeight="1">
      <c r="A9" s="69" t="s">
        <v>57</v>
      </c>
      <c r="B9" s="70">
        <v>156053</v>
      </c>
      <c r="C9" s="70">
        <v>130149</v>
      </c>
      <c r="D9" s="71">
        <v>0</v>
      </c>
      <c r="E9" s="70">
        <v>130871</v>
      </c>
      <c r="F9" s="70">
        <v>143579</v>
      </c>
      <c r="G9" s="70">
        <v>148139</v>
      </c>
      <c r="H9" s="70">
        <v>157802</v>
      </c>
      <c r="I9" s="70">
        <v>134796.37</v>
      </c>
      <c r="J9" s="70">
        <v>173730.83</v>
      </c>
      <c r="K9" s="70">
        <v>158290.81</v>
      </c>
      <c r="L9" s="70">
        <v>155869.79999999999</v>
      </c>
      <c r="M9" s="70">
        <v>169390</v>
      </c>
      <c r="N9" s="70">
        <v>132100</v>
      </c>
      <c r="O9" s="70">
        <v>139851</v>
      </c>
      <c r="P9" s="70">
        <v>159664</v>
      </c>
      <c r="Q9" s="70">
        <v>134120</v>
      </c>
      <c r="R9" s="70">
        <v>129606</v>
      </c>
      <c r="S9" s="70">
        <v>122365</v>
      </c>
      <c r="T9" s="70">
        <v>120549</v>
      </c>
      <c r="U9" s="70">
        <v>135606</v>
      </c>
      <c r="V9" s="70">
        <v>125723</v>
      </c>
      <c r="W9" s="70">
        <v>98726.01</v>
      </c>
      <c r="X9" s="70">
        <v>107224.22</v>
      </c>
      <c r="Y9" s="70">
        <v>125107</v>
      </c>
      <c r="Z9" s="72">
        <v>116831</v>
      </c>
      <c r="AA9" s="72">
        <v>98862</v>
      </c>
      <c r="AB9" s="72">
        <v>102728</v>
      </c>
      <c r="AC9" s="72">
        <v>119602</v>
      </c>
      <c r="AD9" s="72">
        <v>122210</v>
      </c>
      <c r="AE9" s="72">
        <v>128812</v>
      </c>
      <c r="AF9" s="72">
        <v>116476</v>
      </c>
      <c r="AG9" s="72">
        <v>118240</v>
      </c>
      <c r="AH9" s="72">
        <v>99110</v>
      </c>
      <c r="AI9" s="72">
        <v>107195</v>
      </c>
      <c r="AJ9" s="72">
        <v>108346</v>
      </c>
      <c r="AK9" s="72">
        <v>100315</v>
      </c>
      <c r="AL9" s="72">
        <v>103336</v>
      </c>
      <c r="AM9" s="72">
        <v>113629</v>
      </c>
      <c r="AN9" s="72">
        <v>122330</v>
      </c>
      <c r="AO9" s="72">
        <v>99806</v>
      </c>
      <c r="AP9" s="72">
        <v>98978</v>
      </c>
      <c r="AQ9" s="72">
        <v>96313</v>
      </c>
      <c r="AR9" s="72">
        <v>112185</v>
      </c>
      <c r="AS9" s="72">
        <v>108429</v>
      </c>
      <c r="AT9" s="72">
        <v>113034</v>
      </c>
      <c r="AU9" s="72">
        <v>123544</v>
      </c>
      <c r="AV9" s="72">
        <v>125356</v>
      </c>
      <c r="AW9" s="72">
        <v>82540</v>
      </c>
      <c r="AX9" s="75">
        <v>130835</v>
      </c>
      <c r="AY9" s="72">
        <v>135367</v>
      </c>
      <c r="AZ9" s="72">
        <v>131343</v>
      </c>
      <c r="BA9" s="72">
        <v>129127</v>
      </c>
    </row>
    <row r="10" spans="1:53" ht="24.95" customHeight="1">
      <c r="A10" s="69" t="s">
        <v>58</v>
      </c>
      <c r="B10" s="70">
        <v>614948</v>
      </c>
      <c r="C10" s="70">
        <v>619498</v>
      </c>
      <c r="D10" s="71">
        <v>0</v>
      </c>
      <c r="E10" s="70">
        <v>553956</v>
      </c>
      <c r="F10" s="70">
        <v>632632</v>
      </c>
      <c r="G10" s="70">
        <v>594637</v>
      </c>
      <c r="H10" s="70">
        <v>542454</v>
      </c>
      <c r="I10" s="70">
        <v>569918.97</v>
      </c>
      <c r="J10" s="70">
        <v>592670.68000000005</v>
      </c>
      <c r="K10" s="70">
        <v>557815.27</v>
      </c>
      <c r="L10" s="70">
        <v>587531.65</v>
      </c>
      <c r="M10" s="70">
        <v>559121</v>
      </c>
      <c r="N10" s="70">
        <v>692924</v>
      </c>
      <c r="O10" s="70">
        <v>622426</v>
      </c>
      <c r="P10" s="70">
        <v>544261</v>
      </c>
      <c r="Q10" s="70">
        <v>554678</v>
      </c>
      <c r="R10" s="70">
        <v>538289</v>
      </c>
      <c r="S10" s="70">
        <v>499979</v>
      </c>
      <c r="T10" s="70">
        <v>484333</v>
      </c>
      <c r="U10" s="70">
        <v>434725</v>
      </c>
      <c r="V10" s="70">
        <v>515030</v>
      </c>
      <c r="W10" s="70">
        <v>570205.29</v>
      </c>
      <c r="X10" s="70">
        <v>481740</v>
      </c>
      <c r="Y10" s="70">
        <v>488050</v>
      </c>
      <c r="Z10" s="72">
        <v>548311</v>
      </c>
      <c r="AA10" s="72">
        <v>545935</v>
      </c>
      <c r="AB10" s="72">
        <v>519076</v>
      </c>
      <c r="AC10" s="72">
        <v>482583</v>
      </c>
      <c r="AD10" s="72">
        <v>546961</v>
      </c>
      <c r="AE10" s="72">
        <v>504414</v>
      </c>
      <c r="AF10" s="72">
        <v>538144</v>
      </c>
      <c r="AG10" s="72">
        <v>503009</v>
      </c>
      <c r="AH10" s="72">
        <v>502748</v>
      </c>
      <c r="AI10" s="72">
        <v>500329</v>
      </c>
      <c r="AJ10" s="72">
        <v>476056</v>
      </c>
      <c r="AK10" s="72">
        <v>494557</v>
      </c>
      <c r="AL10" s="72">
        <v>515650</v>
      </c>
      <c r="AM10" s="72">
        <v>478691</v>
      </c>
      <c r="AN10" s="72">
        <v>423293</v>
      </c>
      <c r="AO10" s="72">
        <v>461352</v>
      </c>
      <c r="AP10" s="72">
        <v>487112</v>
      </c>
      <c r="AQ10" s="72">
        <v>441750</v>
      </c>
      <c r="AR10" s="72">
        <v>449281</v>
      </c>
      <c r="AS10" s="72">
        <v>456418</v>
      </c>
      <c r="AT10" s="72">
        <v>478347</v>
      </c>
      <c r="AU10" s="72">
        <v>474908</v>
      </c>
      <c r="AV10" s="72">
        <v>434410</v>
      </c>
      <c r="AW10" s="72">
        <v>434553</v>
      </c>
      <c r="AX10" s="75">
        <v>509128</v>
      </c>
      <c r="AY10" s="72">
        <v>452980</v>
      </c>
      <c r="AZ10" s="72">
        <v>408345</v>
      </c>
      <c r="BA10" s="72">
        <v>418089</v>
      </c>
    </row>
    <row r="11" spans="1:53" ht="24.95" customHeight="1">
      <c r="A11" s="69" t="s">
        <v>59</v>
      </c>
      <c r="B11" s="70">
        <v>439713</v>
      </c>
      <c r="C11" s="70">
        <v>436256</v>
      </c>
      <c r="D11" s="71">
        <v>0</v>
      </c>
      <c r="E11" s="70">
        <v>488201</v>
      </c>
      <c r="F11" s="70">
        <v>395756</v>
      </c>
      <c r="G11" s="70">
        <v>444566</v>
      </c>
      <c r="H11" s="70">
        <v>499148</v>
      </c>
      <c r="I11" s="70">
        <v>497408.77</v>
      </c>
      <c r="J11" s="70">
        <v>405175.93</v>
      </c>
      <c r="K11" s="70">
        <v>495660.01</v>
      </c>
      <c r="L11" s="70">
        <v>487504.23</v>
      </c>
      <c r="M11" s="70">
        <v>478233</v>
      </c>
      <c r="N11" s="70">
        <v>417808</v>
      </c>
      <c r="O11" s="70">
        <v>446947</v>
      </c>
      <c r="P11" s="70">
        <v>513153</v>
      </c>
      <c r="Q11" s="70">
        <v>511200</v>
      </c>
      <c r="R11" s="70">
        <v>431211</v>
      </c>
      <c r="S11" s="70">
        <v>462478</v>
      </c>
      <c r="T11" s="70">
        <v>496335</v>
      </c>
      <c r="U11" s="70">
        <v>488280</v>
      </c>
      <c r="V11" s="70">
        <v>452652</v>
      </c>
      <c r="W11" s="70">
        <v>462103.94</v>
      </c>
      <c r="X11" s="70">
        <v>480634.06</v>
      </c>
      <c r="Y11" s="70">
        <v>468254</v>
      </c>
      <c r="Z11" s="72">
        <v>392951</v>
      </c>
      <c r="AA11" s="72">
        <v>401679</v>
      </c>
      <c r="AB11" s="72">
        <v>420958</v>
      </c>
      <c r="AC11" s="72">
        <v>424086</v>
      </c>
      <c r="AD11" s="72">
        <v>386425</v>
      </c>
      <c r="AE11" s="72">
        <v>398461</v>
      </c>
      <c r="AF11" s="72">
        <v>435780</v>
      </c>
      <c r="AG11" s="72">
        <v>442459</v>
      </c>
      <c r="AH11" s="72">
        <v>427385</v>
      </c>
      <c r="AI11" s="72">
        <v>416890</v>
      </c>
      <c r="AJ11" s="72">
        <v>461630</v>
      </c>
      <c r="AK11" s="72">
        <v>431592</v>
      </c>
      <c r="AL11" s="72">
        <v>383114</v>
      </c>
      <c r="AM11" s="72">
        <v>379025</v>
      </c>
      <c r="AN11" s="72">
        <v>416002</v>
      </c>
      <c r="AO11" s="72">
        <v>408909</v>
      </c>
      <c r="AP11" s="72">
        <v>344728</v>
      </c>
      <c r="AQ11" s="72">
        <v>447025</v>
      </c>
      <c r="AR11" s="72">
        <v>468455</v>
      </c>
      <c r="AS11" s="72">
        <v>498045</v>
      </c>
      <c r="AT11" s="72">
        <v>333638</v>
      </c>
      <c r="AU11" s="72">
        <v>378320</v>
      </c>
      <c r="AV11" s="72">
        <v>441288</v>
      </c>
      <c r="AW11" s="72">
        <v>420441</v>
      </c>
      <c r="AX11" s="75">
        <v>386462</v>
      </c>
      <c r="AY11" s="72">
        <v>385253</v>
      </c>
      <c r="AZ11" s="72">
        <v>466407</v>
      </c>
      <c r="BA11" s="72">
        <v>419112</v>
      </c>
    </row>
    <row r="12" spans="1:53" ht="24.95" customHeight="1">
      <c r="A12" s="69" t="s">
        <v>60</v>
      </c>
      <c r="B12" s="70">
        <v>218707</v>
      </c>
      <c r="C12" s="70">
        <v>282550</v>
      </c>
      <c r="D12" s="71">
        <v>0</v>
      </c>
      <c r="E12" s="70">
        <v>353335</v>
      </c>
      <c r="F12" s="70">
        <v>234972</v>
      </c>
      <c r="G12" s="70">
        <v>285174</v>
      </c>
      <c r="H12" s="70">
        <v>342093</v>
      </c>
      <c r="I12" s="70">
        <v>363210.4</v>
      </c>
      <c r="J12" s="70">
        <v>260920.15</v>
      </c>
      <c r="K12" s="70">
        <v>319128.61</v>
      </c>
      <c r="L12" s="70">
        <v>347641.67</v>
      </c>
      <c r="M12" s="70">
        <v>376864</v>
      </c>
      <c r="N12" s="70">
        <v>226327</v>
      </c>
      <c r="O12" s="70">
        <v>261843</v>
      </c>
      <c r="P12" s="70">
        <v>348976</v>
      </c>
      <c r="Q12" s="70">
        <v>354405</v>
      </c>
      <c r="R12" s="70">
        <v>222602</v>
      </c>
      <c r="S12" s="70">
        <v>282536</v>
      </c>
      <c r="T12" s="70">
        <v>269042</v>
      </c>
      <c r="U12" s="70">
        <v>316606</v>
      </c>
      <c r="V12" s="70">
        <v>230167</v>
      </c>
      <c r="W12" s="70">
        <v>215879</v>
      </c>
      <c r="X12" s="70">
        <v>275207.33</v>
      </c>
      <c r="Y12" s="70">
        <v>289384</v>
      </c>
      <c r="Z12" s="72">
        <v>184540</v>
      </c>
      <c r="AA12" s="72">
        <v>194467</v>
      </c>
      <c r="AB12" s="72">
        <v>262732</v>
      </c>
      <c r="AC12" s="72">
        <v>270643</v>
      </c>
      <c r="AD12" s="72">
        <v>161058</v>
      </c>
      <c r="AE12" s="72">
        <v>199620</v>
      </c>
      <c r="AF12" s="72">
        <v>235607</v>
      </c>
      <c r="AG12" s="72">
        <v>226239</v>
      </c>
      <c r="AH12" s="72">
        <v>183336</v>
      </c>
      <c r="AI12" s="72">
        <v>195636</v>
      </c>
      <c r="AJ12" s="72">
        <v>227955</v>
      </c>
      <c r="AK12" s="72">
        <v>211363</v>
      </c>
      <c r="AL12" s="72">
        <v>161187</v>
      </c>
      <c r="AM12" s="72">
        <v>186565</v>
      </c>
      <c r="AN12" s="72">
        <v>181568</v>
      </c>
      <c r="AO12" s="72">
        <v>212344</v>
      </c>
      <c r="AP12" s="72">
        <v>172232</v>
      </c>
      <c r="AQ12" s="72">
        <v>223503</v>
      </c>
      <c r="AR12" s="72">
        <v>235971</v>
      </c>
      <c r="AS12" s="72">
        <v>268698</v>
      </c>
      <c r="AT12" s="72">
        <v>153092</v>
      </c>
      <c r="AU12" s="72">
        <v>180587</v>
      </c>
      <c r="AV12" s="72">
        <v>244131</v>
      </c>
      <c r="AW12" s="72">
        <v>198210</v>
      </c>
      <c r="AX12" s="75">
        <v>165263</v>
      </c>
      <c r="AY12" s="72">
        <v>206561</v>
      </c>
      <c r="AZ12" s="72">
        <v>247158</v>
      </c>
      <c r="BA12" s="72">
        <v>182768</v>
      </c>
    </row>
    <row r="13" spans="1:53" ht="24.95" customHeight="1">
      <c r="A13" s="73" t="s">
        <v>61</v>
      </c>
      <c r="B13" s="70">
        <v>3824</v>
      </c>
      <c r="C13" s="71">
        <v>0</v>
      </c>
      <c r="D13" s="71">
        <v>0</v>
      </c>
      <c r="E13" s="71">
        <v>0</v>
      </c>
      <c r="F13" s="70">
        <v>231</v>
      </c>
      <c r="G13" s="71">
        <v>0</v>
      </c>
      <c r="H13" s="70">
        <v>3975</v>
      </c>
      <c r="I13" s="70">
        <v>349.54</v>
      </c>
      <c r="J13" s="71">
        <v>0</v>
      </c>
      <c r="K13" s="74">
        <v>697.67</v>
      </c>
      <c r="L13" s="74">
        <v>1005.21</v>
      </c>
      <c r="M13" s="70">
        <v>283</v>
      </c>
      <c r="N13" s="74">
        <v>1486</v>
      </c>
      <c r="O13" s="74">
        <v>726</v>
      </c>
      <c r="P13" s="74">
        <v>1609</v>
      </c>
      <c r="Q13" s="74">
        <v>325</v>
      </c>
      <c r="R13" s="74">
        <v>0</v>
      </c>
      <c r="S13" s="74">
        <v>0</v>
      </c>
      <c r="T13" s="74">
        <v>1802</v>
      </c>
      <c r="U13" s="74">
        <v>8927</v>
      </c>
      <c r="V13" s="74">
        <v>3989</v>
      </c>
      <c r="W13" s="74">
        <v>3079.73</v>
      </c>
      <c r="X13" s="74">
        <v>386</v>
      </c>
      <c r="Y13" s="74">
        <v>1619</v>
      </c>
      <c r="Z13" s="72">
        <v>2306</v>
      </c>
      <c r="AA13" s="72">
        <v>1500</v>
      </c>
      <c r="AB13" s="72">
        <v>2740</v>
      </c>
      <c r="AC13" s="75">
        <v>0</v>
      </c>
      <c r="AD13" s="72">
        <v>1220</v>
      </c>
      <c r="AE13" s="72">
        <v>0</v>
      </c>
      <c r="AF13" s="72">
        <v>1809</v>
      </c>
      <c r="AG13" s="75">
        <v>0</v>
      </c>
      <c r="AH13" s="72">
        <v>0</v>
      </c>
      <c r="AI13" s="72">
        <v>1056</v>
      </c>
      <c r="AJ13" s="72">
        <v>752</v>
      </c>
      <c r="AK13" s="75">
        <v>190</v>
      </c>
      <c r="AL13" s="72">
        <v>0</v>
      </c>
      <c r="AM13" s="72">
        <v>1827</v>
      </c>
      <c r="AN13" s="72">
        <v>4531</v>
      </c>
      <c r="AO13" s="75">
        <v>2901</v>
      </c>
      <c r="AP13" s="72">
        <v>0</v>
      </c>
      <c r="AQ13" s="72">
        <v>8287</v>
      </c>
      <c r="AR13" s="72">
        <v>324</v>
      </c>
      <c r="AS13" s="75">
        <v>375</v>
      </c>
      <c r="AT13" s="72">
        <v>1458</v>
      </c>
      <c r="AU13" s="72">
        <v>1054</v>
      </c>
      <c r="AV13" s="72">
        <v>0</v>
      </c>
      <c r="AW13" s="72">
        <v>0</v>
      </c>
      <c r="AX13" s="75" t="s">
        <v>74</v>
      </c>
      <c r="AY13" s="72" t="s">
        <v>74</v>
      </c>
      <c r="AZ13" s="72" t="s">
        <v>74</v>
      </c>
      <c r="BA13" s="72"/>
    </row>
    <row r="14" spans="1:53" s="12" customFormat="1" ht="23.25" customHeight="1">
      <c r="A14" s="234" t="s">
        <v>29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F14" s="76"/>
    </row>
    <row r="15" spans="1:53" s="2" customFormat="1" ht="24.95" customHeight="1">
      <c r="A15" s="14" t="s">
        <v>19</v>
      </c>
      <c r="B15" s="65">
        <f>SUM(B17:B22)</f>
        <v>100</v>
      </c>
      <c r="C15" s="65">
        <f>SUM(C17:C22)</f>
        <v>99.999933200268259</v>
      </c>
      <c r="D15" s="65">
        <v>0</v>
      </c>
      <c r="E15" s="65">
        <f>ROUNDDOWN(SUM(E17:E22),1)</f>
        <v>100</v>
      </c>
      <c r="F15" s="65">
        <f>SUM(F17:F22)</f>
        <v>100.00000000000001</v>
      </c>
      <c r="G15" s="65">
        <f>ROUNDUP(SUM(G17:G22),1)</f>
        <v>100</v>
      </c>
      <c r="H15" s="65">
        <f>ROUNDUP(SUM(H17:H22),1)</f>
        <v>100</v>
      </c>
      <c r="I15" s="65">
        <f t="shared" ref="I15:AK15" si="0">SUM(I17:I22)</f>
        <v>99.99999561527963</v>
      </c>
      <c r="J15" s="65">
        <f t="shared" si="0"/>
        <v>100</v>
      </c>
      <c r="K15" s="65">
        <f t="shared" si="0"/>
        <v>100</v>
      </c>
      <c r="L15" s="65">
        <f t="shared" si="0"/>
        <v>100</v>
      </c>
      <c r="M15" s="65">
        <f t="shared" si="0"/>
        <v>100</v>
      </c>
      <c r="N15" s="65">
        <f t="shared" si="0"/>
        <v>100</v>
      </c>
      <c r="O15" s="65">
        <f t="shared" si="0"/>
        <v>99.999999999999986</v>
      </c>
      <c r="P15" s="65">
        <f t="shared" si="0"/>
        <v>99.999999999999986</v>
      </c>
      <c r="Q15" s="65">
        <f t="shared" si="0"/>
        <v>100</v>
      </c>
      <c r="R15" s="65">
        <f t="shared" si="0"/>
        <v>100</v>
      </c>
      <c r="S15" s="65">
        <f t="shared" si="0"/>
        <v>100</v>
      </c>
      <c r="T15" s="65">
        <f t="shared" si="0"/>
        <v>100</v>
      </c>
      <c r="U15" s="65">
        <f t="shared" si="0"/>
        <v>100</v>
      </c>
      <c r="V15" s="65">
        <f t="shared" si="0"/>
        <v>99.999999999999986</v>
      </c>
      <c r="W15" s="65">
        <f t="shared" si="0"/>
        <v>100.00002265498937</v>
      </c>
      <c r="X15" s="65">
        <f t="shared" si="0"/>
        <v>100.00010173822315</v>
      </c>
      <c r="Y15" s="65">
        <f t="shared" si="0"/>
        <v>99.999999999999986</v>
      </c>
      <c r="Z15" s="65">
        <f t="shared" si="0"/>
        <v>100</v>
      </c>
      <c r="AA15" s="65">
        <f t="shared" si="0"/>
        <v>100</v>
      </c>
      <c r="AB15" s="65">
        <f t="shared" si="0"/>
        <v>100</v>
      </c>
      <c r="AC15" s="65">
        <f t="shared" si="0"/>
        <v>100</v>
      </c>
      <c r="AD15" s="65">
        <f t="shared" si="0"/>
        <v>100</v>
      </c>
      <c r="AE15" s="65">
        <f t="shared" si="0"/>
        <v>100</v>
      </c>
      <c r="AF15" s="65">
        <f t="shared" si="0"/>
        <v>100</v>
      </c>
      <c r="AG15" s="65">
        <f t="shared" si="0"/>
        <v>100</v>
      </c>
      <c r="AH15" s="65">
        <f t="shared" si="0"/>
        <v>100</v>
      </c>
      <c r="AI15" s="65">
        <f t="shared" si="0"/>
        <v>99.98</v>
      </c>
      <c r="AJ15" s="65">
        <f t="shared" si="0"/>
        <v>100</v>
      </c>
      <c r="AK15" s="65">
        <f t="shared" si="0"/>
        <v>100</v>
      </c>
      <c r="AL15" s="65">
        <f t="shared" ref="AL15:AV15" si="1">SUM(AL17:AL22)</f>
        <v>100</v>
      </c>
      <c r="AM15" s="65">
        <f t="shared" si="1"/>
        <v>100</v>
      </c>
      <c r="AN15" s="65">
        <f t="shared" si="1"/>
        <v>100.00000000000001</v>
      </c>
      <c r="AO15" s="65">
        <f t="shared" si="1"/>
        <v>100</v>
      </c>
      <c r="AP15" s="65">
        <f t="shared" si="1"/>
        <v>100</v>
      </c>
      <c r="AQ15" s="65">
        <f t="shared" si="1"/>
        <v>100</v>
      </c>
      <c r="AR15" s="65">
        <f t="shared" si="1"/>
        <v>100</v>
      </c>
      <c r="AS15" s="65">
        <f t="shared" si="1"/>
        <v>100</v>
      </c>
      <c r="AT15" s="65">
        <f t="shared" si="1"/>
        <v>100</v>
      </c>
      <c r="AU15" s="65">
        <f t="shared" si="1"/>
        <v>100</v>
      </c>
      <c r="AV15" s="65">
        <f t="shared" si="1"/>
        <v>100</v>
      </c>
      <c r="AW15" s="65">
        <f>SUM(AW17:AW22)</f>
        <v>100</v>
      </c>
      <c r="AX15" s="65">
        <f>SUM(AX17:AX22)</f>
        <v>100</v>
      </c>
      <c r="AY15" s="65">
        <f t="shared" ref="AY15" si="2">SUM(AY17:AY22)</f>
        <v>100</v>
      </c>
      <c r="AZ15" s="65">
        <f t="shared" ref="AZ15" si="3">SUM(AZ17:AZ22)</f>
        <v>100</v>
      </c>
      <c r="BA15" s="65">
        <f>SUM(BA17:BA22)</f>
        <v>100</v>
      </c>
    </row>
    <row r="16" spans="1:53" s="2" customFormat="1" ht="4.5" customHeight="1">
      <c r="A16" s="14"/>
      <c r="B16" s="65"/>
      <c r="C16" s="65"/>
      <c r="D16" s="6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</row>
    <row r="17" spans="1:53" ht="24.95" customHeight="1">
      <c r="A17" s="69" t="s">
        <v>56</v>
      </c>
      <c r="B17" s="71">
        <f t="shared" ref="B17:B22" si="4">B8*100/$B$6</f>
        <v>2.0675720735987055</v>
      </c>
      <c r="C17" s="71">
        <f t="shared" ref="C17:C22" si="5">C8*100/$C$6</f>
        <v>1.907666738810377</v>
      </c>
      <c r="D17" s="71">
        <v>0</v>
      </c>
      <c r="E17" s="71">
        <f>E8*100/$E$6</f>
        <v>1.8234876790764598</v>
      </c>
      <c r="F17" s="71">
        <f t="shared" ref="F17:AJ17" si="6">SUM(F8*100/F6)</f>
        <v>2.5672201500158907</v>
      </c>
      <c r="G17" s="71">
        <f t="shared" si="6"/>
        <v>1.9683998820304871</v>
      </c>
      <c r="H17" s="71">
        <f t="shared" si="6"/>
        <v>1.4806527698093963</v>
      </c>
      <c r="I17" s="71">
        <f t="shared" si="6"/>
        <v>1.9273276444718386</v>
      </c>
      <c r="J17" s="71">
        <f t="shared" si="6"/>
        <v>2.7974737343234373</v>
      </c>
      <c r="K17" s="71">
        <f t="shared" si="6"/>
        <v>1.7157577704376814</v>
      </c>
      <c r="L17" s="71">
        <f t="shared" si="6"/>
        <v>1.473042833049222</v>
      </c>
      <c r="M17" s="71">
        <f t="shared" si="6"/>
        <v>1.9920375426029835</v>
      </c>
      <c r="N17" s="71">
        <f t="shared" si="6"/>
        <v>2.1774919331826066</v>
      </c>
      <c r="O17" s="71">
        <f t="shared" si="6"/>
        <v>2.0100094341946613</v>
      </c>
      <c r="P17" s="71">
        <f t="shared" si="6"/>
        <v>1.9957038883811187</v>
      </c>
      <c r="Q17" s="71">
        <f t="shared" si="6"/>
        <v>2.1128436566210369</v>
      </c>
      <c r="R17" s="71">
        <f t="shared" si="6"/>
        <v>2.0600100184659893</v>
      </c>
      <c r="S17" s="71">
        <f t="shared" si="6"/>
        <v>2.1457181890461956</v>
      </c>
      <c r="T17" s="71">
        <f t="shared" si="6"/>
        <v>2.3552545055495617</v>
      </c>
      <c r="U17" s="71">
        <f t="shared" si="6"/>
        <v>2.2778747366577994</v>
      </c>
      <c r="V17" s="71">
        <f t="shared" si="6"/>
        <v>2.5697649158652434</v>
      </c>
      <c r="W17" s="71">
        <f t="shared" si="6"/>
        <v>1.3416387011529196</v>
      </c>
      <c r="X17" s="71">
        <f t="shared" si="6"/>
        <v>1.5415375573238164</v>
      </c>
      <c r="Y17" s="71">
        <f t="shared" si="6"/>
        <v>1.2450736372944995</v>
      </c>
      <c r="Z17" s="71">
        <f t="shared" si="6"/>
        <v>2.75501890706908</v>
      </c>
      <c r="AA17" s="71">
        <f t="shared" si="6"/>
        <v>3.0112769687857628</v>
      </c>
      <c r="AB17" s="71">
        <f t="shared" si="6"/>
        <v>1.8300763457304472</v>
      </c>
      <c r="AC17" s="71">
        <f t="shared" si="6"/>
        <v>1.3915584968552694</v>
      </c>
      <c r="AD17" s="71">
        <f t="shared" si="6"/>
        <v>2.1362696561317005</v>
      </c>
      <c r="AE17" s="71">
        <f t="shared" si="6"/>
        <v>2.6057346252719005</v>
      </c>
      <c r="AF17" s="71">
        <f t="shared" si="6"/>
        <v>2.4660842712846951</v>
      </c>
      <c r="AG17" s="71">
        <f t="shared" si="6"/>
        <v>1.2913761083176527</v>
      </c>
      <c r="AH17" s="71">
        <f t="shared" si="6"/>
        <v>1.9233102386202054</v>
      </c>
      <c r="AI17" s="71">
        <f t="shared" si="6"/>
        <v>2.5103209535115991</v>
      </c>
      <c r="AJ17" s="71">
        <f t="shared" si="6"/>
        <v>1.9288958163917678</v>
      </c>
      <c r="AK17" s="71">
        <f>SUM(AK8*100/AK6)</f>
        <v>1.9843541308910513</v>
      </c>
      <c r="AL17" s="71">
        <f t="shared" ref="AL17:AW17" si="7">SUM(AL8*100/AL6)</f>
        <v>1.7619374556116576</v>
      </c>
      <c r="AM17" s="71">
        <f t="shared" si="7"/>
        <v>0.96986153984091816</v>
      </c>
      <c r="AN17" s="71">
        <f t="shared" si="7"/>
        <v>1.4274132043451075</v>
      </c>
      <c r="AO17" s="71">
        <f t="shared" si="7"/>
        <v>1.1182789599213159</v>
      </c>
      <c r="AP17" s="71">
        <f t="shared" si="7"/>
        <v>1.7794652699740168</v>
      </c>
      <c r="AQ17" s="71">
        <f t="shared" si="7"/>
        <v>1.4761438252463344</v>
      </c>
      <c r="AR17" s="71">
        <f t="shared" si="7"/>
        <v>1.7909621215117888</v>
      </c>
      <c r="AS17" s="71">
        <f t="shared" si="7"/>
        <v>1.1607241577106679</v>
      </c>
      <c r="AT17" s="71">
        <f t="shared" si="7"/>
        <v>1.6816419163705314</v>
      </c>
      <c r="AU17" s="71">
        <f t="shared" si="7"/>
        <v>1.3090209562625983</v>
      </c>
      <c r="AV17" s="71">
        <f t="shared" si="7"/>
        <v>1.1226667026648445</v>
      </c>
      <c r="AW17" s="71">
        <f t="shared" si="7"/>
        <v>1.5141280171348546</v>
      </c>
      <c r="AX17" s="71">
        <f t="shared" ref="AX17:BA17" si="8">SUM(AX8*100/AX6)</f>
        <v>2.834121653850513</v>
      </c>
      <c r="AY17" s="71">
        <f t="shared" si="8"/>
        <v>2.3635551363828151</v>
      </c>
      <c r="AZ17" s="71">
        <f t="shared" si="8"/>
        <v>1.3059943914061412</v>
      </c>
      <c r="BA17" s="71">
        <f t="shared" si="8"/>
        <v>1.4665593093460036</v>
      </c>
    </row>
    <row r="18" spans="1:53" ht="24.95" customHeight="1">
      <c r="A18" s="69" t="s">
        <v>57</v>
      </c>
      <c r="B18" s="71">
        <f t="shared" si="4"/>
        <v>10.662970514600575</v>
      </c>
      <c r="C18" s="71">
        <f t="shared" si="5"/>
        <v>8.6939182852241661</v>
      </c>
      <c r="D18" s="71">
        <v>0</v>
      </c>
      <c r="E18" s="71">
        <f>E9*100/$E$6</f>
        <v>8.4176950987095367</v>
      </c>
      <c r="F18" s="71">
        <f>SUM(F9*100/F6)</f>
        <v>9.9414435342431045</v>
      </c>
      <c r="G18" s="71">
        <f>ROUNDDOWN(SUM(G9*100/G6),1)</f>
        <v>9.8000000000000007</v>
      </c>
      <c r="H18" s="71">
        <f t="shared" ref="H18:AJ18" si="9">SUM(H9*100/H6)</f>
        <v>10.059412252183337</v>
      </c>
      <c r="I18" s="71">
        <f t="shared" si="9"/>
        <v>8.4434912897529717</v>
      </c>
      <c r="J18" s="71">
        <f t="shared" si="9"/>
        <v>11.788554259440527</v>
      </c>
      <c r="K18" s="71">
        <f t="shared" si="9"/>
        <v>10.157723828797623</v>
      </c>
      <c r="L18" s="71">
        <f t="shared" si="9"/>
        <v>9.7226122745932457</v>
      </c>
      <c r="M18" s="71">
        <f t="shared" si="9"/>
        <v>10.481509624499717</v>
      </c>
      <c r="N18" s="71">
        <f t="shared" si="9"/>
        <v>8.7868610817883166</v>
      </c>
      <c r="O18" s="71">
        <f t="shared" si="9"/>
        <v>9.3110907380443049</v>
      </c>
      <c r="P18" s="71">
        <f t="shared" si="9"/>
        <v>9.9815827345325605</v>
      </c>
      <c r="Q18" s="71">
        <f t="shared" si="9"/>
        <v>8.444322999762008</v>
      </c>
      <c r="R18" s="71">
        <f t="shared" si="9"/>
        <v>9.6039445486799639</v>
      </c>
      <c r="S18" s="71">
        <f t="shared" si="9"/>
        <v>8.7569891672827183</v>
      </c>
      <c r="T18" s="71">
        <f t="shared" si="9"/>
        <v>8.5790474509591821</v>
      </c>
      <c r="U18" s="71">
        <f t="shared" si="9"/>
        <v>9.5739363234322319</v>
      </c>
      <c r="V18" s="71">
        <f t="shared" si="9"/>
        <v>9.226861474148965</v>
      </c>
      <c r="W18" s="71">
        <f t="shared" si="9"/>
        <v>7.214957116297561</v>
      </c>
      <c r="X18" s="71">
        <f t="shared" si="9"/>
        <v>7.8480587212530049</v>
      </c>
      <c r="Y18" s="71">
        <f t="shared" si="9"/>
        <v>9.0023364469168907</v>
      </c>
      <c r="Z18" s="71">
        <f t="shared" si="9"/>
        <v>9.1259317814513103</v>
      </c>
      <c r="AA18" s="71">
        <f t="shared" si="9"/>
        <v>7.7174559608061717</v>
      </c>
      <c r="AB18" s="71">
        <f t="shared" si="9"/>
        <v>7.7087125981711244</v>
      </c>
      <c r="AC18" s="71">
        <f t="shared" si="9"/>
        <v>9.0937154049220812</v>
      </c>
      <c r="AD18" s="71">
        <f t="shared" si="9"/>
        <v>9.8203315657647217</v>
      </c>
      <c r="AE18" s="71">
        <f t="shared" si="9"/>
        <v>10.188807593434843</v>
      </c>
      <c r="AF18" s="71">
        <f t="shared" si="9"/>
        <v>8.5556736538931926</v>
      </c>
      <c r="AG18" s="71">
        <f t="shared" si="9"/>
        <v>9.0478970755794776</v>
      </c>
      <c r="AH18" s="71">
        <f t="shared" si="9"/>
        <v>8.0162865448357188</v>
      </c>
      <c r="AI18" s="71">
        <f t="shared" si="9"/>
        <v>8.5581482241413305</v>
      </c>
      <c r="AJ18" s="71">
        <f t="shared" si="9"/>
        <v>8.3355195486112983</v>
      </c>
      <c r="AK18" s="71">
        <f>SUM(AK9*100/AK6)</f>
        <v>7.9420876412518275</v>
      </c>
      <c r="AL18" s="71">
        <f t="shared" ref="AL18:AW18" si="10">SUM(AL9*100/AL6)</f>
        <v>8.7265897676901005</v>
      </c>
      <c r="AM18" s="71">
        <f t="shared" si="10"/>
        <v>9.702799516691643</v>
      </c>
      <c r="AN18" s="71">
        <f t="shared" si="10"/>
        <v>10.506345203822924</v>
      </c>
      <c r="AO18" s="71">
        <f t="shared" si="10"/>
        <v>8.3260686217013689</v>
      </c>
      <c r="AP18" s="71">
        <f t="shared" si="10"/>
        <v>8.8134464317197878</v>
      </c>
      <c r="AQ18" s="71">
        <f t="shared" si="10"/>
        <v>7.7979289294070977</v>
      </c>
      <c r="AR18" s="71">
        <f t="shared" si="10"/>
        <v>8.7011859859598992</v>
      </c>
      <c r="AS18" s="71">
        <f t="shared" si="10"/>
        <v>8.0460401289099863</v>
      </c>
      <c r="AT18" s="71">
        <f t="shared" si="10"/>
        <v>10.294216754672442</v>
      </c>
      <c r="AU18" s="71">
        <f t="shared" si="10"/>
        <v>10.52532932121747</v>
      </c>
      <c r="AV18" s="71">
        <f t="shared" si="10"/>
        <v>9.9542373163993663</v>
      </c>
      <c r="AW18" s="71">
        <f t="shared" si="10"/>
        <v>7.1574438196157661</v>
      </c>
      <c r="AX18" s="71">
        <f t="shared" ref="AX18:BA18" si="11">SUM(AX9*100/AX6)</f>
        <v>10.667807088280211</v>
      </c>
      <c r="AY18" s="71">
        <f t="shared" si="11"/>
        <v>11.199109809469443</v>
      </c>
      <c r="AZ18" s="71">
        <f t="shared" si="11"/>
        <v>10.343296029332899</v>
      </c>
      <c r="BA18" s="71">
        <f t="shared" si="11"/>
        <v>11.072467048934188</v>
      </c>
    </row>
    <row r="19" spans="1:53" ht="24.95" customHeight="1">
      <c r="A19" s="69" t="s">
        <v>58</v>
      </c>
      <c r="B19" s="71">
        <f t="shared" si="4"/>
        <v>42.018880713684418</v>
      </c>
      <c r="C19" s="71">
        <f t="shared" si="5"/>
        <v>41.382300208682359</v>
      </c>
      <c r="D19" s="71">
        <v>0</v>
      </c>
      <c r="E19" s="71">
        <f>ROUNDUP(E10*100/$E$6,1)</f>
        <v>35.700000000000003</v>
      </c>
      <c r="F19" s="71">
        <f t="shared" ref="F19:AH19" si="12">SUM(F10*100/F6)</f>
        <v>43.80358761347609</v>
      </c>
      <c r="G19" s="71">
        <f t="shared" si="12"/>
        <v>39.587492834949863</v>
      </c>
      <c r="H19" s="71">
        <f t="shared" si="12"/>
        <v>34.579843182252823</v>
      </c>
      <c r="I19" s="71">
        <f t="shared" si="12"/>
        <v>35.699076014138846</v>
      </c>
      <c r="J19" s="71">
        <f t="shared" si="12"/>
        <v>40.215835434387294</v>
      </c>
      <c r="K19" s="71">
        <f t="shared" si="12"/>
        <v>35.795719663991733</v>
      </c>
      <c r="L19" s="71">
        <f t="shared" si="12"/>
        <v>36.648166816163382</v>
      </c>
      <c r="M19" s="71">
        <f t="shared" si="12"/>
        <v>34.597273409055468</v>
      </c>
      <c r="N19" s="71">
        <f t="shared" si="12"/>
        <v>46.091044119887108</v>
      </c>
      <c r="O19" s="71">
        <f t="shared" si="12"/>
        <v>41.440282613052212</v>
      </c>
      <c r="P19" s="71">
        <f t="shared" si="12"/>
        <v>34.025116498894086</v>
      </c>
      <c r="Q19" s="71">
        <f t="shared" si="12"/>
        <v>34.923055419489941</v>
      </c>
      <c r="R19" s="71">
        <f t="shared" si="12"/>
        <v>39.887796144965428</v>
      </c>
      <c r="S19" s="71">
        <f t="shared" si="12"/>
        <v>35.780743569393586</v>
      </c>
      <c r="T19" s="71">
        <f t="shared" si="12"/>
        <v>34.468272561907717</v>
      </c>
      <c r="U19" s="71">
        <f t="shared" si="12"/>
        <v>30.692074599974021</v>
      </c>
      <c r="V19" s="71">
        <f t="shared" si="12"/>
        <v>37.79825859254823</v>
      </c>
      <c r="W19" s="71">
        <f t="shared" si="12"/>
        <v>41.670950895675965</v>
      </c>
      <c r="X19" s="71">
        <f t="shared" si="12"/>
        <v>35.259979586481698</v>
      </c>
      <c r="Y19" s="71">
        <f t="shared" si="12"/>
        <v>35.118660849655001</v>
      </c>
      <c r="Z19" s="71">
        <f t="shared" si="12"/>
        <v>42.829803571135649</v>
      </c>
      <c r="AA19" s="71">
        <f t="shared" si="12"/>
        <v>42.617277821232804</v>
      </c>
      <c r="AB19" s="71">
        <f t="shared" si="12"/>
        <v>38.95148061490805</v>
      </c>
      <c r="AC19" s="71">
        <f t="shared" si="12"/>
        <v>36.692299972019804</v>
      </c>
      <c r="AD19" s="71">
        <f t="shared" si="12"/>
        <v>43.951709136259211</v>
      </c>
      <c r="AE19" s="71">
        <f t="shared" si="12"/>
        <v>39.898279612418428</v>
      </c>
      <c r="AF19" s="71">
        <f t="shared" si="12"/>
        <v>39.529039826236293</v>
      </c>
      <c r="AG19" s="71">
        <f t="shared" si="12"/>
        <v>38.490981563685366</v>
      </c>
      <c r="AH19" s="71">
        <f t="shared" si="12"/>
        <v>40.663626554768115</v>
      </c>
      <c r="AI19" s="71">
        <f>SUM(AI10*100/AI6)+0.02</f>
        <v>39.964864432449353</v>
      </c>
      <c r="AJ19" s="71">
        <f>SUM(AJ10*100/AJ6)</f>
        <v>36.62501702170546</v>
      </c>
      <c r="AK19" s="71">
        <f>SUM(AK10*100/AK6)</f>
        <v>39.154812715890749</v>
      </c>
      <c r="AL19" s="71">
        <f t="shared" ref="AL19:AW19" si="13">SUM(AL10*100/AL6)</f>
        <v>43.54596668836998</v>
      </c>
      <c r="AM19" s="71">
        <f t="shared" si="13"/>
        <v>40.875505403062945</v>
      </c>
      <c r="AN19" s="71">
        <f t="shared" si="13"/>
        <v>36.354634025683133</v>
      </c>
      <c r="AO19" s="71">
        <f t="shared" si="13"/>
        <v>38.487149176995068</v>
      </c>
      <c r="AP19" s="71">
        <f t="shared" si="13"/>
        <v>43.374644044614854</v>
      </c>
      <c r="AQ19" s="71">
        <f t="shared" si="13"/>
        <v>35.766045129583603</v>
      </c>
      <c r="AR19" s="71">
        <f t="shared" si="13"/>
        <v>34.84670446992066</v>
      </c>
      <c r="AS19" s="71">
        <f t="shared" si="13"/>
        <v>33.868776282699628</v>
      </c>
      <c r="AT19" s="71">
        <f t="shared" si="13"/>
        <v>43.563951571627108</v>
      </c>
      <c r="AU19" s="71">
        <f t="shared" si="13"/>
        <v>40.45978029917071</v>
      </c>
      <c r="AV19" s="71">
        <f t="shared" si="13"/>
        <v>34.495518623895535</v>
      </c>
      <c r="AW19" s="71">
        <f t="shared" si="13"/>
        <v>37.682198741767507</v>
      </c>
      <c r="AX19" s="71">
        <f t="shared" ref="AX19:BA19" si="14">SUM(AX10*100/AX6)</f>
        <v>41.51243388422003</v>
      </c>
      <c r="AY19" s="71">
        <f t="shared" si="14"/>
        <v>37.475697633052874</v>
      </c>
      <c r="AZ19" s="71">
        <f t="shared" si="14"/>
        <v>32.157276878843504</v>
      </c>
      <c r="BA19" s="71">
        <f t="shared" si="14"/>
        <v>35.8505709574438</v>
      </c>
    </row>
    <row r="20" spans="1:53" ht="24.95" customHeight="1">
      <c r="A20" s="69" t="s">
        <v>59</v>
      </c>
      <c r="B20" s="71">
        <f t="shared" si="4"/>
        <v>30.045220238550765</v>
      </c>
      <c r="C20" s="71">
        <f t="shared" si="5"/>
        <v>29.141783766596394</v>
      </c>
      <c r="D20" s="71">
        <v>0</v>
      </c>
      <c r="E20" s="71">
        <f>E11*100/$E$6</f>
        <v>31.401358321439393</v>
      </c>
      <c r="F20" s="71">
        <f t="shared" ref="F20:AJ20" si="15">SUM(F11*100/F6)</f>
        <v>27.402237982838116</v>
      </c>
      <c r="G20" s="71">
        <f t="shared" si="15"/>
        <v>29.596633474981076</v>
      </c>
      <c r="H20" s="71">
        <f t="shared" si="15"/>
        <v>31.819213361382037</v>
      </c>
      <c r="I20" s="71">
        <f t="shared" si="15"/>
        <v>31.157119564434407</v>
      </c>
      <c r="J20" s="71">
        <f t="shared" si="15"/>
        <v>27.49332651794893</v>
      </c>
      <c r="K20" s="71">
        <f t="shared" si="15"/>
        <v>31.80713709506615</v>
      </c>
      <c r="L20" s="71">
        <f t="shared" si="15"/>
        <v>30.40880664833168</v>
      </c>
      <c r="M20" s="71">
        <f t="shared" si="15"/>
        <v>29.592088035027881</v>
      </c>
      <c r="N20" s="71">
        <f t="shared" si="15"/>
        <v>27.791225244964515</v>
      </c>
      <c r="O20" s="71">
        <f t="shared" si="15"/>
        <v>29.757127743789376</v>
      </c>
      <c r="P20" s="71">
        <f t="shared" si="15"/>
        <v>32.080363294002325</v>
      </c>
      <c r="Q20" s="71">
        <f t="shared" si="15"/>
        <v>32.185639110336552</v>
      </c>
      <c r="R20" s="71">
        <f t="shared" si="15"/>
        <v>31.953200722040922</v>
      </c>
      <c r="S20" s="71">
        <f t="shared" si="15"/>
        <v>33.09700352311998</v>
      </c>
      <c r="T20" s="71">
        <f t="shared" si="15"/>
        <v>35.322412600451479</v>
      </c>
      <c r="U20" s="71">
        <f t="shared" si="15"/>
        <v>34.473117915176985</v>
      </c>
      <c r="V20" s="71">
        <f t="shared" si="15"/>
        <v>33.220312114700391</v>
      </c>
      <c r="W20" s="71">
        <f t="shared" si="15"/>
        <v>33.770838205374055</v>
      </c>
      <c r="X20" s="71">
        <f t="shared" si="15"/>
        <v>35.179032557329307</v>
      </c>
      <c r="Y20" s="71">
        <f t="shared" si="15"/>
        <v>33.694198171282352</v>
      </c>
      <c r="Z20" s="71">
        <f t="shared" si="15"/>
        <v>30.6942850737653</v>
      </c>
      <c r="AA20" s="71">
        <f t="shared" si="15"/>
        <v>31.356233870250065</v>
      </c>
      <c r="AB20" s="71">
        <f t="shared" si="15"/>
        <v>31.588702572822601</v>
      </c>
      <c r="AC20" s="71">
        <f t="shared" si="15"/>
        <v>32.244589481879785</v>
      </c>
      <c r="AD20" s="71">
        <f t="shared" si="15"/>
        <v>31.051645735215061</v>
      </c>
      <c r="AE20" s="71">
        <f t="shared" si="15"/>
        <v>31.517579592643859</v>
      </c>
      <c r="AF20" s="71">
        <f t="shared" si="15"/>
        <v>32.00995453907737</v>
      </c>
      <c r="AG20" s="71">
        <f t="shared" si="15"/>
        <v>33.857607342386842</v>
      </c>
      <c r="AH20" s="71">
        <f t="shared" si="15"/>
        <v>34.568062001459126</v>
      </c>
      <c r="AI20" s="71">
        <f t="shared" si="15"/>
        <v>33.283328636244967</v>
      </c>
      <c r="AJ20" s="71">
        <f t="shared" si="15"/>
        <v>35.515163358365179</v>
      </c>
      <c r="AK20" s="71">
        <f>SUM(AK11*100/AK6)</f>
        <v>34.169780085362696</v>
      </c>
      <c r="AL20" s="71">
        <f t="shared" ref="AL20:AW20" si="16">SUM(AL11*100/AL6)</f>
        <v>32.353475190241788</v>
      </c>
      <c r="AM20" s="71">
        <f t="shared" si="16"/>
        <v>32.365008816534953</v>
      </c>
      <c r="AN20" s="71">
        <f t="shared" si="16"/>
        <v>35.728444514679509</v>
      </c>
      <c r="AO20" s="71">
        <f t="shared" si="16"/>
        <v>34.11222165031446</v>
      </c>
      <c r="AP20" s="71">
        <f t="shared" si="16"/>
        <v>30.69613208504818</v>
      </c>
      <c r="AQ20" s="71">
        <f t="shared" si="16"/>
        <v>36.193132595477323</v>
      </c>
      <c r="AR20" s="71">
        <f t="shared" si="16"/>
        <v>36.33385997283812</v>
      </c>
      <c r="AS20" s="71">
        <f t="shared" si="16"/>
        <v>36.957733226378316</v>
      </c>
      <c r="AT20" s="71">
        <f t="shared" si="16"/>
        <v>30.385033614623953</v>
      </c>
      <c r="AU20" s="71">
        <f t="shared" si="16"/>
        <v>32.230967014205412</v>
      </c>
      <c r="AV20" s="71">
        <f t="shared" si="16"/>
        <v>35.041685095880879</v>
      </c>
      <c r="AW20" s="71">
        <f t="shared" si="16"/>
        <v>36.458478761365065</v>
      </c>
      <c r="AX20" s="71">
        <f t="shared" ref="AX20:BA20" si="17">SUM(AX11*100/AX6)</f>
        <v>31.510697160170803</v>
      </c>
      <c r="AY20" s="71">
        <f t="shared" si="17"/>
        <v>31.872543909723429</v>
      </c>
      <c r="AZ20" s="71">
        <f t="shared" si="17"/>
        <v>36.729674753531356</v>
      </c>
      <c r="BA20" s="71">
        <f t="shared" si="17"/>
        <v>35.938291835269965</v>
      </c>
    </row>
    <row r="21" spans="1:53" ht="24.95" customHeight="1">
      <c r="A21" s="69" t="s">
        <v>60</v>
      </c>
      <c r="B21" s="71">
        <f t="shared" si="4"/>
        <v>14.944065749051591</v>
      </c>
      <c r="C21" s="71">
        <f t="shared" si="5"/>
        <v>18.874264200954968</v>
      </c>
      <c r="D21" s="71">
        <v>0</v>
      </c>
      <c r="E21" s="71">
        <f>E12*100/$E$6</f>
        <v>22.726702613279748</v>
      </c>
      <c r="F21" s="71">
        <f>SUM(F12*100/F$6)</f>
        <v>16.269516225410197</v>
      </c>
      <c r="G21" s="71">
        <f>SUM(G12*100/G$6)</f>
        <v>18.985235835835969</v>
      </c>
      <c r="H21" s="71">
        <f>SUM(H12*100/H$6)</f>
        <v>21.807420156817749</v>
      </c>
      <c r="I21" s="71">
        <f t="shared" ref="I21:AJ21" si="18">SUM(I12*100/I6)</f>
        <v>22.751086314473397</v>
      </c>
      <c r="J21" s="71">
        <f t="shared" si="18"/>
        <v>17.704810053899827</v>
      </c>
      <c r="K21" s="71">
        <f t="shared" si="18"/>
        <v>20.478891265058682</v>
      </c>
      <c r="L21" s="71">
        <f t="shared" si="18"/>
        <v>21.684669948265121</v>
      </c>
      <c r="M21" s="71">
        <f t="shared" si="18"/>
        <v>23.319579922825795</v>
      </c>
      <c r="N21" s="71">
        <f t="shared" si="18"/>
        <v>15.054533747599578</v>
      </c>
      <c r="O21" s="71">
        <f t="shared" si="18"/>
        <v>17.433153371243215</v>
      </c>
      <c r="P21" s="71">
        <f t="shared" si="18"/>
        <v>21.816645056908474</v>
      </c>
      <c r="Q21" s="71">
        <f t="shared" si="18"/>
        <v>22.313676504105683</v>
      </c>
      <c r="R21" s="71">
        <f t="shared" si="18"/>
        <v>16.4950485658477</v>
      </c>
      <c r="S21" s="71">
        <f t="shared" si="18"/>
        <v>20.21954555115752</v>
      </c>
      <c r="T21" s="71">
        <f t="shared" si="18"/>
        <v>19.146770892342204</v>
      </c>
      <c r="U21" s="71">
        <f t="shared" si="18"/>
        <v>22.352740170911208</v>
      </c>
      <c r="V21" s="71">
        <f t="shared" si="18"/>
        <v>16.892048590317163</v>
      </c>
      <c r="W21" s="71">
        <f t="shared" si="18"/>
        <v>15.776569186875891</v>
      </c>
      <c r="X21" s="71">
        <f t="shared" si="18"/>
        <v>20.143240830842636</v>
      </c>
      <c r="Y21" s="71">
        <f t="shared" si="18"/>
        <v>20.823232355940096</v>
      </c>
      <c r="Z21" s="71">
        <f t="shared" si="18"/>
        <v>14.414833827914036</v>
      </c>
      <c r="AA21" s="71">
        <f t="shared" si="18"/>
        <v>15.180661005544028</v>
      </c>
      <c r="AB21" s="71">
        <f t="shared" si="18"/>
        <v>19.715418175596682</v>
      </c>
      <c r="AC21" s="71">
        <f t="shared" si="18"/>
        <v>20.57783664432306</v>
      </c>
      <c r="AD21" s="71">
        <f t="shared" si="18"/>
        <v>12.942009338997909</v>
      </c>
      <c r="AE21" s="71">
        <f t="shared" si="18"/>
        <v>15.789598576230967</v>
      </c>
      <c r="AF21" s="71">
        <f t="shared" si="18"/>
        <v>17.306368716068661</v>
      </c>
      <c r="AG21" s="71">
        <f t="shared" si="18"/>
        <v>17.31213791003066</v>
      </c>
      <c r="AH21" s="71">
        <f t="shared" si="18"/>
        <v>14.828714660316834</v>
      </c>
      <c r="AI21" s="71">
        <f t="shared" si="18"/>
        <v>15.619029674687377</v>
      </c>
      <c r="AJ21" s="71">
        <f t="shared" si="18"/>
        <v>17.537549689916457</v>
      </c>
      <c r="AK21" s="71">
        <f>SUM(AK12*100/AK6)</f>
        <v>16.733922844219808</v>
      </c>
      <c r="AL21" s="71">
        <f t="shared" ref="AL21:AW21" si="19">SUM(AL12*100/AL6)</f>
        <v>13.612030898086477</v>
      </c>
      <c r="AM21" s="71">
        <f t="shared" si="19"/>
        <v>15.930816885052025</v>
      </c>
      <c r="AN21" s="71">
        <f t="shared" si="19"/>
        <v>15.594016888479693</v>
      </c>
      <c r="AO21" s="71">
        <f t="shared" si="19"/>
        <v>17.714272843381714</v>
      </c>
      <c r="AP21" s="71">
        <f t="shared" si="19"/>
        <v>15.336312168643158</v>
      </c>
      <c r="AQ21" s="71">
        <f t="shared" si="19"/>
        <v>18.095797135477813</v>
      </c>
      <c r="AR21" s="71">
        <f t="shared" si="19"/>
        <v>18.302157670748706</v>
      </c>
      <c r="AS21" s="71">
        <f t="shared" si="19"/>
        <v>19.938899100405386</v>
      </c>
      <c r="AT21" s="71">
        <f t="shared" si="19"/>
        <v>13.942373369130646</v>
      </c>
      <c r="AU21" s="71">
        <f t="shared" si="19"/>
        <v>15.385106894148638</v>
      </c>
      <c r="AV21" s="71">
        <f t="shared" si="19"/>
        <v>19.38589226115937</v>
      </c>
      <c r="AW21" s="71">
        <f t="shared" si="19"/>
        <v>17.187750660116805</v>
      </c>
      <c r="AX21" s="71">
        <f t="shared" ref="AX21:BA21" si="20">SUM(AX12*100/AX6)</f>
        <v>13.474940213478446</v>
      </c>
      <c r="AY21" s="71">
        <f t="shared" si="20"/>
        <v>17.089093511371438</v>
      </c>
      <c r="AZ21" s="71">
        <f t="shared" si="20"/>
        <v>19.463757946886098</v>
      </c>
      <c r="BA21" s="71">
        <f t="shared" si="20"/>
        <v>15.672110849006044</v>
      </c>
    </row>
    <row r="22" spans="1:53" ht="24.95" customHeight="1">
      <c r="A22" s="73" t="s">
        <v>61</v>
      </c>
      <c r="B22" s="71">
        <f t="shared" si="4"/>
        <v>0.26129071051394459</v>
      </c>
      <c r="C22" s="71">
        <f t="shared" si="5"/>
        <v>0</v>
      </c>
      <c r="D22" s="71">
        <v>0</v>
      </c>
      <c r="E22" s="71">
        <f>E13*100/$E$6</f>
        <v>0</v>
      </c>
      <c r="F22" s="71">
        <f>SUM(F13*100/F$6)</f>
        <v>1.5994494016605194E-2</v>
      </c>
      <c r="G22" s="71">
        <f>SUM(G13*100/G$6)</f>
        <v>0</v>
      </c>
      <c r="H22" s="71">
        <f>ROUNDDOWN(SUM(H13*100/H$6),1)</f>
        <v>0.2</v>
      </c>
      <c r="I22" s="71">
        <f t="shared" ref="I22:AH22" si="21">SUM(I13*100/I$6)</f>
        <v>2.1894788008165602E-2</v>
      </c>
      <c r="J22" s="71">
        <f t="shared" si="21"/>
        <v>0</v>
      </c>
      <c r="K22" s="71">
        <f t="shared" si="21"/>
        <v>4.4770376648127816E-2</v>
      </c>
      <c r="L22" s="71">
        <f t="shared" si="21"/>
        <v>6.2701479597355461E-2</v>
      </c>
      <c r="M22" s="71">
        <f t="shared" si="21"/>
        <v>1.751146598815408E-2</v>
      </c>
      <c r="N22" s="71">
        <f t="shared" si="21"/>
        <v>9.8843872577876135E-2</v>
      </c>
      <c r="O22" s="71">
        <f t="shared" si="21"/>
        <v>4.8336099676228025E-2</v>
      </c>
      <c r="P22" s="71">
        <f t="shared" si="21"/>
        <v>0.10058852728143407</v>
      </c>
      <c r="Q22" s="71">
        <f t="shared" si="21"/>
        <v>2.0462309684779693E-2</v>
      </c>
      <c r="R22" s="71">
        <f t="shared" si="21"/>
        <v>0</v>
      </c>
      <c r="S22" s="71">
        <f t="shared" si="21"/>
        <v>0</v>
      </c>
      <c r="T22" s="71">
        <f t="shared" si="21"/>
        <v>0.12824198878985679</v>
      </c>
      <c r="U22" s="71">
        <f t="shared" si="21"/>
        <v>0.63025625384776141</v>
      </c>
      <c r="V22" s="71">
        <f t="shared" si="21"/>
        <v>0.29275431242000444</v>
      </c>
      <c r="W22" s="71">
        <f t="shared" si="21"/>
        <v>0.22506854961296507</v>
      </c>
      <c r="X22" s="71">
        <f t="shared" si="21"/>
        <v>2.8252484992697172E-2</v>
      </c>
      <c r="Y22" s="71">
        <f t="shared" si="21"/>
        <v>0.1164985389111596</v>
      </c>
      <c r="Z22" s="71">
        <f t="shared" si="21"/>
        <v>0.18012683866462428</v>
      </c>
      <c r="AA22" s="71">
        <f t="shared" si="21"/>
        <v>0.11709437338117029</v>
      </c>
      <c r="AB22" s="71">
        <f t="shared" si="21"/>
        <v>0.20560969277109337</v>
      </c>
      <c r="AC22" s="71">
        <f t="shared" si="21"/>
        <v>0</v>
      </c>
      <c r="AD22" s="71">
        <f t="shared" si="21"/>
        <v>9.8034567631396452E-2</v>
      </c>
      <c r="AE22" s="71">
        <f t="shared" si="21"/>
        <v>0</v>
      </c>
      <c r="AF22" s="71">
        <f t="shared" si="21"/>
        <v>0.13287899343978835</v>
      </c>
      <c r="AG22" s="71">
        <f t="shared" si="21"/>
        <v>0</v>
      </c>
      <c r="AH22" s="71">
        <f t="shared" si="21"/>
        <v>0</v>
      </c>
      <c r="AI22" s="71">
        <f>SUM(AI13*100/AI$6)-0.04</f>
        <v>4.4308078965373802E-2</v>
      </c>
      <c r="AJ22" s="71">
        <f t="shared" ref="AJ22:AO22" si="22">SUM(AJ13*100/AJ$6)</f>
        <v>5.7854565009836045E-2</v>
      </c>
      <c r="AK22" s="71">
        <f t="shared" si="22"/>
        <v>1.5042582383869284E-2</v>
      </c>
      <c r="AL22" s="71">
        <f t="shared" si="22"/>
        <v>0</v>
      </c>
      <c r="AM22" s="71">
        <f t="shared" si="22"/>
        <v>0.15600783881751695</v>
      </c>
      <c r="AN22" s="71">
        <f t="shared" si="22"/>
        <v>0.38914616298963195</v>
      </c>
      <c r="AO22" s="71">
        <f t="shared" si="22"/>
        <v>0.2420087476860677</v>
      </c>
      <c r="AP22" s="77">
        <f>SUM(AP13*100/AP6)</f>
        <v>0</v>
      </c>
      <c r="AQ22" s="71">
        <f>SUM(AQ13*100/AQ$6)</f>
        <v>0.67095238480783093</v>
      </c>
      <c r="AR22" s="71">
        <f>SUM(AR13*100/AR$6)</f>
        <v>2.5129779020822814E-2</v>
      </c>
      <c r="AS22" s="71">
        <f>SUM(AS13*100/AS$6)</f>
        <v>2.7827103896017162E-2</v>
      </c>
      <c r="AT22" s="71">
        <f>SUM(AT13*100/AT6)</f>
        <v>0.13278277357531734</v>
      </c>
      <c r="AU22" s="71">
        <f>SUM(AU13*100/AU$6)</f>
        <v>8.979551499516944E-2</v>
      </c>
      <c r="AV22" s="71">
        <f>SUM(AV13*100/AV$6)</f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</row>
    <row r="23" spans="1:53" ht="19.5" customHeight="1">
      <c r="A23" s="7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</row>
    <row r="24" spans="1:53" ht="30.75" customHeight="1"/>
    <row r="25" spans="1:53" ht="30.75" customHeight="1">
      <c r="P25" s="36"/>
    </row>
    <row r="26" spans="1:53" ht="30.75" customHeight="1">
      <c r="P26" s="36"/>
    </row>
    <row r="27" spans="1:53" ht="30.75" customHeight="1">
      <c r="P27" s="36"/>
    </row>
    <row r="28" spans="1:53" ht="30.75" customHeight="1">
      <c r="P28" s="36"/>
    </row>
    <row r="29" spans="1:53" ht="30.75" customHeight="1">
      <c r="P29" s="36"/>
    </row>
    <row r="30" spans="1:53" ht="30.75" customHeight="1">
      <c r="P30" s="36"/>
    </row>
    <row r="31" spans="1:53" ht="30.75" customHeight="1">
      <c r="P31" s="36"/>
    </row>
  </sheetData>
  <mergeCells count="16">
    <mergeCell ref="AX3:BA3"/>
    <mergeCell ref="AT3:AW3"/>
    <mergeCell ref="A5:L5"/>
    <mergeCell ref="A14:L14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tabSelected="1" zoomScale="70" zoomScaleNormal="70" workbookViewId="0">
      <selection activeCell="BA6" sqref="BA6"/>
    </sheetView>
  </sheetViews>
  <sheetFormatPr defaultColWidth="7.125" defaultRowHeight="30.75" customHeight="1"/>
  <cols>
    <col min="1" max="1" width="16.125" style="5" customWidth="1"/>
    <col min="2" max="3" width="11.125" style="5" hidden="1" customWidth="1"/>
    <col min="4" max="4" width="10.375" style="5" hidden="1" customWidth="1"/>
    <col min="5" max="6" width="11.125" style="5" hidden="1" customWidth="1"/>
    <col min="7" max="7" width="11.125" style="4" hidden="1" customWidth="1"/>
    <col min="8" max="8" width="10.375" style="4" hidden="1" customWidth="1"/>
    <col min="9" max="9" width="10.375" style="5" hidden="1" customWidth="1"/>
    <col min="10" max="10" width="11.5" style="5" hidden="1" customWidth="1"/>
    <col min="11" max="11" width="11.5" style="4" hidden="1" customWidth="1"/>
    <col min="12" max="15" width="11.5" style="5" hidden="1" customWidth="1"/>
    <col min="16" max="16" width="11.5" style="37" hidden="1" customWidth="1"/>
    <col min="17" max="17" width="11.5" style="5" hidden="1" customWidth="1"/>
    <col min="18" max="29" width="11.5" style="4" hidden="1" customWidth="1"/>
    <col min="30" max="37" width="11.5" style="5" hidden="1" customWidth="1"/>
    <col min="38" max="44" width="11.625" style="5" hidden="1" customWidth="1"/>
    <col min="45" max="53" width="11.625" style="5" customWidth="1"/>
    <col min="54" max="54" width="9.875" style="5" bestFit="1" customWidth="1"/>
    <col min="55" max="16384" width="7.125" style="5"/>
  </cols>
  <sheetData>
    <row r="1" spans="1:57" s="1" customFormat="1" ht="36.75" customHeight="1">
      <c r="A1" s="1" t="s">
        <v>0</v>
      </c>
      <c r="N1" s="2"/>
      <c r="P1" s="3"/>
      <c r="Q1" s="2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57" ht="16.149999999999999" customHeight="1">
      <c r="B2" s="6"/>
      <c r="F2" s="6"/>
      <c r="J2" s="6"/>
      <c r="P2" s="7"/>
    </row>
    <row r="3" spans="1:57" s="8" customFormat="1" ht="30.75" customHeight="1">
      <c r="A3" s="244" t="s">
        <v>1</v>
      </c>
      <c r="B3" s="237" t="s">
        <v>2</v>
      </c>
      <c r="C3" s="237"/>
      <c r="D3" s="237"/>
      <c r="E3" s="237"/>
      <c r="F3" s="237" t="s">
        <v>3</v>
      </c>
      <c r="G3" s="237"/>
      <c r="H3" s="237"/>
      <c r="I3" s="237"/>
      <c r="J3" s="232" t="s">
        <v>4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7" s="8" customFormat="1" ht="30.75" customHeight="1">
      <c r="A4" s="245"/>
      <c r="B4" s="9" t="s">
        <v>14</v>
      </c>
      <c r="C4" s="9" t="s">
        <v>15</v>
      </c>
      <c r="D4" s="9" t="s">
        <v>16</v>
      </c>
      <c r="E4" s="9" t="s">
        <v>17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14</v>
      </c>
      <c r="K4" s="9" t="s">
        <v>15</v>
      </c>
      <c r="L4" s="9" t="s">
        <v>16</v>
      </c>
      <c r="M4" s="9" t="s">
        <v>17</v>
      </c>
      <c r="N4" s="10" t="s">
        <v>14</v>
      </c>
      <c r="O4" s="10" t="s">
        <v>15</v>
      </c>
      <c r="P4" s="10" t="s">
        <v>16</v>
      </c>
      <c r="Q4" s="9" t="s">
        <v>17</v>
      </c>
      <c r="R4" s="11" t="s">
        <v>14</v>
      </c>
      <c r="S4" s="11" t="s">
        <v>15</v>
      </c>
      <c r="T4" s="11" t="s">
        <v>16</v>
      </c>
      <c r="U4" s="11" t="s">
        <v>17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14</v>
      </c>
      <c r="AA4" s="11" t="s">
        <v>15</v>
      </c>
      <c r="AB4" s="11" t="s">
        <v>16</v>
      </c>
      <c r="AC4" s="11" t="s">
        <v>17</v>
      </c>
      <c r="AD4" s="11" t="s">
        <v>14</v>
      </c>
      <c r="AE4" s="11" t="s">
        <v>15</v>
      </c>
      <c r="AF4" s="11" t="s">
        <v>16</v>
      </c>
      <c r="AG4" s="11" t="s">
        <v>17</v>
      </c>
      <c r="AH4" s="11" t="s">
        <v>14</v>
      </c>
      <c r="AI4" s="11" t="s">
        <v>15</v>
      </c>
      <c r="AJ4" s="11" t="s">
        <v>16</v>
      </c>
      <c r="AK4" s="11" t="s">
        <v>17</v>
      </c>
      <c r="AL4" s="11" t="s">
        <v>14</v>
      </c>
      <c r="AM4" s="11" t="s">
        <v>15</v>
      </c>
      <c r="AN4" s="11" t="s">
        <v>16</v>
      </c>
      <c r="AO4" s="11" t="s">
        <v>17</v>
      </c>
      <c r="AP4" s="11" t="s">
        <v>14</v>
      </c>
      <c r="AQ4" s="11" t="s">
        <v>15</v>
      </c>
      <c r="AR4" s="11" t="s">
        <v>16</v>
      </c>
      <c r="AS4" s="11" t="s">
        <v>17</v>
      </c>
      <c r="AT4" s="11" t="s">
        <v>14</v>
      </c>
      <c r="AU4" s="11" t="s">
        <v>15</v>
      </c>
      <c r="AV4" s="11" t="s">
        <v>16</v>
      </c>
      <c r="AW4" s="11" t="s">
        <v>17</v>
      </c>
      <c r="AX4" s="11" t="s">
        <v>14</v>
      </c>
      <c r="AY4" s="11" t="s">
        <v>15</v>
      </c>
      <c r="AZ4" s="11" t="s">
        <v>16</v>
      </c>
      <c r="BA4" s="11" t="s">
        <v>17</v>
      </c>
    </row>
    <row r="5" spans="1:57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8"/>
      <c r="P5" s="13"/>
      <c r="Q5" s="8"/>
      <c r="BB5" s="8"/>
      <c r="BC5" s="8"/>
      <c r="BD5" s="8"/>
    </row>
    <row r="6" spans="1:57" s="8" customFormat="1" ht="26.25" customHeight="1">
      <c r="A6" s="14" t="s">
        <v>19</v>
      </c>
      <c r="B6" s="15">
        <v>1463504</v>
      </c>
      <c r="C6" s="15">
        <v>1497012</v>
      </c>
      <c r="D6" s="15" t="s">
        <v>20</v>
      </c>
      <c r="E6" s="15">
        <v>1554713</v>
      </c>
      <c r="F6" s="15">
        <v>1444247</v>
      </c>
      <c r="G6" s="15">
        <v>1502083</v>
      </c>
      <c r="H6" s="16">
        <v>1568700</v>
      </c>
      <c r="I6" s="16">
        <v>1596453</v>
      </c>
      <c r="J6" s="15">
        <v>1473724.65</v>
      </c>
      <c r="K6" s="15">
        <v>1558329.53</v>
      </c>
      <c r="L6" s="15">
        <v>1603167.91</v>
      </c>
      <c r="M6" s="15">
        <v>1616084</v>
      </c>
      <c r="N6" s="15">
        <v>1503381</v>
      </c>
      <c r="O6" s="15">
        <v>1501983</v>
      </c>
      <c r="P6" s="15">
        <v>1599586</v>
      </c>
      <c r="Q6" s="15">
        <v>1588286</v>
      </c>
      <c r="R6" s="15">
        <v>1349508</v>
      </c>
      <c r="S6" s="15">
        <v>1397341</v>
      </c>
      <c r="T6" s="15">
        <v>1405156.22</v>
      </c>
      <c r="U6" s="15">
        <v>1416408</v>
      </c>
      <c r="V6" s="15">
        <v>1362575.88</v>
      </c>
      <c r="W6" s="15">
        <v>1368352</v>
      </c>
      <c r="X6" s="15">
        <v>1366251.5</v>
      </c>
      <c r="Y6" s="15">
        <v>1389717</v>
      </c>
      <c r="Z6" s="15">
        <v>1280208.7</v>
      </c>
      <c r="AA6" s="15">
        <v>1281018</v>
      </c>
      <c r="AB6" s="15">
        <v>1332622</v>
      </c>
      <c r="AC6" s="15">
        <v>1315216</v>
      </c>
      <c r="AD6" s="15">
        <v>1244459</v>
      </c>
      <c r="AE6" s="15">
        <v>1264250</v>
      </c>
      <c r="AF6" s="15">
        <v>1361389</v>
      </c>
      <c r="AG6" s="15">
        <v>1306823</v>
      </c>
      <c r="AH6" s="15">
        <v>1236358</v>
      </c>
      <c r="AI6" s="15">
        <v>1252549</v>
      </c>
      <c r="AJ6" s="15">
        <v>1299811</v>
      </c>
      <c r="AK6" s="15">
        <v>1263081</v>
      </c>
      <c r="AL6" s="15">
        <v>1184151</v>
      </c>
      <c r="AM6" s="15">
        <v>1171095</v>
      </c>
      <c r="AN6" s="15">
        <v>1164344</v>
      </c>
      <c r="AO6" s="15">
        <v>1198717</v>
      </c>
      <c r="AP6" s="15">
        <v>1123034</v>
      </c>
      <c r="AQ6" s="15">
        <v>1235110</v>
      </c>
      <c r="AR6" s="15">
        <v>1289307</v>
      </c>
      <c r="AS6" s="15">
        <v>1347607</v>
      </c>
      <c r="AT6" s="15">
        <v>1098034</v>
      </c>
      <c r="AU6" s="15">
        <v>1173778</v>
      </c>
      <c r="AV6" s="15">
        <v>1259323</v>
      </c>
      <c r="AW6" s="15">
        <v>1153205</v>
      </c>
      <c r="AX6" s="15">
        <v>1226447</v>
      </c>
      <c r="AY6" s="15">
        <v>1208730</v>
      </c>
      <c r="AZ6" s="15">
        <v>1269837</v>
      </c>
      <c r="BA6" s="15">
        <v>1166199</v>
      </c>
    </row>
    <row r="7" spans="1:57" s="8" customFormat="1" ht="16.149999999999999" customHeight="1">
      <c r="A7" s="14"/>
      <c r="B7" s="17"/>
      <c r="C7" s="17"/>
      <c r="D7" s="17"/>
      <c r="E7" s="17"/>
      <c r="F7" s="17"/>
      <c r="G7" s="17"/>
      <c r="J7" s="17"/>
      <c r="K7" s="17"/>
      <c r="L7" s="17"/>
      <c r="N7" s="17"/>
      <c r="O7" s="17"/>
      <c r="P7" s="17"/>
      <c r="R7" s="17"/>
      <c r="S7" s="17"/>
      <c r="T7" s="17"/>
      <c r="U7" s="4"/>
      <c r="V7" s="17"/>
      <c r="W7" s="17"/>
      <c r="X7" s="17"/>
      <c r="Y7" s="4"/>
      <c r="Z7" s="17"/>
      <c r="AA7" s="17"/>
      <c r="AB7" s="17"/>
      <c r="AC7" s="4"/>
      <c r="AD7" s="17"/>
      <c r="AE7" s="17"/>
      <c r="AF7" s="17"/>
      <c r="AG7" s="4"/>
      <c r="AH7" s="17"/>
      <c r="AI7" s="17"/>
      <c r="AJ7" s="17"/>
      <c r="AK7" s="4"/>
      <c r="AL7" s="17"/>
      <c r="AM7" s="17"/>
      <c r="AN7" s="17"/>
      <c r="AO7" s="4"/>
      <c r="AP7" s="17"/>
      <c r="AQ7" s="17"/>
      <c r="AR7" s="17"/>
      <c r="AS7" s="4"/>
      <c r="AT7" s="17"/>
      <c r="AU7" s="17"/>
      <c r="AV7" s="17"/>
      <c r="AW7" s="4"/>
      <c r="AX7" s="17"/>
      <c r="AY7" s="17"/>
      <c r="AZ7" s="17"/>
    </row>
    <row r="8" spans="1:57" s="23" customFormat="1" ht="26.25" customHeight="1">
      <c r="A8" s="18" t="s">
        <v>21</v>
      </c>
      <c r="B8" s="19">
        <v>57859</v>
      </c>
      <c r="C8" s="19">
        <v>49688</v>
      </c>
      <c r="D8" s="19" t="s">
        <v>20</v>
      </c>
      <c r="E8" s="19">
        <v>15297</v>
      </c>
      <c r="F8" s="19">
        <v>39589</v>
      </c>
      <c r="G8" s="19">
        <v>35502</v>
      </c>
      <c r="H8" s="20">
        <v>6229</v>
      </c>
      <c r="I8" s="20">
        <v>6833</v>
      </c>
      <c r="J8" s="19">
        <v>22002.12</v>
      </c>
      <c r="K8" s="19">
        <v>30684.51</v>
      </c>
      <c r="L8" s="19">
        <v>4500.68</v>
      </c>
      <c r="M8" s="19">
        <v>1957</v>
      </c>
      <c r="N8" s="19">
        <v>55366</v>
      </c>
      <c r="O8" s="19">
        <v>51298</v>
      </c>
      <c r="P8" s="19">
        <v>9257</v>
      </c>
      <c r="Q8" s="19">
        <v>8568</v>
      </c>
      <c r="R8" s="19">
        <v>30430</v>
      </c>
      <c r="S8" s="19">
        <v>7114</v>
      </c>
      <c r="T8" s="19">
        <v>12729</v>
      </c>
      <c r="U8" s="21">
        <v>5282</v>
      </c>
      <c r="V8" s="19">
        <v>41519.410000000003</v>
      </c>
      <c r="W8" s="19">
        <v>23443.54</v>
      </c>
      <c r="X8" s="19">
        <v>5327.89</v>
      </c>
      <c r="Y8" s="21">
        <v>2055</v>
      </c>
      <c r="Z8" s="19">
        <v>28726</v>
      </c>
      <c r="AA8" s="19">
        <v>20773</v>
      </c>
      <c r="AB8" s="19">
        <v>1541</v>
      </c>
      <c r="AC8" s="22">
        <v>2019</v>
      </c>
      <c r="AD8" s="19">
        <v>36245</v>
      </c>
      <c r="AE8" s="19">
        <v>31608</v>
      </c>
      <c r="AF8" s="19">
        <v>1433</v>
      </c>
      <c r="AG8" s="22">
        <v>5849</v>
      </c>
      <c r="AH8" s="19">
        <v>19869</v>
      </c>
      <c r="AI8" s="19">
        <v>12423</v>
      </c>
      <c r="AJ8" s="19">
        <v>4090</v>
      </c>
      <c r="AK8" s="22">
        <v>8077</v>
      </c>
      <c r="AL8" s="19">
        <v>30317</v>
      </c>
      <c r="AM8" s="19">
        <v>19002</v>
      </c>
      <c r="AN8" s="19">
        <v>8908</v>
      </c>
      <c r="AO8" s="22">
        <v>9183</v>
      </c>
      <c r="AP8" s="19">
        <v>51770</v>
      </c>
      <c r="AQ8" s="19">
        <v>51334</v>
      </c>
      <c r="AR8" s="19">
        <v>12621</v>
      </c>
      <c r="AS8" s="22">
        <v>274</v>
      </c>
      <c r="AT8" s="19">
        <v>20708</v>
      </c>
      <c r="AU8" s="19">
        <v>7310</v>
      </c>
      <c r="AV8" s="19">
        <v>34788</v>
      </c>
      <c r="AW8" s="22">
        <v>7151</v>
      </c>
      <c r="AX8" s="19">
        <v>47399</v>
      </c>
      <c r="AY8" s="19">
        <v>17083</v>
      </c>
      <c r="AZ8" s="19">
        <v>8297</v>
      </c>
      <c r="BA8" s="19">
        <v>11733</v>
      </c>
      <c r="BB8" s="8"/>
      <c r="BC8" s="8"/>
      <c r="BD8" s="8"/>
      <c r="BE8" s="12"/>
    </row>
    <row r="9" spans="1:57" s="23" customFormat="1" ht="26.25" customHeight="1">
      <c r="A9" s="24" t="s">
        <v>22</v>
      </c>
      <c r="B9" s="19">
        <v>18044</v>
      </c>
      <c r="C9" s="19">
        <v>8203</v>
      </c>
      <c r="D9" s="19" t="s">
        <v>20</v>
      </c>
      <c r="E9" s="19">
        <v>6010</v>
      </c>
      <c r="F9" s="19">
        <v>7902</v>
      </c>
      <c r="G9" s="19">
        <v>5202</v>
      </c>
      <c r="H9" s="20">
        <v>2949</v>
      </c>
      <c r="I9" s="20">
        <v>4503</v>
      </c>
      <c r="J9" s="19">
        <v>27230.34</v>
      </c>
      <c r="K9" s="19">
        <v>8825.19</v>
      </c>
      <c r="L9" s="19">
        <v>986.34</v>
      </c>
      <c r="M9" s="19">
        <v>15318</v>
      </c>
      <c r="N9" s="19">
        <v>15302</v>
      </c>
      <c r="O9" s="19">
        <v>17662</v>
      </c>
      <c r="P9" s="19">
        <v>9075</v>
      </c>
      <c r="Q9" s="19">
        <v>8939</v>
      </c>
      <c r="R9" s="19">
        <v>6938</v>
      </c>
      <c r="S9" s="19">
        <v>2488</v>
      </c>
      <c r="T9" s="19">
        <v>4963</v>
      </c>
      <c r="U9" s="21">
        <v>12882</v>
      </c>
      <c r="V9" s="19">
        <v>29633.77</v>
      </c>
      <c r="W9" s="19">
        <v>5873.79</v>
      </c>
      <c r="X9" s="19">
        <v>5228.24</v>
      </c>
      <c r="Y9" s="21">
        <v>247</v>
      </c>
      <c r="Z9" s="19">
        <v>5613</v>
      </c>
      <c r="AA9" s="19">
        <v>6012</v>
      </c>
      <c r="AB9" s="19">
        <v>1274</v>
      </c>
      <c r="AC9" s="22">
        <v>2530</v>
      </c>
      <c r="AD9" s="19">
        <v>10045</v>
      </c>
      <c r="AE9" s="19">
        <v>4630</v>
      </c>
      <c r="AF9" s="19">
        <v>3158</v>
      </c>
      <c r="AG9" s="22">
        <v>275</v>
      </c>
      <c r="AH9" s="19">
        <v>8595</v>
      </c>
      <c r="AI9" s="19">
        <v>4727</v>
      </c>
      <c r="AJ9" s="19">
        <v>14204</v>
      </c>
      <c r="AK9" s="22">
        <v>31287</v>
      </c>
      <c r="AL9" s="19">
        <v>8458</v>
      </c>
      <c r="AM9" s="19">
        <v>388</v>
      </c>
      <c r="AN9" s="19">
        <v>4980</v>
      </c>
      <c r="AO9" s="22">
        <v>5577</v>
      </c>
      <c r="AP9" s="19">
        <v>19961</v>
      </c>
      <c r="AQ9" s="19">
        <v>8650</v>
      </c>
      <c r="AR9" s="19">
        <v>7915</v>
      </c>
      <c r="AS9" s="22">
        <v>9352</v>
      </c>
      <c r="AT9" s="19">
        <v>2096</v>
      </c>
      <c r="AU9" s="19">
        <v>5126</v>
      </c>
      <c r="AV9" s="19">
        <v>19967</v>
      </c>
      <c r="AW9" s="22">
        <v>5995</v>
      </c>
      <c r="AX9" s="19">
        <v>16492</v>
      </c>
      <c r="AY9" s="19">
        <v>2215</v>
      </c>
      <c r="AZ9" s="19">
        <v>2612</v>
      </c>
      <c r="BA9" s="19">
        <v>8032</v>
      </c>
      <c r="BB9" s="8"/>
      <c r="BC9" s="8"/>
      <c r="BD9" s="8"/>
      <c r="BE9" s="8"/>
    </row>
    <row r="10" spans="1:57" s="23" customFormat="1" ht="26.25" customHeight="1">
      <c r="A10" s="25" t="s">
        <v>23</v>
      </c>
      <c r="B10" s="19">
        <v>75342</v>
      </c>
      <c r="C10" s="19">
        <v>66268</v>
      </c>
      <c r="D10" s="19" t="s">
        <v>20</v>
      </c>
      <c r="E10" s="19">
        <v>73864</v>
      </c>
      <c r="F10" s="19">
        <v>76540</v>
      </c>
      <c r="G10" s="19">
        <v>54387</v>
      </c>
      <c r="H10" s="20">
        <v>56016</v>
      </c>
      <c r="I10" s="20">
        <v>43152</v>
      </c>
      <c r="J10" s="19">
        <v>78718.53</v>
      </c>
      <c r="K10" s="19">
        <v>45147.8</v>
      </c>
      <c r="L10" s="19">
        <v>39946.65</v>
      </c>
      <c r="M10" s="19">
        <v>74110</v>
      </c>
      <c r="N10" s="19">
        <v>69699</v>
      </c>
      <c r="O10" s="19">
        <v>33891</v>
      </c>
      <c r="P10" s="19">
        <v>29399</v>
      </c>
      <c r="Q10" s="19">
        <v>54699</v>
      </c>
      <c r="R10" s="19">
        <v>87607</v>
      </c>
      <c r="S10" s="19">
        <v>37229</v>
      </c>
      <c r="T10" s="19">
        <v>32754</v>
      </c>
      <c r="U10" s="21">
        <v>31616</v>
      </c>
      <c r="V10" s="19">
        <v>49353.01</v>
      </c>
      <c r="W10" s="19">
        <v>32063</v>
      </c>
      <c r="X10" s="19">
        <v>41718.04</v>
      </c>
      <c r="Y10" s="21">
        <v>24655</v>
      </c>
      <c r="Z10" s="19">
        <v>35903</v>
      </c>
      <c r="AA10" s="19">
        <v>27744</v>
      </c>
      <c r="AB10" s="19">
        <v>19208</v>
      </c>
      <c r="AC10" s="22">
        <v>25745</v>
      </c>
      <c r="AD10" s="19">
        <v>42929</v>
      </c>
      <c r="AE10" s="19">
        <v>54940</v>
      </c>
      <c r="AF10" s="19">
        <v>41573</v>
      </c>
      <c r="AG10" s="22">
        <v>31201</v>
      </c>
      <c r="AH10" s="19">
        <v>40914</v>
      </c>
      <c r="AI10" s="19">
        <v>53738</v>
      </c>
      <c r="AJ10" s="19">
        <v>52331</v>
      </c>
      <c r="AK10" s="22">
        <v>48649</v>
      </c>
      <c r="AL10" s="19">
        <v>45124</v>
      </c>
      <c r="AM10" s="19">
        <v>46686</v>
      </c>
      <c r="AN10" s="19">
        <v>85610</v>
      </c>
      <c r="AO10" s="22">
        <v>53659</v>
      </c>
      <c r="AP10" s="19">
        <v>44065</v>
      </c>
      <c r="AQ10" s="19">
        <v>77694</v>
      </c>
      <c r="AR10" s="19">
        <v>70279</v>
      </c>
      <c r="AS10" s="22">
        <v>80988</v>
      </c>
      <c r="AT10" s="19">
        <v>30343</v>
      </c>
      <c r="AU10" s="19">
        <v>50723</v>
      </c>
      <c r="AV10" s="19">
        <v>72250</v>
      </c>
      <c r="AW10" s="22">
        <v>37264</v>
      </c>
      <c r="AX10" s="19">
        <v>53256</v>
      </c>
      <c r="AY10" s="19">
        <v>35143</v>
      </c>
      <c r="AZ10" s="19">
        <v>76730</v>
      </c>
      <c r="BA10" s="19">
        <v>49492</v>
      </c>
      <c r="BB10" s="8"/>
      <c r="BC10" s="8"/>
      <c r="BD10" s="8"/>
      <c r="BE10" s="8"/>
    </row>
    <row r="11" spans="1:57" s="23" customFormat="1" ht="26.25" customHeight="1">
      <c r="A11" s="24" t="s">
        <v>24</v>
      </c>
      <c r="B11" s="19">
        <v>161851</v>
      </c>
      <c r="C11" s="19">
        <v>122944</v>
      </c>
      <c r="D11" s="19" t="s">
        <v>20</v>
      </c>
      <c r="E11" s="19">
        <v>123268</v>
      </c>
      <c r="F11" s="19">
        <v>186816</v>
      </c>
      <c r="G11" s="19">
        <v>108063</v>
      </c>
      <c r="H11" s="20">
        <v>123582</v>
      </c>
      <c r="I11" s="20">
        <v>119451</v>
      </c>
      <c r="J11" s="19">
        <v>160667.60999999999</v>
      </c>
      <c r="K11" s="19">
        <v>128487.36</v>
      </c>
      <c r="L11" s="19">
        <v>138272.25</v>
      </c>
      <c r="M11" s="19">
        <v>141766</v>
      </c>
      <c r="N11" s="19">
        <v>138085</v>
      </c>
      <c r="O11" s="19">
        <v>105816</v>
      </c>
      <c r="P11" s="19">
        <v>117107</v>
      </c>
      <c r="Q11" s="19">
        <v>107476</v>
      </c>
      <c r="R11" s="19">
        <v>128110</v>
      </c>
      <c r="S11" s="19">
        <v>84873</v>
      </c>
      <c r="T11" s="19">
        <v>79898</v>
      </c>
      <c r="U11" s="21">
        <v>73199</v>
      </c>
      <c r="V11" s="19">
        <v>172330</v>
      </c>
      <c r="W11" s="19">
        <v>102201.33</v>
      </c>
      <c r="X11" s="19">
        <v>95275.520000000004</v>
      </c>
      <c r="Y11" s="21">
        <v>84456</v>
      </c>
      <c r="Z11" s="19">
        <v>81640</v>
      </c>
      <c r="AA11" s="19">
        <v>67871</v>
      </c>
      <c r="AB11" s="19">
        <v>73042</v>
      </c>
      <c r="AC11" s="22">
        <v>89109</v>
      </c>
      <c r="AD11" s="19">
        <v>134880</v>
      </c>
      <c r="AE11" s="19">
        <v>106873</v>
      </c>
      <c r="AF11" s="19">
        <v>71220</v>
      </c>
      <c r="AG11" s="22">
        <v>48466</v>
      </c>
      <c r="AH11" s="19">
        <v>105339</v>
      </c>
      <c r="AI11" s="19">
        <v>97401</v>
      </c>
      <c r="AJ11" s="19">
        <v>118269</v>
      </c>
      <c r="AK11" s="22">
        <v>88566</v>
      </c>
      <c r="AL11" s="19">
        <v>107197</v>
      </c>
      <c r="AM11" s="19">
        <v>122244</v>
      </c>
      <c r="AN11" s="19">
        <v>71948</v>
      </c>
      <c r="AO11" s="22">
        <v>90521</v>
      </c>
      <c r="AP11" s="19">
        <v>76024</v>
      </c>
      <c r="AQ11" s="19">
        <v>163009</v>
      </c>
      <c r="AR11" s="19">
        <v>165137</v>
      </c>
      <c r="AS11" s="22">
        <v>125358</v>
      </c>
      <c r="AT11" s="19">
        <v>95732</v>
      </c>
      <c r="AU11" s="19">
        <v>88307</v>
      </c>
      <c r="AV11" s="19">
        <v>101268</v>
      </c>
      <c r="AW11" s="22">
        <v>83875</v>
      </c>
      <c r="AX11" s="19">
        <v>97482</v>
      </c>
      <c r="AY11" s="19">
        <v>100752</v>
      </c>
      <c r="AZ11" s="19">
        <v>109602</v>
      </c>
      <c r="BA11" s="19">
        <v>128338</v>
      </c>
      <c r="BB11" s="8"/>
      <c r="BC11" s="8"/>
      <c r="BD11" s="8"/>
      <c r="BE11" s="12"/>
    </row>
    <row r="12" spans="1:57" s="23" customFormat="1" ht="26.25" customHeight="1">
      <c r="A12" s="24" t="s">
        <v>25</v>
      </c>
      <c r="B12" s="19">
        <v>171159</v>
      </c>
      <c r="C12" s="19">
        <v>90922</v>
      </c>
      <c r="D12" s="19" t="s">
        <v>20</v>
      </c>
      <c r="E12" s="19">
        <v>115250</v>
      </c>
      <c r="F12" s="19">
        <v>151642</v>
      </c>
      <c r="G12" s="19">
        <v>74515</v>
      </c>
      <c r="H12" s="20">
        <v>111492</v>
      </c>
      <c r="I12" s="20">
        <v>88550</v>
      </c>
      <c r="J12" s="19">
        <v>152293.79</v>
      </c>
      <c r="K12" s="19">
        <v>122238.53</v>
      </c>
      <c r="L12" s="19">
        <v>88703.92</v>
      </c>
      <c r="M12" s="19">
        <v>103447</v>
      </c>
      <c r="N12" s="19">
        <v>113525</v>
      </c>
      <c r="O12" s="19">
        <v>64819</v>
      </c>
      <c r="P12" s="19">
        <v>98128</v>
      </c>
      <c r="Q12" s="19">
        <v>122064</v>
      </c>
      <c r="R12" s="19">
        <v>137219</v>
      </c>
      <c r="S12" s="19">
        <v>88177</v>
      </c>
      <c r="T12" s="19">
        <v>117306</v>
      </c>
      <c r="U12" s="21">
        <v>125913</v>
      </c>
      <c r="V12" s="19">
        <v>124878.5</v>
      </c>
      <c r="W12" s="19">
        <v>115081.81</v>
      </c>
      <c r="X12" s="19">
        <v>108324.23</v>
      </c>
      <c r="Y12" s="21">
        <v>86132</v>
      </c>
      <c r="Z12" s="19">
        <v>104703</v>
      </c>
      <c r="AA12" s="19">
        <v>116561</v>
      </c>
      <c r="AB12" s="19">
        <v>141895</v>
      </c>
      <c r="AC12" s="22">
        <v>93980</v>
      </c>
      <c r="AD12" s="19">
        <v>96859</v>
      </c>
      <c r="AE12" s="19">
        <v>67936</v>
      </c>
      <c r="AF12" s="19">
        <v>115966</v>
      </c>
      <c r="AG12" s="22">
        <v>63174</v>
      </c>
      <c r="AH12" s="19">
        <v>88868</v>
      </c>
      <c r="AI12" s="19">
        <v>129834</v>
      </c>
      <c r="AJ12" s="19">
        <v>121433</v>
      </c>
      <c r="AK12" s="22">
        <v>108215</v>
      </c>
      <c r="AL12" s="19">
        <v>71752</v>
      </c>
      <c r="AM12" s="19">
        <v>73411</v>
      </c>
      <c r="AN12" s="19">
        <v>89647</v>
      </c>
      <c r="AO12" s="22">
        <v>140691</v>
      </c>
      <c r="AP12" s="19">
        <v>99803</v>
      </c>
      <c r="AQ12" s="19">
        <v>134723</v>
      </c>
      <c r="AR12" s="19">
        <v>161082</v>
      </c>
      <c r="AS12" s="22">
        <v>102947</v>
      </c>
      <c r="AT12" s="19">
        <v>93690</v>
      </c>
      <c r="AU12" s="19">
        <v>133322</v>
      </c>
      <c r="AV12" s="19">
        <v>143927</v>
      </c>
      <c r="AW12" s="22">
        <v>138997</v>
      </c>
      <c r="AX12" s="19">
        <v>73187</v>
      </c>
      <c r="AY12" s="19">
        <v>92239</v>
      </c>
      <c r="AZ12" s="19">
        <v>97409</v>
      </c>
      <c r="BA12" s="19">
        <v>72019</v>
      </c>
      <c r="BB12" s="8"/>
      <c r="BC12" s="8"/>
      <c r="BD12" s="8"/>
      <c r="BE12" s="8"/>
    </row>
    <row r="13" spans="1:57" s="23" customFormat="1" ht="26.25" customHeight="1">
      <c r="A13" s="24" t="s">
        <v>26</v>
      </c>
      <c r="B13" s="19">
        <v>152222</v>
      </c>
      <c r="C13" s="19">
        <v>148849</v>
      </c>
      <c r="D13" s="19" t="s">
        <v>20</v>
      </c>
      <c r="E13" s="19">
        <v>149497</v>
      </c>
      <c r="F13" s="19">
        <v>110817</v>
      </c>
      <c r="G13" s="19">
        <v>174789</v>
      </c>
      <c r="H13" s="20">
        <v>183949</v>
      </c>
      <c r="I13" s="20">
        <v>197695</v>
      </c>
      <c r="J13" s="19">
        <v>143021.01</v>
      </c>
      <c r="K13" s="19">
        <v>190896.07</v>
      </c>
      <c r="L13" s="19">
        <v>207588.67</v>
      </c>
      <c r="M13" s="19">
        <v>218281</v>
      </c>
      <c r="N13" s="19">
        <v>160695</v>
      </c>
      <c r="O13" s="19">
        <v>170225</v>
      </c>
      <c r="P13" s="19">
        <v>235464</v>
      </c>
      <c r="Q13" s="19">
        <v>234253</v>
      </c>
      <c r="R13" s="19">
        <v>185920</v>
      </c>
      <c r="S13" s="19">
        <v>201044</v>
      </c>
      <c r="T13" s="19">
        <v>270037</v>
      </c>
      <c r="U13" s="21">
        <v>207196</v>
      </c>
      <c r="V13" s="19">
        <v>158796</v>
      </c>
      <c r="W13" s="19">
        <v>185788</v>
      </c>
      <c r="X13" s="19">
        <v>176922.62</v>
      </c>
      <c r="Y13" s="21">
        <v>239109</v>
      </c>
      <c r="Z13" s="19">
        <v>213637</v>
      </c>
      <c r="AA13" s="19">
        <v>172002</v>
      </c>
      <c r="AB13" s="19">
        <v>188457</v>
      </c>
      <c r="AC13" s="22">
        <v>173588</v>
      </c>
      <c r="AD13" s="19">
        <v>134734</v>
      </c>
      <c r="AE13" s="19">
        <v>168725</v>
      </c>
      <c r="AF13" s="19">
        <v>200473</v>
      </c>
      <c r="AG13" s="22">
        <v>174361</v>
      </c>
      <c r="AH13" s="19">
        <v>181147</v>
      </c>
      <c r="AI13" s="19">
        <v>180068</v>
      </c>
      <c r="AJ13" s="19">
        <v>187213</v>
      </c>
      <c r="AK13" s="22">
        <v>170948</v>
      </c>
      <c r="AL13" s="19">
        <v>155320</v>
      </c>
      <c r="AM13" s="19">
        <v>133850</v>
      </c>
      <c r="AN13" s="19">
        <v>185993</v>
      </c>
      <c r="AO13" s="22">
        <v>183179</v>
      </c>
      <c r="AP13" s="19">
        <v>152441</v>
      </c>
      <c r="AQ13" s="19">
        <v>175137</v>
      </c>
      <c r="AR13" s="19">
        <v>188048</v>
      </c>
      <c r="AS13" s="22">
        <v>237796</v>
      </c>
      <c r="AT13" s="19">
        <v>153203</v>
      </c>
      <c r="AU13" s="19">
        <v>184649</v>
      </c>
      <c r="AV13" s="19">
        <v>200639</v>
      </c>
      <c r="AW13" s="22">
        <v>145036</v>
      </c>
      <c r="AX13" s="19">
        <v>178657</v>
      </c>
      <c r="AY13" s="19">
        <v>193325</v>
      </c>
      <c r="AZ13" s="19">
        <v>222255</v>
      </c>
      <c r="BA13" s="19">
        <v>176277</v>
      </c>
      <c r="BB13" s="8"/>
      <c r="BC13" s="8"/>
      <c r="BD13" s="8"/>
      <c r="BE13" s="8"/>
    </row>
    <row r="14" spans="1:57" s="23" customFormat="1" ht="26.25" customHeight="1">
      <c r="A14" s="24" t="s">
        <v>27</v>
      </c>
      <c r="B14" s="19">
        <v>524465</v>
      </c>
      <c r="C14" s="19">
        <v>704710</v>
      </c>
      <c r="D14" s="19" t="s">
        <v>20</v>
      </c>
      <c r="E14" s="19">
        <v>684265</v>
      </c>
      <c r="F14" s="19">
        <v>518904</v>
      </c>
      <c r="G14" s="19">
        <v>643640</v>
      </c>
      <c r="H14" s="20">
        <v>688640</v>
      </c>
      <c r="I14" s="20">
        <v>802754</v>
      </c>
      <c r="J14" s="19">
        <v>627257.48</v>
      </c>
      <c r="K14" s="19">
        <v>708862.45</v>
      </c>
      <c r="L14" s="19">
        <v>686919.43</v>
      </c>
      <c r="M14" s="19">
        <v>672191</v>
      </c>
      <c r="N14" s="19">
        <v>685769</v>
      </c>
      <c r="O14" s="19">
        <v>710247</v>
      </c>
      <c r="P14" s="19">
        <v>713056</v>
      </c>
      <c r="Q14" s="19">
        <v>732584</v>
      </c>
      <c r="R14" s="19">
        <v>556129</v>
      </c>
      <c r="S14" s="19">
        <v>725228</v>
      </c>
      <c r="T14" s="19">
        <v>594880</v>
      </c>
      <c r="U14" s="21">
        <v>633565</v>
      </c>
      <c r="V14" s="19">
        <v>508543.23</v>
      </c>
      <c r="W14" s="19">
        <v>609880.24</v>
      </c>
      <c r="X14" s="19">
        <v>675640.09</v>
      </c>
      <c r="Y14" s="21">
        <v>689713</v>
      </c>
      <c r="Z14" s="19">
        <v>608163</v>
      </c>
      <c r="AA14" s="19">
        <v>633097</v>
      </c>
      <c r="AB14" s="19">
        <v>657295</v>
      </c>
      <c r="AC14" s="22">
        <v>656748</v>
      </c>
      <c r="AD14" s="19">
        <v>532256</v>
      </c>
      <c r="AE14" s="19">
        <v>600712</v>
      </c>
      <c r="AF14" s="19">
        <v>696493</v>
      </c>
      <c r="AG14" s="22">
        <v>698203</v>
      </c>
      <c r="AH14" s="19">
        <v>574826</v>
      </c>
      <c r="AI14" s="19">
        <v>601685</v>
      </c>
      <c r="AJ14" s="19">
        <v>584498</v>
      </c>
      <c r="AK14" s="22">
        <v>629982</v>
      </c>
      <c r="AL14" s="19">
        <v>579512</v>
      </c>
      <c r="AM14" s="19">
        <v>555670</v>
      </c>
      <c r="AN14" s="19">
        <v>542246</v>
      </c>
      <c r="AO14" s="22">
        <v>551226</v>
      </c>
      <c r="AP14" s="19">
        <v>526749</v>
      </c>
      <c r="AQ14" s="19">
        <v>425387</v>
      </c>
      <c r="AR14" s="19">
        <v>505718</v>
      </c>
      <c r="AS14" s="22">
        <v>612099</v>
      </c>
      <c r="AT14" s="19">
        <v>494454</v>
      </c>
      <c r="AU14" s="19">
        <v>538269</v>
      </c>
      <c r="AV14" s="19">
        <v>495598</v>
      </c>
      <c r="AW14" s="22">
        <v>586900</v>
      </c>
      <c r="AX14" s="19">
        <v>567546</v>
      </c>
      <c r="AY14" s="19">
        <v>571604</v>
      </c>
      <c r="AZ14" s="19">
        <v>502845</v>
      </c>
      <c r="BA14" s="19">
        <v>556496</v>
      </c>
      <c r="BB14" s="8"/>
      <c r="BC14" s="8"/>
      <c r="BD14" s="8"/>
      <c r="BE14" s="12"/>
    </row>
    <row r="15" spans="1:57" s="23" customFormat="1" ht="26.25" customHeight="1">
      <c r="A15" s="26" t="s">
        <v>28</v>
      </c>
      <c r="B15" s="19">
        <v>302561</v>
      </c>
      <c r="C15" s="19">
        <v>305427</v>
      </c>
      <c r="D15" s="19" t="s">
        <v>20</v>
      </c>
      <c r="E15" s="19">
        <v>387262</v>
      </c>
      <c r="F15" s="19">
        <v>352037</v>
      </c>
      <c r="G15" s="19">
        <v>405985</v>
      </c>
      <c r="H15" s="20">
        <v>395843</v>
      </c>
      <c r="I15" s="20">
        <v>333514</v>
      </c>
      <c r="J15" s="19">
        <v>262533.78999999998</v>
      </c>
      <c r="K15" s="19">
        <v>323187.62</v>
      </c>
      <c r="L15" s="19">
        <v>436249.97</v>
      </c>
      <c r="M15" s="19">
        <v>389014</v>
      </c>
      <c r="N15" s="19">
        <v>264940</v>
      </c>
      <c r="O15" s="19">
        <v>348025</v>
      </c>
      <c r="P15" s="19">
        <v>388100</v>
      </c>
      <c r="Q15" s="19">
        <v>319703</v>
      </c>
      <c r="R15" s="19">
        <v>217155</v>
      </c>
      <c r="S15" s="19">
        <v>251188</v>
      </c>
      <c r="T15" s="19">
        <v>292589</v>
      </c>
      <c r="U15" s="21">
        <v>326755</v>
      </c>
      <c r="V15" s="19">
        <v>277522.12</v>
      </c>
      <c r="W15" s="19">
        <v>294019.71999999997</v>
      </c>
      <c r="X15" s="19">
        <v>257814.86</v>
      </c>
      <c r="Y15" s="21">
        <v>263350</v>
      </c>
      <c r="Z15" s="19">
        <v>201824</v>
      </c>
      <c r="AA15" s="19">
        <v>236958</v>
      </c>
      <c r="AB15" s="19">
        <v>249910</v>
      </c>
      <c r="AC15" s="22">
        <v>271497</v>
      </c>
      <c r="AD15" s="19">
        <v>256511</v>
      </c>
      <c r="AE15" s="19">
        <v>228826</v>
      </c>
      <c r="AF15" s="19">
        <v>231073</v>
      </c>
      <c r="AG15" s="22">
        <v>285294</v>
      </c>
      <c r="AH15" s="19">
        <v>216800</v>
      </c>
      <c r="AI15" s="19">
        <v>172673</v>
      </c>
      <c r="AJ15" s="19">
        <v>217773</v>
      </c>
      <c r="AK15" s="22">
        <v>177357</v>
      </c>
      <c r="AL15" s="19">
        <v>186471</v>
      </c>
      <c r="AM15" s="19">
        <v>219844</v>
      </c>
      <c r="AN15" s="19">
        <v>175012</v>
      </c>
      <c r="AO15" s="22">
        <v>164681</v>
      </c>
      <c r="AP15" s="19">
        <v>152221</v>
      </c>
      <c r="AQ15" s="19">
        <v>199176</v>
      </c>
      <c r="AR15" s="19">
        <v>178507</v>
      </c>
      <c r="AS15" s="22">
        <v>178793</v>
      </c>
      <c r="AT15" s="19">
        <v>207808</v>
      </c>
      <c r="AU15" s="19">
        <v>166072</v>
      </c>
      <c r="AV15" s="19">
        <v>190886</v>
      </c>
      <c r="AW15" s="22">
        <v>147987</v>
      </c>
      <c r="AX15" s="19">
        <v>192428</v>
      </c>
      <c r="AY15" s="19">
        <v>196369</v>
      </c>
      <c r="AZ15" s="19">
        <v>250087</v>
      </c>
      <c r="BA15" s="19">
        <v>163812</v>
      </c>
      <c r="BB15" s="8"/>
      <c r="BC15" s="8"/>
      <c r="BD15" s="8"/>
      <c r="BE15" s="8"/>
    </row>
    <row r="16" spans="1:57" s="12" customFormat="1" ht="23.25" customHeight="1">
      <c r="A16" s="234" t="s">
        <v>29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8"/>
      <c r="N16" s="8"/>
      <c r="O16" s="8"/>
      <c r="P16" s="8"/>
      <c r="Q16" s="8"/>
      <c r="R16" s="8"/>
      <c r="S16" s="8"/>
      <c r="T16" s="8"/>
      <c r="U16" s="4"/>
      <c r="V16" s="8"/>
      <c r="W16" s="8"/>
      <c r="X16" s="8"/>
      <c r="Y16" s="4"/>
      <c r="Z16" s="8"/>
      <c r="AA16" s="8"/>
      <c r="AB16" s="8"/>
      <c r="AC16" s="4"/>
      <c r="AD16" s="23"/>
      <c r="AE16" s="23"/>
      <c r="AF16" s="23"/>
      <c r="AG16" s="23"/>
      <c r="AH16" s="23"/>
      <c r="AI16" s="23"/>
      <c r="AJ16" s="23"/>
      <c r="AK16" s="23"/>
      <c r="BB16" s="23"/>
      <c r="BC16" s="23"/>
      <c r="BD16" s="23"/>
    </row>
    <row r="17" spans="1:56" s="8" customFormat="1" ht="26.25" customHeight="1">
      <c r="A17" s="14" t="s">
        <v>19</v>
      </c>
      <c r="B17" s="27">
        <v>100</v>
      </c>
      <c r="C17" s="27">
        <v>100</v>
      </c>
      <c r="D17" s="15" t="s">
        <v>20</v>
      </c>
      <c r="E17" s="27">
        <v>100</v>
      </c>
      <c r="F17" s="27">
        <v>100</v>
      </c>
      <c r="G17" s="27">
        <v>100</v>
      </c>
      <c r="H17" s="27">
        <v>100</v>
      </c>
      <c r="I17" s="27">
        <v>100</v>
      </c>
      <c r="J17" s="27">
        <v>100</v>
      </c>
      <c r="K17" s="27">
        <v>100</v>
      </c>
      <c r="L17" s="27">
        <v>100</v>
      </c>
      <c r="M17" s="27">
        <v>100</v>
      </c>
      <c r="N17" s="27">
        <v>100</v>
      </c>
      <c r="O17" s="27">
        <v>100</v>
      </c>
      <c r="P17" s="27">
        <v>100</v>
      </c>
      <c r="Q17" s="27">
        <v>100</v>
      </c>
      <c r="R17" s="27">
        <v>100</v>
      </c>
      <c r="S17" s="27">
        <v>100</v>
      </c>
      <c r="T17" s="27">
        <v>100</v>
      </c>
      <c r="U17" s="27">
        <v>100</v>
      </c>
      <c r="V17" s="27">
        <v>100</v>
      </c>
      <c r="W17" s="27">
        <v>100</v>
      </c>
      <c r="X17" s="27">
        <v>100</v>
      </c>
      <c r="Y17" s="27">
        <v>100</v>
      </c>
      <c r="Z17" s="27">
        <v>100</v>
      </c>
      <c r="AA17" s="27">
        <v>100</v>
      </c>
      <c r="AB17" s="27">
        <v>100</v>
      </c>
      <c r="AC17" s="27">
        <v>100</v>
      </c>
      <c r="AD17" s="27">
        <v>100</v>
      </c>
      <c r="AE17" s="27">
        <v>100</v>
      </c>
      <c r="AF17" s="27">
        <v>100</v>
      </c>
      <c r="AG17" s="27">
        <v>100</v>
      </c>
      <c r="AH17" s="27">
        <v>100</v>
      </c>
      <c r="AI17" s="27">
        <v>100</v>
      </c>
      <c r="AJ17" s="27">
        <v>100</v>
      </c>
      <c r="AK17" s="27">
        <v>100</v>
      </c>
      <c r="AL17" s="27">
        <v>100</v>
      </c>
      <c r="AM17" s="27">
        <v>100</v>
      </c>
      <c r="AN17" s="27">
        <v>100</v>
      </c>
      <c r="AO17" s="27">
        <v>100</v>
      </c>
      <c r="AP17" s="27">
        <v>100</v>
      </c>
      <c r="AQ17" s="27">
        <v>100</v>
      </c>
      <c r="AR17" s="27">
        <v>100</v>
      </c>
      <c r="AS17" s="27">
        <v>100</v>
      </c>
      <c r="AT17" s="27">
        <v>100</v>
      </c>
      <c r="AU17" s="27">
        <v>100</v>
      </c>
      <c r="AV17" s="27">
        <v>100</v>
      </c>
      <c r="AW17" s="27">
        <v>100</v>
      </c>
      <c r="AX17" s="27">
        <v>100</v>
      </c>
      <c r="AY17" s="27">
        <v>100</v>
      </c>
      <c r="AZ17" s="27">
        <v>100</v>
      </c>
      <c r="BA17" s="27">
        <v>100</v>
      </c>
      <c r="BB17" s="23"/>
      <c r="BC17" s="23"/>
      <c r="BD17" s="23"/>
    </row>
    <row r="18" spans="1:56" s="8" customFormat="1" ht="6" customHeight="1">
      <c r="A18" s="14"/>
      <c r="B18" s="27"/>
      <c r="C18" s="27"/>
      <c r="D18" s="15"/>
      <c r="E18" s="27"/>
      <c r="F18" s="28"/>
      <c r="G18" s="12"/>
      <c r="H18" s="12"/>
      <c r="I18" s="12"/>
      <c r="J18" s="28"/>
      <c r="K18" s="12"/>
      <c r="L18" s="12"/>
      <c r="M18" s="12"/>
      <c r="N18" s="29"/>
      <c r="O18" s="29"/>
      <c r="P18" s="29"/>
      <c r="Q18" s="12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3"/>
      <c r="BC18" s="23"/>
      <c r="BD18" s="23"/>
    </row>
    <row r="19" spans="1:56" s="23" customFormat="1" ht="26.25" customHeight="1">
      <c r="A19" s="18" t="s">
        <v>30</v>
      </c>
      <c r="B19" s="30">
        <f t="shared" ref="B19:B26" si="0">B8*100/$B$6</f>
        <v>3.9534569088980964</v>
      </c>
      <c r="C19" s="30">
        <f>C8*100/$C$6</f>
        <v>3.3191450703133976</v>
      </c>
      <c r="D19" s="19" t="s">
        <v>20</v>
      </c>
      <c r="E19" s="30">
        <f t="shared" ref="E19:E26" si="1">E8*100/$E$6</f>
        <v>0.98391150006464212</v>
      </c>
      <c r="F19" s="30">
        <f t="shared" ref="F19:AW19" si="2">SUM(F8*100/F6)</f>
        <v>2.7411516174172426</v>
      </c>
      <c r="G19" s="30">
        <f t="shared" si="2"/>
        <v>2.3635178615296226</v>
      </c>
      <c r="H19" s="30">
        <f t="shared" si="2"/>
        <v>0.39708038503219228</v>
      </c>
      <c r="I19" s="30">
        <f t="shared" si="2"/>
        <v>0.42801134765633564</v>
      </c>
      <c r="J19" s="30">
        <f t="shared" si="2"/>
        <v>1.4929600315771336</v>
      </c>
      <c r="K19" s="30">
        <f t="shared" si="2"/>
        <v>1.9690642710210335</v>
      </c>
      <c r="L19" s="30">
        <f t="shared" si="2"/>
        <v>0.28073665721016089</v>
      </c>
      <c r="M19" s="30">
        <f t="shared" si="2"/>
        <v>0.1210951905965284</v>
      </c>
      <c r="N19" s="30">
        <f t="shared" si="2"/>
        <v>3.6827657127501281</v>
      </c>
      <c r="O19" s="30">
        <f t="shared" si="2"/>
        <v>3.41535157188863</v>
      </c>
      <c r="P19" s="30">
        <f t="shared" si="2"/>
        <v>0.57871224179256386</v>
      </c>
      <c r="Q19" s="30">
        <f t="shared" si="2"/>
        <v>0.53944944424366892</v>
      </c>
      <c r="R19" s="30">
        <f t="shared" si="2"/>
        <v>2.2548958583424477</v>
      </c>
      <c r="S19" s="30">
        <f t="shared" si="2"/>
        <v>0.50910980211702084</v>
      </c>
      <c r="T19" s="30">
        <f t="shared" si="2"/>
        <v>0.90587792437768955</v>
      </c>
      <c r="U19" s="30">
        <f t="shared" si="2"/>
        <v>0.37291514874245274</v>
      </c>
      <c r="V19" s="30">
        <f t="shared" si="2"/>
        <v>3.0471264470056529</v>
      </c>
      <c r="W19" s="30">
        <f t="shared" si="2"/>
        <v>1.7132682233811183</v>
      </c>
      <c r="X19" s="30">
        <f t="shared" si="2"/>
        <v>0.38996407323249049</v>
      </c>
      <c r="Y19" s="30">
        <f t="shared" si="2"/>
        <v>0.14787183289835268</v>
      </c>
      <c r="Z19" s="30">
        <f t="shared" si="2"/>
        <v>2.2438528967972178</v>
      </c>
      <c r="AA19" s="30">
        <f t="shared" si="2"/>
        <v>1.6216009454980336</v>
      </c>
      <c r="AB19" s="30">
        <f t="shared" si="2"/>
        <v>0.11563669217527552</v>
      </c>
      <c r="AC19" s="30">
        <f t="shared" si="2"/>
        <v>0.15351090619335531</v>
      </c>
      <c r="AD19" s="30">
        <f t="shared" si="2"/>
        <v>2.9125105768852166</v>
      </c>
      <c r="AE19" s="30">
        <f t="shared" si="2"/>
        <v>2.5001384219893219</v>
      </c>
      <c r="AF19" s="30">
        <f t="shared" si="2"/>
        <v>0.10526014239868252</v>
      </c>
      <c r="AG19" s="30">
        <f t="shared" si="2"/>
        <v>0.44757400198802744</v>
      </c>
      <c r="AH19" s="30">
        <f t="shared" si="2"/>
        <v>1.6070587968856918</v>
      </c>
      <c r="AI19" s="30">
        <f t="shared" si="2"/>
        <v>0.99181748578299134</v>
      </c>
      <c r="AJ19" s="30">
        <f t="shared" si="2"/>
        <v>0.31466113150296465</v>
      </c>
      <c r="AK19" s="30">
        <f t="shared" si="2"/>
        <v>0.63946809428690643</v>
      </c>
      <c r="AL19" s="30">
        <f t="shared" si="2"/>
        <v>2.5602309164962915</v>
      </c>
      <c r="AM19" s="30">
        <f t="shared" si="2"/>
        <v>1.622583991905012</v>
      </c>
      <c r="AN19" s="30">
        <f t="shared" si="2"/>
        <v>0.76506599424225141</v>
      </c>
      <c r="AO19" s="30">
        <f t="shared" si="2"/>
        <v>0.76606905549850379</v>
      </c>
      <c r="AP19" s="30">
        <f t="shared" si="2"/>
        <v>4.6098337183023848</v>
      </c>
      <c r="AQ19" s="30">
        <f t="shared" si="2"/>
        <v>4.1562289998461672</v>
      </c>
      <c r="AR19" s="30">
        <f t="shared" si="2"/>
        <v>0.97889796611668134</v>
      </c>
      <c r="AS19" s="30">
        <f t="shared" si="2"/>
        <v>2.0332337246689872E-2</v>
      </c>
      <c r="AT19" s="30">
        <f t="shared" si="2"/>
        <v>1.8859161009586225</v>
      </c>
      <c r="AU19" s="30">
        <f t="shared" si="2"/>
        <v>0.62277534593423967</v>
      </c>
      <c r="AV19" s="30">
        <f t="shared" si="2"/>
        <v>2.7624366425452407</v>
      </c>
      <c r="AW19" s="30">
        <f t="shared" si="2"/>
        <v>0.62009790106702622</v>
      </c>
      <c r="AX19" s="30">
        <f t="shared" ref="AX19:AZ19" si="3">SUM(AX8*100/AX6)</f>
        <v>3.8647409957380954</v>
      </c>
      <c r="AY19" s="30">
        <f t="shared" si="3"/>
        <v>1.4133015644519453</v>
      </c>
      <c r="AZ19" s="30">
        <f t="shared" si="3"/>
        <v>0.65339094702705935</v>
      </c>
      <c r="BA19" s="30">
        <f t="shared" ref="BA19" si="4">SUM(BA8*100/BA6)</f>
        <v>1.0060890122526258</v>
      </c>
      <c r="BB19" s="12"/>
      <c r="BC19" s="12"/>
      <c r="BD19" s="12"/>
    </row>
    <row r="20" spans="1:56" s="23" customFormat="1" ht="26.25" customHeight="1">
      <c r="A20" s="24" t="s">
        <v>22</v>
      </c>
      <c r="B20" s="30">
        <f t="shared" si="0"/>
        <v>1.2329313756573266</v>
      </c>
      <c r="C20" s="30">
        <v>0.6</v>
      </c>
      <c r="D20" s="19" t="s">
        <v>20</v>
      </c>
      <c r="E20" s="30">
        <f t="shared" si="1"/>
        <v>0.38656652385359869</v>
      </c>
      <c r="F20" s="30">
        <v>0.6</v>
      </c>
      <c r="G20" s="30">
        <v>0.4</v>
      </c>
      <c r="H20" s="30">
        <f t="shared" ref="H20:AW20" si="5">SUM(H9*100/H6)</f>
        <v>0.18799005545993497</v>
      </c>
      <c r="I20" s="30">
        <f t="shared" si="5"/>
        <v>0.2820627979652392</v>
      </c>
      <c r="J20" s="30">
        <f t="shared" si="5"/>
        <v>1.8477223679470924</v>
      </c>
      <c r="K20" s="30">
        <f t="shared" si="5"/>
        <v>0.56632373513450651</v>
      </c>
      <c r="L20" s="30">
        <f t="shared" si="5"/>
        <v>6.1524435079292478E-2</v>
      </c>
      <c r="M20" s="30">
        <f t="shared" si="5"/>
        <v>0.94784677034114562</v>
      </c>
      <c r="N20" s="30">
        <f t="shared" si="5"/>
        <v>1.0178391239479547</v>
      </c>
      <c r="O20" s="30">
        <f t="shared" si="5"/>
        <v>1.1759121108561148</v>
      </c>
      <c r="P20" s="30">
        <f t="shared" si="5"/>
        <v>0.56733429774954269</v>
      </c>
      <c r="Q20" s="30">
        <f t="shared" si="5"/>
        <v>0.56280795776075598</v>
      </c>
      <c r="R20" s="30">
        <f t="shared" si="5"/>
        <v>0.51411329165888608</v>
      </c>
      <c r="S20" s="30">
        <f t="shared" si="5"/>
        <v>0.17805245820454707</v>
      </c>
      <c r="T20" s="30">
        <f t="shared" si="5"/>
        <v>0.35319916243903471</v>
      </c>
      <c r="U20" s="30">
        <f t="shared" si="5"/>
        <v>0.90948370808411139</v>
      </c>
      <c r="V20" s="30">
        <f t="shared" si="5"/>
        <v>2.1748344760073106</v>
      </c>
      <c r="W20" s="30">
        <f t="shared" si="5"/>
        <v>0.42926016112813076</v>
      </c>
      <c r="X20" s="30">
        <f t="shared" si="5"/>
        <v>0.38267039414046389</v>
      </c>
      <c r="Y20" s="30">
        <f t="shared" si="5"/>
        <v>1.7773402786322685E-2</v>
      </c>
      <c r="Z20" s="30">
        <f t="shared" si="5"/>
        <v>0.43844413805342836</v>
      </c>
      <c r="AA20" s="30">
        <f t="shared" si="5"/>
        <v>0.46931424851173054</v>
      </c>
      <c r="AB20" s="30">
        <f t="shared" si="5"/>
        <v>9.5601003135172613E-2</v>
      </c>
      <c r="AC20" s="30">
        <f t="shared" si="5"/>
        <v>0.19236383985596281</v>
      </c>
      <c r="AD20" s="30">
        <f t="shared" si="5"/>
        <v>0.80717805889948968</v>
      </c>
      <c r="AE20" s="30">
        <f t="shared" si="5"/>
        <v>0.36622503460549732</v>
      </c>
      <c r="AF20" s="30">
        <f t="shared" si="5"/>
        <v>0.2319689669888621</v>
      </c>
      <c r="AG20" s="30">
        <f t="shared" si="5"/>
        <v>2.1043400674766208E-2</v>
      </c>
      <c r="AH20" s="30">
        <f t="shared" si="5"/>
        <v>0.69518699276423168</v>
      </c>
      <c r="AI20" s="30">
        <f t="shared" si="5"/>
        <v>0.37739042544443369</v>
      </c>
      <c r="AJ20" s="30">
        <f t="shared" si="5"/>
        <v>1.0927742571804671</v>
      </c>
      <c r="AK20" s="30">
        <f t="shared" si="5"/>
        <v>2.4770382897058858</v>
      </c>
      <c r="AL20" s="30">
        <f t="shared" si="5"/>
        <v>0.71426701493306177</v>
      </c>
      <c r="AM20" s="30">
        <f t="shared" si="5"/>
        <v>3.3131385583577762E-2</v>
      </c>
      <c r="AN20" s="30">
        <f t="shared" si="5"/>
        <v>0.4277086496774149</v>
      </c>
      <c r="AO20" s="30">
        <f t="shared" si="5"/>
        <v>0.4652474270407444</v>
      </c>
      <c r="AP20" s="30">
        <f t="shared" si="5"/>
        <v>1.7774172464947633</v>
      </c>
      <c r="AQ20" s="30">
        <f t="shared" si="5"/>
        <v>0.70034247961720009</v>
      </c>
      <c r="AR20" s="30">
        <f t="shared" si="5"/>
        <v>0.61389568194386601</v>
      </c>
      <c r="AS20" s="30">
        <f t="shared" si="5"/>
        <v>0.69397086836147337</v>
      </c>
      <c r="AT20" s="30">
        <f t="shared" si="5"/>
        <v>0.19088662099716402</v>
      </c>
      <c r="AU20" s="30">
        <f t="shared" si="5"/>
        <v>0.43670949702584305</v>
      </c>
      <c r="AV20" s="30">
        <f t="shared" si="5"/>
        <v>1.5855344498591704</v>
      </c>
      <c r="AW20" s="30">
        <f t="shared" si="5"/>
        <v>0.51985553305786913</v>
      </c>
      <c r="AX20" s="30">
        <f t="shared" ref="AX20:AZ20" si="6">SUM(AX9*100/AX6)</f>
        <v>1.3446973248742098</v>
      </c>
      <c r="AY20" s="30">
        <f t="shared" si="6"/>
        <v>0.18325018821407593</v>
      </c>
      <c r="AZ20" s="30">
        <f t="shared" si="6"/>
        <v>0.20569569165176319</v>
      </c>
      <c r="BA20" s="30">
        <f t="shared" ref="BA20" si="7">SUM(BA9*100/BA6)</f>
        <v>0.68873322649050461</v>
      </c>
      <c r="BB20" s="8"/>
      <c r="BC20" s="8"/>
      <c r="BD20" s="8"/>
    </row>
    <row r="21" spans="1:56" s="23" customFormat="1" ht="26.25" customHeight="1">
      <c r="A21" s="25" t="s">
        <v>23</v>
      </c>
      <c r="B21" s="30">
        <f t="shared" si="0"/>
        <v>5.148055625403142</v>
      </c>
      <c r="C21" s="30">
        <f t="shared" ref="C21:C26" si="8">C10*100/$C$6</f>
        <v>4.4266846224345562</v>
      </c>
      <c r="D21" s="19" t="s">
        <v>20</v>
      </c>
      <c r="E21" s="30">
        <f t="shared" si="1"/>
        <v>4.7509733307690869</v>
      </c>
      <c r="F21" s="30">
        <f t="shared" ref="F21:AO21" si="9">SUM(F10*100/F6)</f>
        <v>5.2996474979695298</v>
      </c>
      <c r="G21" s="30">
        <f t="shared" si="9"/>
        <v>3.6207719546789359</v>
      </c>
      <c r="H21" s="30">
        <f t="shared" si="9"/>
        <v>3.5708548479632816</v>
      </c>
      <c r="I21" s="30">
        <f t="shared" si="9"/>
        <v>2.7029921958241174</v>
      </c>
      <c r="J21" s="30">
        <f t="shared" si="9"/>
        <v>5.3414679601104593</v>
      </c>
      <c r="K21" s="30">
        <f t="shared" si="9"/>
        <v>2.897192097745847</v>
      </c>
      <c r="L21" s="30">
        <f t="shared" si="9"/>
        <v>2.49173213553158</v>
      </c>
      <c r="M21" s="30">
        <f t="shared" si="9"/>
        <v>4.585776481915544</v>
      </c>
      <c r="N21" s="30">
        <f t="shared" si="9"/>
        <v>4.636150117634851</v>
      </c>
      <c r="O21" s="30">
        <f t="shared" si="9"/>
        <v>2.2564170167039173</v>
      </c>
      <c r="P21" s="30">
        <f t="shared" si="9"/>
        <v>1.8379130600042761</v>
      </c>
      <c r="Q21" s="30">
        <f t="shared" si="9"/>
        <v>3.4439011613777368</v>
      </c>
      <c r="R21" s="30">
        <f t="shared" si="9"/>
        <v>6.4917732981205001</v>
      </c>
      <c r="S21" s="30">
        <f t="shared" si="9"/>
        <v>2.6642745042190845</v>
      </c>
      <c r="T21" s="30">
        <f t="shared" si="9"/>
        <v>2.3309863724618465</v>
      </c>
      <c r="U21" s="30">
        <f t="shared" si="9"/>
        <v>2.2321252068613</v>
      </c>
      <c r="V21" s="30">
        <f t="shared" si="9"/>
        <v>3.6220375484703284</v>
      </c>
      <c r="W21" s="30">
        <f t="shared" si="9"/>
        <v>2.3431836252660134</v>
      </c>
      <c r="X21" s="30">
        <f t="shared" si="9"/>
        <v>3.0534670959190162</v>
      </c>
      <c r="Y21" s="30">
        <f t="shared" si="9"/>
        <v>1.7741022092987278</v>
      </c>
      <c r="Z21" s="30">
        <f t="shared" si="9"/>
        <v>2.8044646158083446</v>
      </c>
      <c r="AA21" s="30">
        <f t="shared" si="9"/>
        <v>2.1657775300581257</v>
      </c>
      <c r="AB21" s="30">
        <f t="shared" si="9"/>
        <v>1.4413689703456793</v>
      </c>
      <c r="AC21" s="30">
        <f t="shared" si="9"/>
        <v>1.9574731450955585</v>
      </c>
      <c r="AD21" s="30">
        <f t="shared" si="9"/>
        <v>3.4496114375805069</v>
      </c>
      <c r="AE21" s="30">
        <f t="shared" si="9"/>
        <v>4.3456594819062682</v>
      </c>
      <c r="AF21" s="30">
        <f t="shared" si="9"/>
        <v>3.0537193998188616</v>
      </c>
      <c r="AG21" s="30">
        <f t="shared" si="9"/>
        <v>2.3875459798304743</v>
      </c>
      <c r="AH21" s="30">
        <f t="shared" si="9"/>
        <v>3.309235674456751</v>
      </c>
      <c r="AI21" s="30">
        <f t="shared" si="9"/>
        <v>4.290291238107252</v>
      </c>
      <c r="AJ21" s="30">
        <f t="shared" si="9"/>
        <v>4.0260468637363429</v>
      </c>
      <c r="AK21" s="30">
        <f t="shared" si="9"/>
        <v>3.8516136336466147</v>
      </c>
      <c r="AL21" s="30">
        <f t="shared" si="9"/>
        <v>3.8106626604208418</v>
      </c>
      <c r="AM21" s="30">
        <f t="shared" si="9"/>
        <v>3.9865254313270913</v>
      </c>
      <c r="AN21" s="30">
        <f t="shared" si="9"/>
        <v>7.3526380519846368</v>
      </c>
      <c r="AO21" s="30">
        <f t="shared" si="9"/>
        <v>4.4763693181960376</v>
      </c>
      <c r="AP21" s="30">
        <f t="shared" ref="AP21:AW21" si="10">SUM(AP10*100/AP6)</f>
        <v>3.9237458527524547</v>
      </c>
      <c r="AQ21" s="30">
        <f t="shared" si="10"/>
        <v>6.2904518625871377</v>
      </c>
      <c r="AR21" s="30">
        <f t="shared" si="10"/>
        <v>5.4509127771740946</v>
      </c>
      <c r="AS21" s="30">
        <f t="shared" si="10"/>
        <v>6.0097639742150344</v>
      </c>
      <c r="AT21" s="30">
        <f t="shared" si="10"/>
        <v>2.7633934832619027</v>
      </c>
      <c r="AU21" s="30">
        <f t="shared" si="10"/>
        <v>4.3213452629032068</v>
      </c>
      <c r="AV21" s="30">
        <f t="shared" si="10"/>
        <v>5.7372095959495697</v>
      </c>
      <c r="AW21" s="30">
        <f t="shared" si="10"/>
        <v>3.231342215824593</v>
      </c>
      <c r="AX21" s="30">
        <f t="shared" ref="AX21:AZ21" si="11">SUM(AX10*100/AX6)</f>
        <v>4.3422993411048338</v>
      </c>
      <c r="AY21" s="30">
        <f t="shared" si="11"/>
        <v>2.9074317672267584</v>
      </c>
      <c r="AZ21" s="30">
        <f t="shared" si="11"/>
        <v>6.0425078179325382</v>
      </c>
      <c r="BA21" s="30">
        <f t="shared" ref="BA21" si="12">SUM(BA10*100/BA6)</f>
        <v>4.2438726152226165</v>
      </c>
      <c r="BB21" s="8"/>
      <c r="BC21" s="8"/>
      <c r="BD21" s="8"/>
    </row>
    <row r="22" spans="1:56" s="23" customFormat="1" ht="26.25" customHeight="1">
      <c r="A22" s="24" t="s">
        <v>24</v>
      </c>
      <c r="B22" s="30">
        <f t="shared" si="0"/>
        <v>11.059142988334846</v>
      </c>
      <c r="C22" s="30">
        <f t="shared" si="8"/>
        <v>8.2126262180931082</v>
      </c>
      <c r="D22" s="19" t="s">
        <v>20</v>
      </c>
      <c r="E22" s="30">
        <f t="shared" si="1"/>
        <v>7.9286659338411658</v>
      </c>
      <c r="F22" s="30">
        <f t="shared" ref="F22:AW22" si="13">SUM(F11*100/F6)</f>
        <v>12.935183524701799</v>
      </c>
      <c r="G22" s="30">
        <f t="shared" si="13"/>
        <v>7.1942096408787002</v>
      </c>
      <c r="H22" s="30">
        <f t="shared" si="13"/>
        <v>7.877988143048384</v>
      </c>
      <c r="I22" s="30">
        <f t="shared" si="13"/>
        <v>7.4822747678760351</v>
      </c>
      <c r="J22" s="30">
        <f t="shared" si="13"/>
        <v>10.902145797724154</v>
      </c>
      <c r="K22" s="30">
        <f t="shared" si="13"/>
        <v>8.2451983053930835</v>
      </c>
      <c r="L22" s="30">
        <f t="shared" si="13"/>
        <v>8.6249387314645052</v>
      </c>
      <c r="M22" s="30">
        <f t="shared" si="13"/>
        <v>8.7721925345464715</v>
      </c>
      <c r="N22" s="30">
        <f t="shared" si="13"/>
        <v>9.1849637583553339</v>
      </c>
      <c r="O22" s="30">
        <f t="shared" si="13"/>
        <v>7.0450863957847725</v>
      </c>
      <c r="P22" s="30">
        <f t="shared" si="13"/>
        <v>7.321081829923493</v>
      </c>
      <c r="Q22" s="30">
        <f t="shared" si="13"/>
        <v>6.7667913713273302</v>
      </c>
      <c r="R22" s="30">
        <f t="shared" si="13"/>
        <v>9.4930893332977639</v>
      </c>
      <c r="S22" s="30">
        <f t="shared" si="13"/>
        <v>6.0738932014447435</v>
      </c>
      <c r="T22" s="30">
        <f t="shared" si="13"/>
        <v>5.6860581665432193</v>
      </c>
      <c r="U22" s="30">
        <f t="shared" si="13"/>
        <v>5.167931838848693</v>
      </c>
      <c r="V22" s="30">
        <f t="shared" si="13"/>
        <v>12.647369040467678</v>
      </c>
      <c r="W22" s="30">
        <f t="shared" si="13"/>
        <v>7.4689356247515262</v>
      </c>
      <c r="X22" s="30">
        <f t="shared" si="13"/>
        <v>6.9734979247964226</v>
      </c>
      <c r="Y22" s="30">
        <f t="shared" si="13"/>
        <v>6.0772085251889409</v>
      </c>
      <c r="Z22" s="30">
        <f t="shared" si="13"/>
        <v>6.3770852361806325</v>
      </c>
      <c r="AA22" s="30">
        <f t="shared" si="13"/>
        <v>5.2982081438356055</v>
      </c>
      <c r="AB22" s="30">
        <f t="shared" si="13"/>
        <v>5.4810741530606579</v>
      </c>
      <c r="AC22" s="30">
        <f t="shared" si="13"/>
        <v>6.7752369192588899</v>
      </c>
      <c r="AD22" s="30">
        <f t="shared" si="13"/>
        <v>10.838444657477668</v>
      </c>
      <c r="AE22" s="30">
        <f t="shared" si="13"/>
        <v>8.4534704370179945</v>
      </c>
      <c r="AF22" s="30">
        <f t="shared" si="13"/>
        <v>5.2314217317754146</v>
      </c>
      <c r="AG22" s="30">
        <f t="shared" si="13"/>
        <v>3.7086889349207963</v>
      </c>
      <c r="AH22" s="30">
        <f t="shared" si="13"/>
        <v>8.5201050181258182</v>
      </c>
      <c r="AI22" s="30">
        <f t="shared" si="13"/>
        <v>7.7762227266158845</v>
      </c>
      <c r="AJ22" s="30">
        <f t="shared" si="13"/>
        <v>9.0989382302503987</v>
      </c>
      <c r="AK22" s="30">
        <f t="shared" si="13"/>
        <v>7.0119018495250902</v>
      </c>
      <c r="AL22" s="30">
        <f t="shared" si="13"/>
        <v>9.0526461574579589</v>
      </c>
      <c r="AM22" s="30">
        <f t="shared" si="13"/>
        <v>10.438435822883712</v>
      </c>
      <c r="AN22" s="30">
        <f t="shared" si="13"/>
        <v>6.1792734793153912</v>
      </c>
      <c r="AO22" s="30">
        <f t="shared" si="13"/>
        <v>7.551490468559301</v>
      </c>
      <c r="AP22" s="30">
        <f t="shared" si="13"/>
        <v>6.7695189994247729</v>
      </c>
      <c r="AQ22" s="30">
        <f t="shared" si="13"/>
        <v>13.197933787274009</v>
      </c>
      <c r="AR22" s="30">
        <f t="shared" si="13"/>
        <v>12.808198512844497</v>
      </c>
      <c r="AS22" s="30">
        <f t="shared" si="13"/>
        <v>9.3022669071917843</v>
      </c>
      <c r="AT22" s="30">
        <f t="shared" si="13"/>
        <v>8.7184914128342115</v>
      </c>
      <c r="AU22" s="30">
        <f t="shared" si="13"/>
        <v>7.5233136078542957</v>
      </c>
      <c r="AV22" s="30">
        <f t="shared" si="13"/>
        <v>8.0414635482715706</v>
      </c>
      <c r="AW22" s="30">
        <f t="shared" si="13"/>
        <v>7.2732081459931237</v>
      </c>
      <c r="AX22" s="30">
        <f t="shared" ref="AX22:AZ22" si="14">SUM(AX11*100/AX6)</f>
        <v>7.9483255289466239</v>
      </c>
      <c r="AY22" s="30">
        <f t="shared" si="14"/>
        <v>8.3353602541510519</v>
      </c>
      <c r="AZ22" s="30">
        <f t="shared" si="14"/>
        <v>8.6311865223646809</v>
      </c>
      <c r="BA22" s="30">
        <f t="shared" ref="BA22" si="15">SUM(BA11*100/BA6)</f>
        <v>11.004811357238344</v>
      </c>
    </row>
    <row r="23" spans="1:56" s="23" customFormat="1" ht="26.25" customHeight="1">
      <c r="A23" s="24" t="s">
        <v>25</v>
      </c>
      <c r="B23" s="30">
        <f t="shared" si="0"/>
        <v>11.695150816123496</v>
      </c>
      <c r="C23" s="30">
        <f t="shared" si="8"/>
        <v>6.0735652085621226</v>
      </c>
      <c r="D23" s="19" t="s">
        <v>20</v>
      </c>
      <c r="E23" s="30">
        <f t="shared" si="1"/>
        <v>7.4129437394554492</v>
      </c>
      <c r="F23" s="30">
        <f t="shared" ref="F23:AH23" si="16">SUM(F12*100/F6)</f>
        <v>10.499727539679848</v>
      </c>
      <c r="G23" s="30">
        <f t="shared" si="16"/>
        <v>4.9607777998952125</v>
      </c>
      <c r="H23" s="30">
        <f t="shared" si="16"/>
        <v>7.1072862880091794</v>
      </c>
      <c r="I23" s="30">
        <f t="shared" si="16"/>
        <v>5.5466712768869488</v>
      </c>
      <c r="J23" s="30">
        <f t="shared" si="16"/>
        <v>10.333937889957939</v>
      </c>
      <c r="K23" s="30">
        <f t="shared" si="16"/>
        <v>7.8442028882042685</v>
      </c>
      <c r="L23" s="30">
        <f t="shared" si="16"/>
        <v>5.5330398922468458</v>
      </c>
      <c r="M23" s="30">
        <f t="shared" si="16"/>
        <v>6.4010905373730571</v>
      </c>
      <c r="N23" s="30">
        <f t="shared" si="16"/>
        <v>7.5513126745648638</v>
      </c>
      <c r="O23" s="30">
        <f t="shared" si="16"/>
        <v>4.3155614943711083</v>
      </c>
      <c r="P23" s="30">
        <f t="shared" si="16"/>
        <v>6.1345873244702069</v>
      </c>
      <c r="Q23" s="30">
        <f t="shared" si="16"/>
        <v>7.6852657518859955</v>
      </c>
      <c r="R23" s="30">
        <f t="shared" si="16"/>
        <v>10.16807606920448</v>
      </c>
      <c r="S23" s="30">
        <f t="shared" si="16"/>
        <v>6.3103422858128404</v>
      </c>
      <c r="T23" s="30">
        <f t="shared" si="16"/>
        <v>8.3482532639680453</v>
      </c>
      <c r="U23" s="30">
        <f t="shared" si="16"/>
        <v>8.8895996068929293</v>
      </c>
      <c r="V23" s="30">
        <f t="shared" si="16"/>
        <v>9.1648840870425516</v>
      </c>
      <c r="W23" s="30">
        <f t="shared" si="16"/>
        <v>8.4102489710250001</v>
      </c>
      <c r="X23" s="30">
        <f t="shared" si="16"/>
        <v>7.9285717161152247</v>
      </c>
      <c r="Y23" s="30">
        <f t="shared" si="16"/>
        <v>6.197808618589252</v>
      </c>
      <c r="Z23" s="30">
        <f t="shared" si="16"/>
        <v>8.1785883817224487</v>
      </c>
      <c r="AA23" s="30">
        <f t="shared" si="16"/>
        <v>9.0990915037883937</v>
      </c>
      <c r="AB23" s="30">
        <f t="shared" si="16"/>
        <v>10.647805604289889</v>
      </c>
      <c r="AC23" s="30">
        <f t="shared" si="16"/>
        <v>7.1455943358353302</v>
      </c>
      <c r="AD23" s="30">
        <f t="shared" si="16"/>
        <v>7.7832214641060897</v>
      </c>
      <c r="AE23" s="30">
        <f t="shared" si="16"/>
        <v>5.3736207237492586</v>
      </c>
      <c r="AF23" s="30">
        <f t="shared" si="16"/>
        <v>8.5182119144491395</v>
      </c>
      <c r="AG23" s="30">
        <f t="shared" si="16"/>
        <v>4.8341665244642922</v>
      </c>
      <c r="AH23" s="30">
        <f t="shared" si="16"/>
        <v>7.1878857094789694</v>
      </c>
      <c r="AI23" s="30">
        <f>SUM(AI12*100/AI6)-0.02</f>
        <v>10.345582504157523</v>
      </c>
      <c r="AJ23" s="30">
        <f>SUM(AJ12*100/AJ6)</f>
        <v>9.3423582351588035</v>
      </c>
      <c r="AK23" s="30">
        <f>SUM(AK12*100/AK6)</f>
        <v>8.5675423824758674</v>
      </c>
      <c r="AL23" s="30">
        <f t="shared" ref="AL23:AW23" si="17">SUM(AL12*100/AL6)</f>
        <v>6.0593623617258272</v>
      </c>
      <c r="AM23" s="30">
        <f t="shared" si="17"/>
        <v>6.2685776986495547</v>
      </c>
      <c r="AN23" s="30">
        <f t="shared" si="17"/>
        <v>7.6993568910906056</v>
      </c>
      <c r="AO23" s="30">
        <f t="shared" si="17"/>
        <v>11.736798593829903</v>
      </c>
      <c r="AP23" s="30">
        <f t="shared" si="17"/>
        <v>8.8869081434756207</v>
      </c>
      <c r="AQ23" s="30">
        <f t="shared" si="17"/>
        <v>10.907773396701508</v>
      </c>
      <c r="AR23" s="30">
        <f t="shared" si="17"/>
        <v>12.493688469852408</v>
      </c>
      <c r="AS23" s="30">
        <f t="shared" si="17"/>
        <v>7.6392449727554101</v>
      </c>
      <c r="AT23" s="30">
        <f t="shared" si="17"/>
        <v>8.5325226723398373</v>
      </c>
      <c r="AU23" s="30">
        <f t="shared" si="17"/>
        <v>11.35836589201706</v>
      </c>
      <c r="AV23" s="30">
        <f t="shared" si="17"/>
        <v>11.428918553857907</v>
      </c>
      <c r="AW23" s="30">
        <f t="shared" si="17"/>
        <v>12.053104174886512</v>
      </c>
      <c r="AX23" s="30">
        <f t="shared" ref="AX23:AZ23" si="18">SUM(AX12*100/AX6)</f>
        <v>5.9674001404055783</v>
      </c>
      <c r="AY23" s="30">
        <f t="shared" si="18"/>
        <v>7.6310673185905866</v>
      </c>
      <c r="AZ23" s="30">
        <f t="shared" si="18"/>
        <v>7.6709845436855284</v>
      </c>
      <c r="BA23" s="30">
        <f t="shared" ref="BA23" si="19">SUM(BA12*100/BA6)</f>
        <v>6.1755326492305347</v>
      </c>
    </row>
    <row r="24" spans="1:56" s="23" customFormat="1" ht="26.25" customHeight="1">
      <c r="A24" s="24" t="s">
        <v>26</v>
      </c>
      <c r="B24" s="30">
        <f t="shared" si="0"/>
        <v>10.401201499961736</v>
      </c>
      <c r="C24" s="30">
        <f t="shared" si="8"/>
        <v>9.9430732686177539</v>
      </c>
      <c r="D24" s="19" t="s">
        <v>20</v>
      </c>
      <c r="E24" s="30">
        <f t="shared" si="1"/>
        <v>9.6157297198904228</v>
      </c>
      <c r="F24" s="30">
        <f t="shared" ref="F24:AW24" si="20">SUM(F13*100/F6)</f>
        <v>7.6729949932386914</v>
      </c>
      <c r="G24" s="30">
        <f t="shared" si="20"/>
        <v>11.63644086245567</v>
      </c>
      <c r="H24" s="30">
        <f t="shared" si="20"/>
        <v>11.726206412953401</v>
      </c>
      <c r="I24" s="30">
        <f t="shared" si="20"/>
        <v>12.383389927545627</v>
      </c>
      <c r="J24" s="30">
        <f t="shared" si="20"/>
        <v>9.7047307989318092</v>
      </c>
      <c r="K24" s="30">
        <f t="shared" si="20"/>
        <v>12.250045085136774</v>
      </c>
      <c r="L24" s="30">
        <f t="shared" si="20"/>
        <v>12.948654267911339</v>
      </c>
      <c r="M24" s="30">
        <f t="shared" si="20"/>
        <v>13.50678553837548</v>
      </c>
      <c r="N24" s="30">
        <f t="shared" si="20"/>
        <v>10.688907203164069</v>
      </c>
      <c r="O24" s="30">
        <f t="shared" si="20"/>
        <v>11.333350643782254</v>
      </c>
      <c r="P24" s="30">
        <f t="shared" si="20"/>
        <v>14.72030887992268</v>
      </c>
      <c r="Q24" s="30">
        <f t="shared" si="20"/>
        <v>14.74879209411907</v>
      </c>
      <c r="R24" s="30">
        <f t="shared" si="20"/>
        <v>13.776872756589809</v>
      </c>
      <c r="S24" s="30">
        <f t="shared" si="20"/>
        <v>14.387611900030128</v>
      </c>
      <c r="T24" s="30">
        <f t="shared" si="20"/>
        <v>19.217578526606815</v>
      </c>
      <c r="U24" s="30">
        <f t="shared" si="20"/>
        <v>14.628270950178198</v>
      </c>
      <c r="V24" s="30">
        <f t="shared" si="20"/>
        <v>11.654103256253149</v>
      </c>
      <c r="W24" s="30">
        <f t="shared" si="20"/>
        <v>13.577500526180398</v>
      </c>
      <c r="X24" s="30">
        <f t="shared" si="20"/>
        <v>12.949491363778924</v>
      </c>
      <c r="Y24" s="30">
        <f t="shared" si="20"/>
        <v>17.205589339412271</v>
      </c>
      <c r="Z24" s="30">
        <f t="shared" si="20"/>
        <v>16.687669752595809</v>
      </c>
      <c r="AA24" s="30">
        <f t="shared" si="20"/>
        <v>13.426977606872034</v>
      </c>
      <c r="AB24" s="30">
        <f t="shared" si="20"/>
        <v>14.141819660789031</v>
      </c>
      <c r="AC24" s="30">
        <f t="shared" si="20"/>
        <v>13.198440408267539</v>
      </c>
      <c r="AD24" s="30">
        <f t="shared" si="20"/>
        <v>10.82671265184309</v>
      </c>
      <c r="AE24" s="30">
        <f t="shared" si="20"/>
        <v>13.3458572276053</v>
      </c>
      <c r="AF24" s="30">
        <f t="shared" si="20"/>
        <v>14.725622140328738</v>
      </c>
      <c r="AG24" s="30">
        <f t="shared" si="20"/>
        <v>13.342357763828767</v>
      </c>
      <c r="AH24" s="30">
        <f t="shared" si="20"/>
        <v>14.651662382578509</v>
      </c>
      <c r="AI24" s="30">
        <f t="shared" si="20"/>
        <v>14.376124207516034</v>
      </c>
      <c r="AJ24" s="30">
        <f t="shared" si="20"/>
        <v>14.403093988279835</v>
      </c>
      <c r="AK24" s="30">
        <f t="shared" si="20"/>
        <v>13.534207228198349</v>
      </c>
      <c r="AL24" s="30">
        <f t="shared" si="20"/>
        <v>13.116570437385096</v>
      </c>
      <c r="AM24" s="30">
        <f t="shared" si="20"/>
        <v>11.429474124644029</v>
      </c>
      <c r="AN24" s="30">
        <f t="shared" si="20"/>
        <v>15.974059212741251</v>
      </c>
      <c r="AO24" s="30">
        <f t="shared" si="20"/>
        <v>15.281254875003858</v>
      </c>
      <c r="AP24" s="30">
        <f t="shared" si="20"/>
        <v>13.574032486995051</v>
      </c>
      <c r="AQ24" s="30">
        <f t="shared" si="20"/>
        <v>14.179870618811281</v>
      </c>
      <c r="AR24" s="30">
        <f t="shared" si="20"/>
        <v>14.585199646011384</v>
      </c>
      <c r="AS24" s="30">
        <f t="shared" si="20"/>
        <v>17.645797328152792</v>
      </c>
      <c r="AT24" s="30">
        <f t="shared" si="20"/>
        <v>13.952482345719714</v>
      </c>
      <c r="AU24" s="30">
        <f t="shared" si="20"/>
        <v>15.731168926321672</v>
      </c>
      <c r="AV24" s="30">
        <f t="shared" si="20"/>
        <v>15.93229060376091</v>
      </c>
      <c r="AW24" s="30">
        <f t="shared" si="20"/>
        <v>12.576775161398016</v>
      </c>
      <c r="AX24" s="30">
        <f t="shared" ref="AX24:AZ24" si="21">SUM(AX13*100/AX6)</f>
        <v>14.567037955981791</v>
      </c>
      <c r="AY24" s="30">
        <f t="shared" si="21"/>
        <v>15.994059881032157</v>
      </c>
      <c r="AZ24" s="30">
        <f t="shared" si="21"/>
        <v>17.502640102627346</v>
      </c>
      <c r="BA24" s="30">
        <f t="shared" ref="BA24" si="22">SUM(BA13*100/BA6)</f>
        <v>15.115516305536191</v>
      </c>
    </row>
    <row r="25" spans="1:56" s="23" customFormat="1" ht="26.25" customHeight="1">
      <c r="A25" s="24" t="s">
        <v>27</v>
      </c>
      <c r="B25" s="30">
        <f t="shared" si="0"/>
        <v>35.83625326613388</v>
      </c>
      <c r="C25" s="30">
        <f t="shared" si="8"/>
        <v>47.074438949053182</v>
      </c>
      <c r="D25" s="19" t="s">
        <v>20</v>
      </c>
      <c r="E25" s="30">
        <f t="shared" si="1"/>
        <v>44.012303235388138</v>
      </c>
      <c r="F25" s="30">
        <f t="shared" ref="F25:AW25" si="23">SUM(F14*100/F6)</f>
        <v>35.929034299534635</v>
      </c>
      <c r="G25" s="30">
        <f t="shared" si="23"/>
        <v>42.849829203845594</v>
      </c>
      <c r="H25" s="30">
        <f t="shared" si="23"/>
        <v>43.898769681902209</v>
      </c>
      <c r="I25" s="30">
        <f t="shared" si="23"/>
        <v>50.283597450097183</v>
      </c>
      <c r="J25" s="30">
        <f t="shared" si="23"/>
        <v>42.562732461589761</v>
      </c>
      <c r="K25" s="30">
        <f t="shared" si="23"/>
        <v>45.488610486640781</v>
      </c>
      <c r="L25" s="30">
        <f t="shared" si="23"/>
        <v>42.847628480787144</v>
      </c>
      <c r="M25" s="30">
        <f t="shared" si="23"/>
        <v>41.593815667997454</v>
      </c>
      <c r="N25" s="30">
        <f t="shared" si="23"/>
        <v>45.615116859931049</v>
      </c>
      <c r="O25" s="30">
        <f t="shared" si="23"/>
        <v>47.287286207633507</v>
      </c>
      <c r="P25" s="30">
        <f t="shared" si="23"/>
        <v>44.577534437035581</v>
      </c>
      <c r="Q25" s="30">
        <f t="shared" si="23"/>
        <v>46.124186701891219</v>
      </c>
      <c r="R25" s="30">
        <f t="shared" si="23"/>
        <v>41.209759408614104</v>
      </c>
      <c r="S25" s="30">
        <f t="shared" si="23"/>
        <v>51.90057401879713</v>
      </c>
      <c r="T25" s="30">
        <f t="shared" si="23"/>
        <v>42.335506296943983</v>
      </c>
      <c r="U25" s="30">
        <f t="shared" si="23"/>
        <v>44.730402539381309</v>
      </c>
      <c r="V25" s="30">
        <f t="shared" si="23"/>
        <v>37.322195223358868</v>
      </c>
      <c r="W25" s="30">
        <f t="shared" si="23"/>
        <v>44.570420476602514</v>
      </c>
      <c r="X25" s="30">
        <f t="shared" si="23"/>
        <v>49.452102339869342</v>
      </c>
      <c r="Y25" s="30">
        <f t="shared" si="23"/>
        <v>49.629744760983712</v>
      </c>
      <c r="Z25" s="30">
        <f t="shared" si="23"/>
        <v>47.504988835023539</v>
      </c>
      <c r="AA25" s="30">
        <f t="shared" si="23"/>
        <v>49.421397669665843</v>
      </c>
      <c r="AB25" s="30">
        <f t="shared" si="23"/>
        <v>49.323439054735701</v>
      </c>
      <c r="AC25" s="30">
        <f t="shared" si="23"/>
        <v>49.934611501076631</v>
      </c>
      <c r="AD25" s="30">
        <f t="shared" si="23"/>
        <v>42.770071171488979</v>
      </c>
      <c r="AE25" s="30">
        <f t="shared" si="23"/>
        <v>47.515285742535099</v>
      </c>
      <c r="AF25" s="30">
        <f t="shared" si="23"/>
        <v>51.160469197268377</v>
      </c>
      <c r="AG25" s="30">
        <f t="shared" si="23"/>
        <v>53.427510841177423</v>
      </c>
      <c r="AH25" s="30">
        <f t="shared" si="23"/>
        <v>46.493491367387115</v>
      </c>
      <c r="AI25" s="30">
        <f t="shared" si="23"/>
        <v>48.036843269205434</v>
      </c>
      <c r="AJ25" s="30">
        <f t="shared" si="23"/>
        <v>44.967922259466953</v>
      </c>
      <c r="AK25" s="30">
        <f t="shared" si="23"/>
        <v>49.87661123870916</v>
      </c>
      <c r="AL25" s="30">
        <f t="shared" si="23"/>
        <v>48.939028890741127</v>
      </c>
      <c r="AM25" s="30">
        <f t="shared" si="23"/>
        <v>47.448755224810967</v>
      </c>
      <c r="AN25" s="30">
        <f t="shared" si="23"/>
        <v>46.570944669272997</v>
      </c>
      <c r="AO25" s="30">
        <f t="shared" si="23"/>
        <v>45.984665271285884</v>
      </c>
      <c r="AP25" s="30">
        <f t="shared" si="23"/>
        <v>46.904100855361456</v>
      </c>
      <c r="AQ25" s="30">
        <f t="shared" si="23"/>
        <v>34.441223858603685</v>
      </c>
      <c r="AR25" s="30">
        <f t="shared" si="23"/>
        <v>39.224017243371826</v>
      </c>
      <c r="AS25" s="30">
        <f t="shared" si="23"/>
        <v>45.421179913728558</v>
      </c>
      <c r="AT25" s="30">
        <f t="shared" si="23"/>
        <v>45.030846039375831</v>
      </c>
      <c r="AU25" s="30">
        <f t="shared" si="23"/>
        <v>45.85781979215831</v>
      </c>
      <c r="AV25" s="30">
        <f t="shared" si="23"/>
        <v>39.35431974163896</v>
      </c>
      <c r="AW25" s="30">
        <f t="shared" si="23"/>
        <v>50.892946180427593</v>
      </c>
      <c r="AX25" s="30">
        <f t="shared" ref="AX25:AZ25" si="24">SUM(AX14*100/AX6)</f>
        <v>46.27562381415585</v>
      </c>
      <c r="AY25" s="30">
        <f t="shared" si="24"/>
        <v>47.289634575132574</v>
      </c>
      <c r="AZ25" s="30">
        <f t="shared" si="24"/>
        <v>39.599176902232337</v>
      </c>
      <c r="BA25" s="30">
        <f t="shared" ref="BA25" si="25">SUM(BA14*100/BA6)</f>
        <v>47.718785558896897</v>
      </c>
    </row>
    <row r="26" spans="1:56" s="23" customFormat="1" ht="26.25" customHeight="1">
      <c r="A26" s="26" t="s">
        <v>28</v>
      </c>
      <c r="B26" s="30">
        <f t="shared" si="0"/>
        <v>20.673739190326778</v>
      </c>
      <c r="C26" s="30">
        <f t="shared" si="8"/>
        <v>20.402441663794278</v>
      </c>
      <c r="D26" s="19" t="s">
        <v>20</v>
      </c>
      <c r="E26" s="30">
        <f t="shared" si="1"/>
        <v>24.908906016737493</v>
      </c>
      <c r="F26" s="30">
        <f t="shared" ref="F26:AW26" si="26">SUM(F15*100/F6)</f>
        <v>24.375124199669447</v>
      </c>
      <c r="G26" s="30">
        <f t="shared" si="26"/>
        <v>27.028133598476249</v>
      </c>
      <c r="H26" s="30">
        <f t="shared" si="26"/>
        <v>25.233824185631416</v>
      </c>
      <c r="I26" s="30">
        <f t="shared" si="26"/>
        <v>20.890937597285983</v>
      </c>
      <c r="J26" s="30">
        <f t="shared" si="26"/>
        <v>17.814304049267275</v>
      </c>
      <c r="K26" s="30">
        <f t="shared" si="26"/>
        <v>20.739363130723707</v>
      </c>
      <c r="L26" s="30">
        <f t="shared" si="26"/>
        <v>27.211745399769136</v>
      </c>
      <c r="M26" s="30">
        <f t="shared" si="26"/>
        <v>24.071397278854317</v>
      </c>
      <c r="N26" s="30">
        <f t="shared" si="26"/>
        <v>17.622944549651752</v>
      </c>
      <c r="O26" s="30">
        <f t="shared" si="26"/>
        <v>23.171034558979695</v>
      </c>
      <c r="P26" s="30">
        <f t="shared" si="26"/>
        <v>24.262527929101655</v>
      </c>
      <c r="Q26" s="30">
        <f t="shared" si="26"/>
        <v>20.128805517394223</v>
      </c>
      <c r="R26" s="30">
        <f t="shared" si="26"/>
        <v>16.09141998417201</v>
      </c>
      <c r="S26" s="30">
        <f t="shared" si="26"/>
        <v>17.976141829374505</v>
      </c>
      <c r="T26" s="30">
        <f t="shared" si="26"/>
        <v>20.822524630037222</v>
      </c>
      <c r="U26" s="30">
        <f t="shared" si="26"/>
        <v>23.069271001011007</v>
      </c>
      <c r="V26" s="30">
        <f t="shared" si="26"/>
        <v>20.367461663859778</v>
      </c>
      <c r="W26" s="30">
        <f t="shared" si="26"/>
        <v>21.487140735717123</v>
      </c>
      <c r="X26" s="30">
        <f t="shared" si="26"/>
        <v>18.870234360218451</v>
      </c>
      <c r="Y26" s="30">
        <f t="shared" si="26"/>
        <v>18.949901310842424</v>
      </c>
      <c r="Z26" s="30">
        <f t="shared" si="26"/>
        <v>15.764929577497794</v>
      </c>
      <c r="AA26" s="30">
        <f t="shared" si="26"/>
        <v>18.497632351770232</v>
      </c>
      <c r="AB26" s="30">
        <f t="shared" si="26"/>
        <v>18.753254861468594</v>
      </c>
      <c r="AC26" s="30">
        <f t="shared" si="26"/>
        <v>20.642768944416733</v>
      </c>
      <c r="AD26" s="30">
        <f t="shared" si="26"/>
        <v>20.612249981718964</v>
      </c>
      <c r="AE26" s="30">
        <f t="shared" si="26"/>
        <v>18.099742930591258</v>
      </c>
      <c r="AF26" s="30">
        <f t="shared" si="26"/>
        <v>16.973326506971922</v>
      </c>
      <c r="AG26" s="30">
        <f t="shared" si="26"/>
        <v>21.831112553115457</v>
      </c>
      <c r="AH26" s="30">
        <f t="shared" si="26"/>
        <v>17.535374058322912</v>
      </c>
      <c r="AI26" s="30">
        <f t="shared" si="26"/>
        <v>13.785728143170447</v>
      </c>
      <c r="AJ26" s="30">
        <f t="shared" si="26"/>
        <v>16.754205034424235</v>
      </c>
      <c r="AK26" s="30">
        <f t="shared" si="26"/>
        <v>14.04161728345213</v>
      </c>
      <c r="AL26" s="30">
        <f t="shared" si="26"/>
        <v>15.747231560839792</v>
      </c>
      <c r="AM26" s="30">
        <f t="shared" si="26"/>
        <v>18.772516320196054</v>
      </c>
      <c r="AN26" s="30">
        <f t="shared" si="26"/>
        <v>15.03095305167545</v>
      </c>
      <c r="AO26" s="30">
        <f t="shared" si="26"/>
        <v>13.738104990585768</v>
      </c>
      <c r="AP26" s="30">
        <f t="shared" si="26"/>
        <v>13.554442697193496</v>
      </c>
      <c r="AQ26" s="30">
        <f t="shared" si="26"/>
        <v>16.126174996559012</v>
      </c>
      <c r="AR26" s="30">
        <f t="shared" si="26"/>
        <v>13.845189702685241</v>
      </c>
      <c r="AS26" s="30">
        <f t="shared" si="26"/>
        <v>13.267443698348258</v>
      </c>
      <c r="AT26" s="30">
        <f t="shared" si="26"/>
        <v>18.925461324512721</v>
      </c>
      <c r="AU26" s="30">
        <f t="shared" si="26"/>
        <v>14.14850167578537</v>
      </c>
      <c r="AV26" s="30">
        <f t="shared" si="26"/>
        <v>15.157826864116672</v>
      </c>
      <c r="AW26" s="30">
        <f t="shared" si="26"/>
        <v>12.832670687345269</v>
      </c>
      <c r="AX26" s="30">
        <f t="shared" ref="AX26:AZ26" si="27">SUM(AX15*100/AX6)</f>
        <v>15.689874898793018</v>
      </c>
      <c r="AY26" s="30">
        <f t="shared" si="27"/>
        <v>16.245894451200847</v>
      </c>
      <c r="AZ26" s="30">
        <f t="shared" si="27"/>
        <v>19.694417472478751</v>
      </c>
      <c r="BA26" s="30">
        <f t="shared" ref="BA26" si="28">SUM(BA15*100/BA6)</f>
        <v>14.046659275132289</v>
      </c>
    </row>
    <row r="27" spans="1:56" ht="9.75" customHeight="1">
      <c r="A27" s="31"/>
      <c r="B27" s="31"/>
      <c r="C27" s="31"/>
      <c r="D27" s="31"/>
      <c r="E27" s="31"/>
      <c r="F27" s="31"/>
      <c r="G27" s="32"/>
      <c r="H27" s="32"/>
      <c r="I27" s="32"/>
      <c r="J27" s="31"/>
      <c r="K27" s="32"/>
      <c r="L27" s="32"/>
      <c r="M27" s="32"/>
      <c r="N27" s="33"/>
      <c r="O27" s="33"/>
      <c r="P27" s="33"/>
      <c r="Q27" s="32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23"/>
      <c r="BC27" s="23"/>
      <c r="BD27" s="23"/>
    </row>
    <row r="28" spans="1:56" ht="30.75" customHeight="1">
      <c r="A28" s="34" t="s">
        <v>31</v>
      </c>
      <c r="P28" s="35"/>
      <c r="BB28" s="23"/>
      <c r="BC28" s="23"/>
      <c r="BD28" s="23"/>
    </row>
    <row r="29" spans="1:56" ht="30.75" customHeight="1">
      <c r="A29" s="5" t="s">
        <v>32</v>
      </c>
      <c r="P29" s="36"/>
      <c r="BB29" s="23"/>
      <c r="BC29" s="23"/>
      <c r="BD29" s="23"/>
    </row>
    <row r="30" spans="1:56" ht="30.75" customHeight="1">
      <c r="P30" s="36"/>
    </row>
    <row r="31" spans="1:56" ht="30.75" customHeight="1">
      <c r="P31" s="36"/>
    </row>
    <row r="32" spans="1:56" ht="30.75" customHeight="1">
      <c r="P32" s="36"/>
    </row>
    <row r="33" spans="16:16" s="5" customFormat="1" ht="30.75" customHeight="1">
      <c r="P33" s="36"/>
    </row>
    <row r="34" spans="16:16" s="5" customFormat="1" ht="30.75" customHeight="1">
      <c r="P34" s="36"/>
    </row>
    <row r="35" spans="16:16" s="5" customFormat="1" ht="30.75" customHeight="1">
      <c r="P35" s="36"/>
    </row>
    <row r="36" spans="16:16" s="5" customFormat="1" ht="30.75" customHeight="1">
      <c r="P36" s="36"/>
    </row>
    <row r="37" spans="16:16" s="5" customFormat="1" ht="30.75" customHeight="1">
      <c r="P37" s="36"/>
    </row>
    <row r="38" spans="16:16" s="5" customFormat="1" ht="30.75" customHeight="1">
      <c r="P38" s="36"/>
    </row>
    <row r="39" spans="16:16" s="5" customFormat="1" ht="30.75" customHeight="1">
      <c r="P39" s="36"/>
    </row>
    <row r="40" spans="16:16" s="5" customFormat="1" ht="30.75" customHeight="1">
      <c r="P40" s="36"/>
    </row>
    <row r="41" spans="16:16" s="5" customFormat="1" ht="30.75" customHeight="1">
      <c r="P41" s="36"/>
    </row>
  </sheetData>
  <sheetProtection selectLockedCells="1" selectUnlockedCells="1"/>
  <mergeCells count="16">
    <mergeCell ref="AX3:BA3"/>
    <mergeCell ref="AT3:AW3"/>
    <mergeCell ref="AL3:AO3"/>
    <mergeCell ref="AP3:AS3"/>
    <mergeCell ref="AH3:AK3"/>
    <mergeCell ref="AD3:AG3"/>
    <mergeCell ref="R3:U3"/>
    <mergeCell ref="A5:L5"/>
    <mergeCell ref="A16:L16"/>
    <mergeCell ref="V3:Y3"/>
    <mergeCell ref="Z3:AC3"/>
    <mergeCell ref="A3:A4"/>
    <mergeCell ref="B3:E3"/>
    <mergeCell ref="F3:I3"/>
    <mergeCell ref="J3:M3"/>
    <mergeCell ref="N3:Q3"/>
  </mergeCells>
  <pageMargins left="0.74791666666666667" right="0.11805555555555555" top="0.78749999999999998" bottom="0.78749999999999998" header="0.51180555555555551" footer="0.51180555555555551"/>
  <pageSetup paperSize="9" scale="90" firstPageNumber="0" orientation="portrait" horizontalDpi="300" verticalDpi="300" r:id="rId1"/>
  <headerFooter alignWithMargins="0">
    <oddHeader>&amp;C&amp;"Angsana New,ธรรมดา"&amp;15 &amp;"TH SarabunPSK,ตัวเอียง"&amp;16 29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5"/>
  <sheetViews>
    <sheetView workbookViewId="0">
      <pane xSplit="1" ySplit="3" topLeftCell="AW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8" defaultRowHeight="24"/>
  <cols>
    <col min="1" max="1" width="17.875" style="79" customWidth="1"/>
    <col min="2" max="6" width="9.75" style="83" customWidth="1"/>
    <col min="7" max="8" width="9.75" style="81" customWidth="1"/>
    <col min="9" max="10" width="9.75" style="83" customWidth="1"/>
    <col min="11" max="11" width="9.75" style="81" customWidth="1"/>
    <col min="12" max="15" width="9.75" style="83" customWidth="1"/>
    <col min="16" max="16" width="9.75" style="117" customWidth="1"/>
    <col min="17" max="28" width="9.75" style="81" customWidth="1"/>
    <col min="29" max="29" width="9.875" style="81" customWidth="1"/>
    <col min="30" max="53" width="9.875" style="83" customWidth="1"/>
    <col min="54" max="54" width="8.75" style="83" bestFit="1" customWidth="1"/>
    <col min="55" max="16384" width="8" style="83"/>
  </cols>
  <sheetData>
    <row r="1" spans="1:54" s="79" customFormat="1" ht="26.25" customHeight="1">
      <c r="A1" s="79" t="s">
        <v>62</v>
      </c>
      <c r="P1" s="80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54" ht="10.5" customHeight="1">
      <c r="B2" s="82"/>
      <c r="F2" s="82"/>
      <c r="J2" s="82"/>
      <c r="P2" s="84"/>
    </row>
    <row r="3" spans="1:54" s="86" customFormat="1" ht="26.25" customHeight="1">
      <c r="A3" s="249" t="s">
        <v>63</v>
      </c>
      <c r="B3" s="251" t="s">
        <v>2</v>
      </c>
      <c r="C3" s="251"/>
      <c r="D3" s="251"/>
      <c r="E3" s="251"/>
      <c r="F3" s="251" t="s">
        <v>3</v>
      </c>
      <c r="G3" s="251"/>
      <c r="H3" s="251"/>
      <c r="I3" s="85"/>
      <c r="J3" s="246" t="s">
        <v>4</v>
      </c>
      <c r="K3" s="246"/>
      <c r="L3" s="246"/>
      <c r="M3" s="246"/>
      <c r="N3" s="246" t="s">
        <v>5</v>
      </c>
      <c r="O3" s="246"/>
      <c r="P3" s="246"/>
      <c r="Q3" s="246"/>
      <c r="R3" s="246" t="s">
        <v>6</v>
      </c>
      <c r="S3" s="246"/>
      <c r="T3" s="246"/>
      <c r="U3" s="246"/>
      <c r="V3" s="246" t="s">
        <v>7</v>
      </c>
      <c r="W3" s="246"/>
      <c r="X3" s="246"/>
      <c r="Y3" s="246"/>
      <c r="Z3" s="246" t="s">
        <v>8</v>
      </c>
      <c r="AA3" s="246"/>
      <c r="AB3" s="246"/>
      <c r="AC3" s="246"/>
      <c r="AD3" s="246" t="s">
        <v>9</v>
      </c>
      <c r="AE3" s="246"/>
      <c r="AF3" s="246"/>
      <c r="AG3" s="246"/>
      <c r="AH3" s="246" t="s">
        <v>10</v>
      </c>
      <c r="AI3" s="246"/>
      <c r="AJ3" s="246"/>
      <c r="AK3" s="246"/>
      <c r="AL3" s="246" t="s">
        <v>11</v>
      </c>
      <c r="AM3" s="246"/>
      <c r="AN3" s="246"/>
      <c r="AO3" s="246"/>
      <c r="AP3" s="246" t="s">
        <v>12</v>
      </c>
      <c r="AQ3" s="246"/>
      <c r="AR3" s="246"/>
      <c r="AS3" s="246"/>
      <c r="AT3" s="246" t="s">
        <v>13</v>
      </c>
      <c r="AU3" s="246"/>
      <c r="AV3" s="246"/>
      <c r="AW3" s="246"/>
      <c r="AX3" s="246" t="s">
        <v>137</v>
      </c>
      <c r="AY3" s="246"/>
      <c r="AZ3" s="246"/>
      <c r="BA3" s="246"/>
    </row>
    <row r="4" spans="1:54" s="86" customFormat="1" ht="24" customHeight="1">
      <c r="A4" s="250"/>
      <c r="B4" s="85" t="s">
        <v>14</v>
      </c>
      <c r="C4" s="85" t="s">
        <v>15</v>
      </c>
      <c r="D4" s="85" t="s">
        <v>16</v>
      </c>
      <c r="E4" s="85" t="s">
        <v>17</v>
      </c>
      <c r="F4" s="85" t="s">
        <v>14</v>
      </c>
      <c r="G4" s="85" t="s">
        <v>15</v>
      </c>
      <c r="H4" s="85" t="s">
        <v>16</v>
      </c>
      <c r="I4" s="85" t="s">
        <v>17</v>
      </c>
      <c r="J4" s="87" t="s">
        <v>14</v>
      </c>
      <c r="K4" s="87" t="s">
        <v>15</v>
      </c>
      <c r="L4" s="87" t="s">
        <v>16</v>
      </c>
      <c r="M4" s="87" t="s">
        <v>17</v>
      </c>
      <c r="N4" s="88" t="s">
        <v>14</v>
      </c>
      <c r="O4" s="88" t="s">
        <v>15</v>
      </c>
      <c r="P4" s="88" t="s">
        <v>16</v>
      </c>
      <c r="Q4" s="88" t="s">
        <v>17</v>
      </c>
      <c r="R4" s="88" t="s">
        <v>14</v>
      </c>
      <c r="S4" s="88" t="s">
        <v>15</v>
      </c>
      <c r="T4" s="88" t="s">
        <v>16</v>
      </c>
      <c r="U4" s="88" t="s">
        <v>17</v>
      </c>
      <c r="V4" s="88" t="s">
        <v>14</v>
      </c>
      <c r="W4" s="88" t="s">
        <v>15</v>
      </c>
      <c r="X4" s="88" t="s">
        <v>16</v>
      </c>
      <c r="Y4" s="88" t="s">
        <v>17</v>
      </c>
      <c r="Z4" s="88" t="s">
        <v>14</v>
      </c>
      <c r="AA4" s="88" t="s">
        <v>15</v>
      </c>
      <c r="AB4" s="88" t="s">
        <v>16</v>
      </c>
      <c r="AC4" s="88" t="s">
        <v>17</v>
      </c>
      <c r="AD4" s="88" t="s">
        <v>14</v>
      </c>
      <c r="AE4" s="88" t="s">
        <v>15</v>
      </c>
      <c r="AF4" s="88" t="s">
        <v>16</v>
      </c>
      <c r="AG4" s="88" t="s">
        <v>17</v>
      </c>
      <c r="AH4" s="88" t="s">
        <v>14</v>
      </c>
      <c r="AI4" s="88" t="s">
        <v>15</v>
      </c>
      <c r="AJ4" s="88" t="s">
        <v>16</v>
      </c>
      <c r="AK4" s="88" t="s">
        <v>17</v>
      </c>
      <c r="AL4" s="88" t="s">
        <v>14</v>
      </c>
      <c r="AM4" s="88" t="s">
        <v>15</v>
      </c>
      <c r="AN4" s="88" t="s">
        <v>16</v>
      </c>
      <c r="AO4" s="88" t="s">
        <v>17</v>
      </c>
      <c r="AP4" s="88" t="s">
        <v>14</v>
      </c>
      <c r="AQ4" s="88" t="s">
        <v>15</v>
      </c>
      <c r="AR4" s="88" t="s">
        <v>16</v>
      </c>
      <c r="AS4" s="88" t="s">
        <v>17</v>
      </c>
      <c r="AT4" s="88" t="s">
        <v>14</v>
      </c>
      <c r="AU4" s="88" t="s">
        <v>15</v>
      </c>
      <c r="AV4" s="88" t="s">
        <v>16</v>
      </c>
      <c r="AW4" s="88" t="s">
        <v>17</v>
      </c>
      <c r="AX4" s="88" t="s">
        <v>14</v>
      </c>
      <c r="AY4" s="88" t="s">
        <v>15</v>
      </c>
      <c r="AZ4" s="88" t="s">
        <v>16</v>
      </c>
      <c r="BA4" s="88" t="s">
        <v>17</v>
      </c>
    </row>
    <row r="5" spans="1:54" s="86" customFormat="1" ht="18.75" customHeight="1">
      <c r="A5" s="247" t="s">
        <v>18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P5" s="89"/>
      <c r="Z5" s="90"/>
    </row>
    <row r="6" spans="1:54" s="81" customFormat="1" ht="21.75" customHeight="1">
      <c r="A6" s="91" t="s">
        <v>19</v>
      </c>
      <c r="B6" s="92">
        <v>1463504</v>
      </c>
      <c r="C6" s="92">
        <v>1496074</v>
      </c>
      <c r="D6" s="92" t="s">
        <v>64</v>
      </c>
      <c r="E6" s="92">
        <v>1554713</v>
      </c>
      <c r="F6" s="92">
        <v>1444247</v>
      </c>
      <c r="G6" s="92">
        <v>1502083</v>
      </c>
      <c r="H6" s="93">
        <v>1568700</v>
      </c>
      <c r="I6" s="94">
        <v>1596453</v>
      </c>
      <c r="J6" s="92">
        <v>1473724.65</v>
      </c>
      <c r="K6" s="92">
        <v>1558329.53</v>
      </c>
      <c r="L6" s="92">
        <v>1603167.91</v>
      </c>
      <c r="M6" s="92">
        <v>1616084.41</v>
      </c>
      <c r="N6" s="92">
        <v>1503381</v>
      </c>
      <c r="O6" s="92">
        <v>1501983</v>
      </c>
      <c r="P6" s="92">
        <v>1599586</v>
      </c>
      <c r="Q6" s="92">
        <v>1588286</v>
      </c>
      <c r="R6" s="92">
        <v>1349508.06</v>
      </c>
      <c r="S6" s="92">
        <v>1397340.87</v>
      </c>
      <c r="T6" s="92">
        <v>1405156</v>
      </c>
      <c r="U6" s="92">
        <v>1416408</v>
      </c>
      <c r="V6" s="92">
        <v>1362576</v>
      </c>
      <c r="W6" s="92">
        <v>1368351.78</v>
      </c>
      <c r="X6" s="92">
        <v>1366251.5</v>
      </c>
      <c r="Y6" s="92">
        <v>1389717</v>
      </c>
      <c r="Z6" s="92">
        <v>1280208</v>
      </c>
      <c r="AA6" s="92">
        <v>1315215.74</v>
      </c>
      <c r="AB6" s="92">
        <v>1332622.46</v>
      </c>
      <c r="AC6" s="92">
        <v>1315215.74</v>
      </c>
      <c r="AD6" s="92">
        <v>1244459</v>
      </c>
      <c r="AE6" s="92">
        <v>1264250</v>
      </c>
      <c r="AF6" s="92">
        <v>1361389</v>
      </c>
      <c r="AG6" s="92">
        <v>1306823</v>
      </c>
      <c r="AH6" s="92">
        <v>1236358</v>
      </c>
      <c r="AI6" s="92">
        <v>1252549</v>
      </c>
      <c r="AJ6" s="92">
        <v>1299811</v>
      </c>
      <c r="AK6" s="92">
        <v>1263081</v>
      </c>
      <c r="AL6" s="92">
        <v>1184151</v>
      </c>
      <c r="AM6" s="92">
        <v>1171095</v>
      </c>
      <c r="AN6" s="92">
        <v>1164344</v>
      </c>
      <c r="AO6" s="92">
        <v>1198717</v>
      </c>
      <c r="AP6" s="92">
        <v>1123034</v>
      </c>
      <c r="AQ6" s="92">
        <v>1235110.23</v>
      </c>
      <c r="AR6" s="92">
        <v>1289307</v>
      </c>
      <c r="AS6" s="92">
        <v>1347607</v>
      </c>
      <c r="AT6" s="92">
        <v>1098034</v>
      </c>
      <c r="AU6" s="92">
        <v>1173778</v>
      </c>
      <c r="AV6" s="92">
        <v>1259323</v>
      </c>
      <c r="AW6" s="92">
        <v>1153205</v>
      </c>
      <c r="AX6" s="92">
        <v>1226447</v>
      </c>
      <c r="AY6" s="92">
        <v>1208730</v>
      </c>
      <c r="AZ6" s="92">
        <v>1269837</v>
      </c>
      <c r="BA6" s="92">
        <v>1166199</v>
      </c>
      <c r="BB6" s="86"/>
    </row>
    <row r="7" spans="1:54" s="81" customFormat="1" ht="21" customHeight="1">
      <c r="A7" s="91"/>
      <c r="B7" s="92"/>
      <c r="C7" s="92"/>
      <c r="D7" s="95"/>
      <c r="E7" s="92"/>
      <c r="F7" s="96"/>
      <c r="G7" s="92"/>
      <c r="H7" s="97"/>
      <c r="I7" s="97"/>
      <c r="J7" s="92"/>
      <c r="K7" s="92"/>
      <c r="L7" s="92"/>
      <c r="M7" s="98"/>
      <c r="N7" s="92"/>
      <c r="O7" s="92"/>
      <c r="P7" s="92"/>
      <c r="Q7" s="98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86"/>
    </row>
    <row r="8" spans="1:54" s="81" customFormat="1" ht="21" customHeight="1">
      <c r="A8" s="99" t="s">
        <v>65</v>
      </c>
      <c r="B8" s="95">
        <v>44706</v>
      </c>
      <c r="C8" s="95">
        <v>28861</v>
      </c>
      <c r="D8" s="95" t="s">
        <v>64</v>
      </c>
      <c r="E8" s="95">
        <v>25629</v>
      </c>
      <c r="F8" s="100">
        <v>22250</v>
      </c>
      <c r="G8" s="95">
        <v>24912</v>
      </c>
      <c r="H8" s="101">
        <v>33272.730000000003</v>
      </c>
      <c r="I8" s="101">
        <v>24978</v>
      </c>
      <c r="J8" s="95">
        <v>32032.67</v>
      </c>
      <c r="K8" s="95">
        <v>31257.7</v>
      </c>
      <c r="L8" s="95">
        <v>27461</v>
      </c>
      <c r="M8" s="95">
        <v>26709.11</v>
      </c>
      <c r="N8" s="95">
        <v>21672</v>
      </c>
      <c r="O8" s="95">
        <v>29505</v>
      </c>
      <c r="P8" s="95">
        <v>12589</v>
      </c>
      <c r="Q8" s="95">
        <v>24784</v>
      </c>
      <c r="R8" s="95">
        <v>13702</v>
      </c>
      <c r="S8" s="95">
        <v>18722.509999999998</v>
      </c>
      <c r="T8" s="95">
        <v>14479</v>
      </c>
      <c r="U8" s="95">
        <v>15792</v>
      </c>
      <c r="V8" s="95">
        <v>22971</v>
      </c>
      <c r="W8" s="95">
        <v>16917.419999999998</v>
      </c>
      <c r="X8" s="95">
        <v>26460.560000000001</v>
      </c>
      <c r="Y8" s="95">
        <v>20212</v>
      </c>
      <c r="Z8" s="95">
        <v>20173</v>
      </c>
      <c r="AA8" s="95">
        <v>24992.99</v>
      </c>
      <c r="AB8" s="95">
        <v>25526.560000000001</v>
      </c>
      <c r="AC8" s="95">
        <v>24992.99</v>
      </c>
      <c r="AD8" s="95">
        <v>15949</v>
      </c>
      <c r="AE8" s="95">
        <v>18939</v>
      </c>
      <c r="AF8" s="95">
        <v>19244</v>
      </c>
      <c r="AG8" s="95">
        <v>12867</v>
      </c>
      <c r="AH8" s="95">
        <v>11120</v>
      </c>
      <c r="AI8" s="95">
        <v>12897</v>
      </c>
      <c r="AJ8" s="95">
        <v>16720</v>
      </c>
      <c r="AK8" s="95">
        <v>8922</v>
      </c>
      <c r="AL8" s="95">
        <v>11735</v>
      </c>
      <c r="AM8" s="95">
        <v>11739</v>
      </c>
      <c r="AN8" s="95">
        <v>10350</v>
      </c>
      <c r="AO8" s="95">
        <v>7961</v>
      </c>
      <c r="AP8" s="95">
        <v>7462</v>
      </c>
      <c r="AQ8" s="95">
        <v>9185</v>
      </c>
      <c r="AR8" s="95">
        <v>14006</v>
      </c>
      <c r="AS8" s="95">
        <v>9863</v>
      </c>
      <c r="AT8" s="95">
        <v>9489</v>
      </c>
      <c r="AU8" s="95">
        <v>12066</v>
      </c>
      <c r="AV8" s="95">
        <v>12999</v>
      </c>
      <c r="AW8" s="95">
        <v>8265</v>
      </c>
      <c r="AX8" s="95">
        <v>12603</v>
      </c>
      <c r="AY8" s="95">
        <v>9229</v>
      </c>
      <c r="AZ8" s="95">
        <v>5285</v>
      </c>
      <c r="BA8" s="95">
        <v>6427</v>
      </c>
    </row>
    <row r="9" spans="1:54" s="81" customFormat="1" ht="21" customHeight="1">
      <c r="A9" s="81" t="s">
        <v>66</v>
      </c>
      <c r="B9" s="95">
        <v>453805</v>
      </c>
      <c r="C9" s="95">
        <v>469178</v>
      </c>
      <c r="D9" s="95" t="s">
        <v>64</v>
      </c>
      <c r="E9" s="95">
        <v>521526</v>
      </c>
      <c r="F9" s="100">
        <v>398086</v>
      </c>
      <c r="G9" s="95">
        <v>417224</v>
      </c>
      <c r="H9" s="101">
        <v>489010.57</v>
      </c>
      <c r="I9" s="101">
        <v>509873</v>
      </c>
      <c r="J9" s="95">
        <v>391658.95</v>
      </c>
      <c r="K9" s="95">
        <v>454137.73</v>
      </c>
      <c r="L9" s="95">
        <v>455709</v>
      </c>
      <c r="M9" s="95">
        <v>432298.27</v>
      </c>
      <c r="N9" s="95">
        <v>386495</v>
      </c>
      <c r="O9" s="95">
        <v>376589</v>
      </c>
      <c r="P9" s="95">
        <v>480175</v>
      </c>
      <c r="Q9" s="95">
        <v>397883</v>
      </c>
      <c r="R9" s="95">
        <v>361537</v>
      </c>
      <c r="S9" s="95">
        <v>377783.69</v>
      </c>
      <c r="T9" s="95">
        <v>379919</v>
      </c>
      <c r="U9" s="95">
        <v>386459</v>
      </c>
      <c r="V9" s="95">
        <v>423842</v>
      </c>
      <c r="W9" s="95">
        <v>420027.93</v>
      </c>
      <c r="X9" s="95">
        <v>413031.04</v>
      </c>
      <c r="Y9" s="95">
        <v>408283</v>
      </c>
      <c r="Z9" s="95">
        <v>354825</v>
      </c>
      <c r="AA9" s="95">
        <v>355314.84</v>
      </c>
      <c r="AB9" s="95">
        <v>363625.45</v>
      </c>
      <c r="AC9" s="95">
        <v>355314.84</v>
      </c>
      <c r="AD9" s="95">
        <v>295103</v>
      </c>
      <c r="AE9" s="95">
        <v>324126</v>
      </c>
      <c r="AF9" s="95">
        <v>366565</v>
      </c>
      <c r="AG9" s="95">
        <v>343970</v>
      </c>
      <c r="AH9" s="95">
        <v>305680</v>
      </c>
      <c r="AI9" s="95">
        <v>319736</v>
      </c>
      <c r="AJ9" s="95">
        <v>344400</v>
      </c>
      <c r="AK9" s="95">
        <v>351279</v>
      </c>
      <c r="AL9" s="95">
        <v>243023</v>
      </c>
      <c r="AM9" s="95">
        <v>260043</v>
      </c>
      <c r="AN9" s="95">
        <v>248051</v>
      </c>
      <c r="AO9" s="95">
        <v>273701</v>
      </c>
      <c r="AP9" s="95">
        <v>215597</v>
      </c>
      <c r="AQ9" s="95">
        <v>301576</v>
      </c>
      <c r="AR9" s="95">
        <v>317207</v>
      </c>
      <c r="AS9" s="95">
        <v>316074</v>
      </c>
      <c r="AT9" s="95">
        <v>226980</v>
      </c>
      <c r="AU9" s="95">
        <v>257085</v>
      </c>
      <c r="AV9" s="95">
        <v>292210</v>
      </c>
      <c r="AW9" s="95">
        <v>254936</v>
      </c>
      <c r="AX9" s="95">
        <v>214265</v>
      </c>
      <c r="AY9" s="95">
        <v>231953</v>
      </c>
      <c r="AZ9" s="95">
        <v>235579</v>
      </c>
      <c r="BA9" s="95">
        <v>208026</v>
      </c>
    </row>
    <row r="10" spans="1:54" s="81" customFormat="1" ht="21" customHeight="1">
      <c r="A10" s="102" t="s">
        <v>67</v>
      </c>
      <c r="B10" s="95">
        <v>305095</v>
      </c>
      <c r="C10" s="95">
        <v>319050</v>
      </c>
      <c r="D10" s="95" t="s">
        <v>64</v>
      </c>
      <c r="E10" s="95">
        <v>346634</v>
      </c>
      <c r="F10" s="100">
        <v>326078</v>
      </c>
      <c r="G10" s="95">
        <v>339927</v>
      </c>
      <c r="H10" s="101">
        <v>361150.71999999997</v>
      </c>
      <c r="I10" s="101">
        <v>380816</v>
      </c>
      <c r="J10" s="95">
        <v>309383.31</v>
      </c>
      <c r="K10" s="95">
        <v>341352.69</v>
      </c>
      <c r="L10" s="95">
        <v>347092</v>
      </c>
      <c r="M10" s="95">
        <v>345955.89</v>
      </c>
      <c r="N10" s="95">
        <v>334184</v>
      </c>
      <c r="O10" s="95">
        <v>323091</v>
      </c>
      <c r="P10" s="95">
        <v>286467</v>
      </c>
      <c r="Q10" s="95">
        <v>391683</v>
      </c>
      <c r="R10" s="95">
        <v>319814</v>
      </c>
      <c r="S10" s="95">
        <v>334375.58</v>
      </c>
      <c r="T10" s="95">
        <v>355026</v>
      </c>
      <c r="U10" s="95">
        <v>347138</v>
      </c>
      <c r="V10" s="95">
        <v>280261</v>
      </c>
      <c r="W10" s="95">
        <v>295427.62</v>
      </c>
      <c r="X10" s="95">
        <v>320143.35999999999</v>
      </c>
      <c r="Y10" s="95">
        <v>324001</v>
      </c>
      <c r="Z10" s="95">
        <v>287564.07</v>
      </c>
      <c r="AA10" s="95">
        <v>317249.58</v>
      </c>
      <c r="AB10" s="95">
        <v>317982.59000000003</v>
      </c>
      <c r="AC10" s="95">
        <v>317249.58</v>
      </c>
      <c r="AD10" s="95">
        <v>308019</v>
      </c>
      <c r="AE10" s="95">
        <v>302229</v>
      </c>
      <c r="AF10" s="95">
        <v>330202</v>
      </c>
      <c r="AG10" s="95">
        <v>315207</v>
      </c>
      <c r="AH10" s="95">
        <v>294491</v>
      </c>
      <c r="AI10" s="95">
        <v>303736</v>
      </c>
      <c r="AJ10" s="95">
        <v>304835</v>
      </c>
      <c r="AK10" s="95">
        <v>259513</v>
      </c>
      <c r="AL10" s="95">
        <v>266160</v>
      </c>
      <c r="AM10" s="95">
        <v>258295</v>
      </c>
      <c r="AN10" s="95">
        <v>245963</v>
      </c>
      <c r="AO10" s="95">
        <v>291203</v>
      </c>
      <c r="AP10" s="95">
        <v>263776</v>
      </c>
      <c r="AQ10" s="95">
        <v>262949.71000000002</v>
      </c>
      <c r="AR10" s="95">
        <v>294414</v>
      </c>
      <c r="AS10" s="95">
        <v>312398</v>
      </c>
      <c r="AT10" s="95">
        <v>229964</v>
      </c>
      <c r="AU10" s="95">
        <v>240013</v>
      </c>
      <c r="AV10" s="95">
        <v>250592</v>
      </c>
      <c r="AW10" s="95">
        <v>266680</v>
      </c>
      <c r="AX10" s="95">
        <v>309614</v>
      </c>
      <c r="AY10" s="95">
        <v>265615</v>
      </c>
      <c r="AZ10" s="95">
        <v>293190</v>
      </c>
      <c r="BA10" s="95">
        <v>278992</v>
      </c>
    </row>
    <row r="11" spans="1:54" s="81" customFormat="1" ht="21" customHeight="1">
      <c r="A11" s="102" t="s">
        <v>68</v>
      </c>
      <c r="B11" s="95">
        <v>225254</v>
      </c>
      <c r="C11" s="95">
        <v>286358</v>
      </c>
      <c r="D11" s="95" t="s">
        <v>64</v>
      </c>
      <c r="E11" s="95">
        <v>260481</v>
      </c>
      <c r="F11" s="100">
        <v>248108</v>
      </c>
      <c r="G11" s="95">
        <v>270739</v>
      </c>
      <c r="H11" s="101">
        <v>235984.36</v>
      </c>
      <c r="I11" s="101">
        <v>242670</v>
      </c>
      <c r="J11" s="95">
        <v>244609.41</v>
      </c>
      <c r="K11" s="95">
        <v>267954.65999999997</v>
      </c>
      <c r="L11" s="95">
        <v>280055</v>
      </c>
      <c r="M11" s="95">
        <v>283460.28000000003</v>
      </c>
      <c r="N11" s="95">
        <v>299458</v>
      </c>
      <c r="O11" s="95">
        <v>301930</v>
      </c>
      <c r="P11" s="95">
        <v>304410</v>
      </c>
      <c r="Q11" s="95">
        <v>310660</v>
      </c>
      <c r="R11" s="95">
        <v>228345</v>
      </c>
      <c r="S11" s="95">
        <v>243252.58</v>
      </c>
      <c r="T11" s="95">
        <v>246806</v>
      </c>
      <c r="U11" s="95">
        <v>220463</v>
      </c>
      <c r="V11" s="95">
        <v>216665</v>
      </c>
      <c r="W11" s="95">
        <v>227393.65</v>
      </c>
      <c r="X11" s="95">
        <v>243407.12</v>
      </c>
      <c r="Y11" s="95">
        <v>244444</v>
      </c>
      <c r="Z11" s="95">
        <v>230308</v>
      </c>
      <c r="AA11" s="95">
        <v>223382.42</v>
      </c>
      <c r="AB11" s="95">
        <v>224404.25</v>
      </c>
      <c r="AC11" s="95">
        <v>223382.42</v>
      </c>
      <c r="AD11" s="95">
        <v>215109</v>
      </c>
      <c r="AE11" s="95">
        <v>205328</v>
      </c>
      <c r="AF11" s="95">
        <v>213970</v>
      </c>
      <c r="AG11" s="95">
        <v>239444</v>
      </c>
      <c r="AH11" s="95">
        <v>217480</v>
      </c>
      <c r="AI11" s="95">
        <v>182053</v>
      </c>
      <c r="AJ11" s="95">
        <v>213650</v>
      </c>
      <c r="AK11" s="95">
        <v>218730</v>
      </c>
      <c r="AL11" s="95">
        <v>211010</v>
      </c>
      <c r="AM11" s="95">
        <v>207521</v>
      </c>
      <c r="AN11" s="95">
        <v>227964</v>
      </c>
      <c r="AO11" s="95">
        <v>198107</v>
      </c>
      <c r="AP11" s="95">
        <v>174376</v>
      </c>
      <c r="AQ11" s="95">
        <v>206624</v>
      </c>
      <c r="AR11" s="95">
        <v>229342</v>
      </c>
      <c r="AS11" s="95">
        <v>259745</v>
      </c>
      <c r="AT11" s="95">
        <v>192423</v>
      </c>
      <c r="AU11" s="95">
        <v>231050</v>
      </c>
      <c r="AV11" s="95">
        <v>233536</v>
      </c>
      <c r="AW11" s="95">
        <v>221487</v>
      </c>
      <c r="AX11" s="95">
        <v>231089</v>
      </c>
      <c r="AY11" s="95">
        <v>217772</v>
      </c>
      <c r="AZ11" s="95">
        <v>261562</v>
      </c>
      <c r="BA11" s="95">
        <v>240641</v>
      </c>
    </row>
    <row r="12" spans="1:54" s="81" customFormat="1" ht="21" customHeight="1">
      <c r="A12" s="81" t="s">
        <v>69</v>
      </c>
      <c r="B12" s="95">
        <v>247863</v>
      </c>
      <c r="C12" s="95">
        <v>206367</v>
      </c>
      <c r="D12" s="95" t="s">
        <v>64</v>
      </c>
      <c r="E12" s="95">
        <v>199002</v>
      </c>
      <c r="F12" s="100">
        <v>226873</v>
      </c>
      <c r="G12" s="95">
        <v>238024</v>
      </c>
      <c r="H12" s="101">
        <v>230959.09</v>
      </c>
      <c r="I12" s="101">
        <v>221781</v>
      </c>
      <c r="J12" s="95">
        <v>246912.47</v>
      </c>
      <c r="K12" s="95">
        <v>258770.34</v>
      </c>
      <c r="L12" s="95">
        <v>269130</v>
      </c>
      <c r="M12" s="95">
        <v>276527.94</v>
      </c>
      <c r="N12" s="95">
        <v>242934</v>
      </c>
      <c r="O12" s="95">
        <v>236969</v>
      </c>
      <c r="P12" s="95">
        <v>287036</v>
      </c>
      <c r="Q12" s="95">
        <v>246114</v>
      </c>
      <c r="R12" s="95">
        <v>226162</v>
      </c>
      <c r="S12" s="95">
        <v>234933.38999999998</v>
      </c>
      <c r="T12" s="95">
        <v>217842</v>
      </c>
      <c r="U12" s="95">
        <v>249638</v>
      </c>
      <c r="V12" s="95">
        <v>222088</v>
      </c>
      <c r="W12" s="95">
        <v>229620.31</v>
      </c>
      <c r="X12" s="95">
        <v>210215.87</v>
      </c>
      <c r="Y12" s="95">
        <v>222009</v>
      </c>
      <c r="Z12" s="95">
        <v>206323.66</v>
      </c>
      <c r="AA12" s="95">
        <v>210273.71</v>
      </c>
      <c r="AB12" s="95">
        <v>212113.49</v>
      </c>
      <c r="AC12" s="95">
        <v>210273.71</v>
      </c>
      <c r="AD12" s="95">
        <v>211704</v>
      </c>
      <c r="AE12" s="95">
        <v>219194</v>
      </c>
      <c r="AF12" s="95">
        <v>230011</v>
      </c>
      <c r="AG12" s="95">
        <v>197358</v>
      </c>
      <c r="AH12" s="95">
        <v>228554</v>
      </c>
      <c r="AI12" s="95">
        <v>253329</v>
      </c>
      <c r="AJ12" s="95">
        <v>222959</v>
      </c>
      <c r="AK12" s="95">
        <v>234961</v>
      </c>
      <c r="AL12" s="95">
        <v>240819</v>
      </c>
      <c r="AM12" s="95">
        <v>242008</v>
      </c>
      <c r="AN12" s="95">
        <v>230896</v>
      </c>
      <c r="AO12" s="95">
        <v>241262</v>
      </c>
      <c r="AP12" s="95">
        <v>253252</v>
      </c>
      <c r="AQ12" s="95">
        <v>252638.52</v>
      </c>
      <c r="AR12" s="95">
        <v>248601</v>
      </c>
      <c r="AS12" s="95">
        <v>259169</v>
      </c>
      <c r="AT12" s="95">
        <v>231810</v>
      </c>
      <c r="AU12" s="95">
        <v>248367</v>
      </c>
      <c r="AV12" s="95">
        <v>259870</v>
      </c>
      <c r="AW12" s="95">
        <v>221527</v>
      </c>
      <c r="AX12" s="95">
        <v>239423</v>
      </c>
      <c r="AY12" s="95">
        <v>244321</v>
      </c>
      <c r="AZ12" s="95">
        <v>243120</v>
      </c>
      <c r="BA12" s="95">
        <v>204680</v>
      </c>
    </row>
    <row r="13" spans="1:54" s="81" customFormat="1" ht="21" customHeight="1">
      <c r="A13" s="103" t="s">
        <v>70</v>
      </c>
      <c r="B13" s="95">
        <v>189018</v>
      </c>
      <c r="C13" s="95">
        <v>172923</v>
      </c>
      <c r="D13" s="95" t="s">
        <v>64</v>
      </c>
      <c r="E13" s="95">
        <v>165175</v>
      </c>
      <c r="F13" s="100">
        <v>184857</v>
      </c>
      <c r="G13" s="95">
        <v>194957</v>
      </c>
      <c r="H13" s="101">
        <v>203592.63</v>
      </c>
      <c r="I13" s="101">
        <v>190850</v>
      </c>
      <c r="J13" s="95">
        <v>199634.53</v>
      </c>
      <c r="K13" s="95">
        <v>219949.76</v>
      </c>
      <c r="L13" s="95">
        <v>219190</v>
      </c>
      <c r="M13" s="95">
        <v>223623.28</v>
      </c>
      <c r="N13" s="95">
        <v>196864</v>
      </c>
      <c r="O13" s="95">
        <v>190220</v>
      </c>
      <c r="P13" s="95">
        <v>230788</v>
      </c>
      <c r="Q13" s="95">
        <v>213368</v>
      </c>
      <c r="R13" s="95">
        <v>192312</v>
      </c>
      <c r="S13" s="95">
        <v>185925.61</v>
      </c>
      <c r="T13" s="95">
        <v>181209</v>
      </c>
      <c r="U13" s="95">
        <v>203231</v>
      </c>
      <c r="V13" s="95">
        <v>185858</v>
      </c>
      <c r="W13" s="95">
        <v>196383.03</v>
      </c>
      <c r="X13" s="95">
        <v>171123.37</v>
      </c>
      <c r="Y13" s="95">
        <v>192756</v>
      </c>
      <c r="Z13" s="95">
        <v>172931.66</v>
      </c>
      <c r="AA13" s="95">
        <v>177691.71</v>
      </c>
      <c r="AB13" s="95">
        <v>176852.05</v>
      </c>
      <c r="AC13" s="95">
        <v>177691.71</v>
      </c>
      <c r="AD13" s="95">
        <v>172000</v>
      </c>
      <c r="AE13" s="95">
        <v>181675</v>
      </c>
      <c r="AF13" s="95">
        <v>192081</v>
      </c>
      <c r="AG13" s="95">
        <v>156689</v>
      </c>
      <c r="AH13" s="95">
        <v>191501</v>
      </c>
      <c r="AI13" s="95">
        <v>206670</v>
      </c>
      <c r="AJ13" s="95">
        <v>173647</v>
      </c>
      <c r="AK13" s="95">
        <v>206166</v>
      </c>
      <c r="AL13" s="95">
        <v>193584</v>
      </c>
      <c r="AM13" s="95">
        <v>170334</v>
      </c>
      <c r="AN13" s="95">
        <v>186238</v>
      </c>
      <c r="AO13" s="95">
        <v>208608</v>
      </c>
      <c r="AP13" s="95">
        <v>211811</v>
      </c>
      <c r="AQ13" s="95">
        <v>215319</v>
      </c>
      <c r="AR13" s="95">
        <v>205190</v>
      </c>
      <c r="AS13" s="95">
        <v>228525</v>
      </c>
      <c r="AT13" s="95">
        <v>180508</v>
      </c>
      <c r="AU13" s="95">
        <v>199389</v>
      </c>
      <c r="AV13" s="95">
        <v>217834</v>
      </c>
      <c r="AW13" s="95">
        <v>186127</v>
      </c>
      <c r="AX13" s="95">
        <v>193094</v>
      </c>
      <c r="AY13" s="95">
        <v>200623</v>
      </c>
      <c r="AZ13" s="95">
        <v>212503</v>
      </c>
      <c r="BA13" s="95">
        <v>169760</v>
      </c>
    </row>
    <row r="14" spans="1:54" s="81" customFormat="1" ht="21" customHeight="1">
      <c r="A14" s="103" t="s">
        <v>71</v>
      </c>
      <c r="B14" s="95">
        <v>58845</v>
      </c>
      <c r="C14" s="95">
        <v>33444</v>
      </c>
      <c r="D14" s="95" t="s">
        <v>64</v>
      </c>
      <c r="E14" s="95">
        <v>33827</v>
      </c>
      <c r="F14" s="100">
        <v>42016</v>
      </c>
      <c r="G14" s="95">
        <v>43067</v>
      </c>
      <c r="H14" s="101">
        <v>27148.5</v>
      </c>
      <c r="I14" s="101">
        <v>30242</v>
      </c>
      <c r="J14" s="95">
        <v>47277.94</v>
      </c>
      <c r="K14" s="95">
        <v>38409.08</v>
      </c>
      <c r="L14" s="95">
        <v>49940</v>
      </c>
      <c r="M14" s="95">
        <v>52904.66</v>
      </c>
      <c r="N14" s="95">
        <v>46070</v>
      </c>
      <c r="O14" s="95">
        <v>46749</v>
      </c>
      <c r="P14" s="95">
        <v>49679</v>
      </c>
      <c r="Q14" s="95">
        <v>32048</v>
      </c>
      <c r="R14" s="95">
        <v>33850</v>
      </c>
      <c r="S14" s="95">
        <v>49007.78</v>
      </c>
      <c r="T14" s="95">
        <v>36633</v>
      </c>
      <c r="U14" s="95">
        <v>46407</v>
      </c>
      <c r="V14" s="95">
        <v>36230</v>
      </c>
      <c r="W14" s="95">
        <v>33237.279999999999</v>
      </c>
      <c r="X14" s="95">
        <v>39092.5</v>
      </c>
      <c r="Y14" s="95">
        <v>29253</v>
      </c>
      <c r="Z14" s="95">
        <v>33392</v>
      </c>
      <c r="AA14" s="95">
        <v>32582</v>
      </c>
      <c r="AB14" s="95">
        <v>35261.440000000002</v>
      </c>
      <c r="AC14" s="95">
        <v>32582</v>
      </c>
      <c r="AD14" s="95">
        <v>39704</v>
      </c>
      <c r="AE14" s="95">
        <v>37519</v>
      </c>
      <c r="AF14" s="95">
        <v>37930</v>
      </c>
      <c r="AG14" s="95">
        <v>40669</v>
      </c>
      <c r="AH14" s="95">
        <v>36840</v>
      </c>
      <c r="AI14" s="95">
        <v>46659</v>
      </c>
      <c r="AJ14" s="95">
        <v>49312</v>
      </c>
      <c r="AK14" s="95">
        <v>28795</v>
      </c>
      <c r="AL14" s="95">
        <v>46793</v>
      </c>
      <c r="AM14" s="95">
        <v>71674</v>
      </c>
      <c r="AN14" s="95">
        <v>44658</v>
      </c>
      <c r="AO14" s="95">
        <v>32654</v>
      </c>
      <c r="AP14" s="95">
        <v>41441</v>
      </c>
      <c r="AQ14" s="95">
        <v>37319.519999999997</v>
      </c>
      <c r="AR14" s="95">
        <v>43411</v>
      </c>
      <c r="AS14" s="95">
        <v>30644</v>
      </c>
      <c r="AT14" s="95">
        <v>50845</v>
      </c>
      <c r="AU14" s="95">
        <v>48978</v>
      </c>
      <c r="AV14" s="95">
        <v>42036</v>
      </c>
      <c r="AW14" s="95">
        <v>35400</v>
      </c>
      <c r="AX14" s="95">
        <v>46329</v>
      </c>
      <c r="AY14" s="95">
        <v>43698</v>
      </c>
      <c r="AZ14" s="95">
        <v>30617</v>
      </c>
      <c r="BA14" s="95">
        <v>34920</v>
      </c>
    </row>
    <row r="15" spans="1:54" s="81" customFormat="1" ht="21" customHeight="1">
      <c r="A15" s="104" t="s">
        <v>72</v>
      </c>
      <c r="B15" s="105">
        <v>0</v>
      </c>
      <c r="C15" s="105">
        <v>0</v>
      </c>
      <c r="D15" s="95" t="s">
        <v>64</v>
      </c>
      <c r="E15" s="105">
        <v>0</v>
      </c>
      <c r="F15" s="105">
        <v>0</v>
      </c>
      <c r="G15" s="105">
        <v>0</v>
      </c>
      <c r="H15" s="101">
        <v>217.96</v>
      </c>
      <c r="I15" s="101">
        <v>690</v>
      </c>
      <c r="J15" s="105">
        <v>0</v>
      </c>
      <c r="K15" s="95">
        <v>411.5</v>
      </c>
      <c r="L15" s="105">
        <v>0</v>
      </c>
      <c r="M15" s="105">
        <v>0</v>
      </c>
      <c r="N15" s="105">
        <v>0</v>
      </c>
      <c r="O15" s="105">
        <v>0</v>
      </c>
      <c r="P15" s="105">
        <v>6569</v>
      </c>
      <c r="Q15" s="105">
        <v>698</v>
      </c>
      <c r="R15" s="105">
        <v>0</v>
      </c>
      <c r="S15" s="105">
        <v>0</v>
      </c>
      <c r="T15" s="105">
        <v>0</v>
      </c>
      <c r="U15" s="105">
        <v>0</v>
      </c>
      <c r="V15" s="105" t="s">
        <v>73</v>
      </c>
      <c r="W15" s="105" t="s">
        <v>74</v>
      </c>
      <c r="X15" s="105" t="s">
        <v>74</v>
      </c>
      <c r="Y15" s="105" t="s">
        <v>74</v>
      </c>
      <c r="Z15" s="105" t="s">
        <v>74</v>
      </c>
      <c r="AA15" s="105" t="s">
        <v>74</v>
      </c>
      <c r="AB15" s="105" t="s">
        <v>74</v>
      </c>
      <c r="AC15" s="105" t="s">
        <v>74</v>
      </c>
      <c r="AD15" s="105" t="s">
        <v>74</v>
      </c>
      <c r="AE15" s="105" t="s">
        <v>74</v>
      </c>
      <c r="AF15" s="105" t="s">
        <v>73</v>
      </c>
      <c r="AG15" s="105" t="s">
        <v>73</v>
      </c>
      <c r="AH15" s="105">
        <v>213</v>
      </c>
      <c r="AI15" s="105" t="s">
        <v>74</v>
      </c>
      <c r="AJ15" s="105" t="s">
        <v>74</v>
      </c>
      <c r="AK15" s="105" t="s">
        <v>73</v>
      </c>
      <c r="AL15" s="105">
        <v>442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457</v>
      </c>
      <c r="AU15" s="105">
        <v>0</v>
      </c>
      <c r="AV15" s="105" t="s">
        <v>74</v>
      </c>
      <c r="AW15" s="105" t="s">
        <v>73</v>
      </c>
      <c r="AX15" s="105" t="s">
        <v>74</v>
      </c>
      <c r="AY15" s="105">
        <v>0</v>
      </c>
      <c r="AZ15" s="105" t="s">
        <v>74</v>
      </c>
      <c r="BA15" s="105">
        <v>0</v>
      </c>
    </row>
    <row r="16" spans="1:54" s="81" customFormat="1" ht="21" customHeight="1">
      <c r="A16" s="81" t="s">
        <v>75</v>
      </c>
      <c r="B16" s="95">
        <v>186438</v>
      </c>
      <c r="C16" s="95">
        <v>186260</v>
      </c>
      <c r="D16" s="95" t="s">
        <v>64</v>
      </c>
      <c r="E16" s="95">
        <v>201441</v>
      </c>
      <c r="F16" s="100">
        <v>222852</v>
      </c>
      <c r="G16" s="95">
        <v>211257</v>
      </c>
      <c r="H16" s="101">
        <v>218322.75</v>
      </c>
      <c r="I16" s="101">
        <v>216335</v>
      </c>
      <c r="J16" s="95">
        <v>249127.84</v>
      </c>
      <c r="K16" s="95">
        <v>203538</v>
      </c>
      <c r="L16" s="95">
        <v>222444</v>
      </c>
      <c r="M16" s="95">
        <v>251132.93</v>
      </c>
      <c r="N16" s="95">
        <v>218638</v>
      </c>
      <c r="O16" s="95">
        <v>233899</v>
      </c>
      <c r="P16" s="95">
        <v>228324</v>
      </c>
      <c r="Q16" s="95">
        <v>214972</v>
      </c>
      <c r="R16" s="95">
        <v>198907</v>
      </c>
      <c r="S16" s="95">
        <v>187939.07</v>
      </c>
      <c r="T16" s="95">
        <v>191084</v>
      </c>
      <c r="U16" s="95">
        <v>196918</v>
      </c>
      <c r="V16" s="95">
        <v>194625</v>
      </c>
      <c r="W16" s="95">
        <v>176092.84000000003</v>
      </c>
      <c r="X16" s="95">
        <v>152546.79</v>
      </c>
      <c r="Y16" s="95">
        <v>170768</v>
      </c>
      <c r="Z16" s="95">
        <v>179820.34</v>
      </c>
      <c r="AA16" s="95">
        <v>183273.80000000002</v>
      </c>
      <c r="AB16" s="95">
        <f>SUM(AB17:AB19)</f>
        <v>187103.02</v>
      </c>
      <c r="AC16" s="95">
        <f>SUM(AC17:AC19)</f>
        <v>183273.80000000002</v>
      </c>
      <c r="AD16" s="95">
        <v>198001</v>
      </c>
      <c r="AE16" s="95">
        <v>193332</v>
      </c>
      <c r="AF16" s="95">
        <v>201397</v>
      </c>
      <c r="AG16" s="95">
        <v>197977</v>
      </c>
      <c r="AH16" s="95">
        <v>179033</v>
      </c>
      <c r="AI16" s="95">
        <v>180798</v>
      </c>
      <c r="AJ16" s="95">
        <v>195756</v>
      </c>
      <c r="AK16" s="95">
        <v>188842</v>
      </c>
      <c r="AL16" s="95">
        <v>210217</v>
      </c>
      <c r="AM16" s="95">
        <v>188750</v>
      </c>
      <c r="AN16" s="95">
        <v>200619</v>
      </c>
      <c r="AO16" s="95">
        <v>185117</v>
      </c>
      <c r="AP16" s="95">
        <v>206461</v>
      </c>
      <c r="AQ16" s="95">
        <v>202137</v>
      </c>
      <c r="AR16" s="95">
        <v>185737</v>
      </c>
      <c r="AS16" s="95">
        <v>189119</v>
      </c>
      <c r="AT16" s="95">
        <v>205802</v>
      </c>
      <c r="AU16" s="95">
        <v>185197</v>
      </c>
      <c r="AV16" s="95">
        <v>209279</v>
      </c>
      <c r="AW16" s="95">
        <v>180310</v>
      </c>
      <c r="AX16" s="95">
        <v>218432</v>
      </c>
      <c r="AY16" s="95">
        <v>239840</v>
      </c>
      <c r="AZ16" s="95">
        <v>231101</v>
      </c>
      <c r="BA16" s="95">
        <v>227433</v>
      </c>
    </row>
    <row r="17" spans="1:53" s="81" customFormat="1" ht="21" customHeight="1">
      <c r="A17" s="104" t="s">
        <v>76</v>
      </c>
      <c r="B17" s="95">
        <v>80213</v>
      </c>
      <c r="C17" s="95">
        <v>96697</v>
      </c>
      <c r="D17" s="95" t="s">
        <v>64</v>
      </c>
      <c r="E17" s="95">
        <v>99277</v>
      </c>
      <c r="F17" s="100">
        <v>106641</v>
      </c>
      <c r="G17" s="95">
        <v>101212</v>
      </c>
      <c r="H17" s="101">
        <v>92958.99</v>
      </c>
      <c r="I17" s="101">
        <v>106789</v>
      </c>
      <c r="J17" s="95">
        <v>153706.38</v>
      </c>
      <c r="K17" s="95">
        <v>131509.93</v>
      </c>
      <c r="L17" s="95">
        <v>116235</v>
      </c>
      <c r="M17" s="95">
        <v>138477.91</v>
      </c>
      <c r="N17" s="95">
        <v>121640</v>
      </c>
      <c r="O17" s="95">
        <v>115947</v>
      </c>
      <c r="P17" s="95">
        <v>124376</v>
      </c>
      <c r="Q17" s="95">
        <v>135500</v>
      </c>
      <c r="R17" s="95">
        <v>115083</v>
      </c>
      <c r="S17" s="95">
        <v>109300.03</v>
      </c>
      <c r="T17" s="95">
        <v>107615</v>
      </c>
      <c r="U17" s="95">
        <v>110272</v>
      </c>
      <c r="V17" s="95">
        <v>117793</v>
      </c>
      <c r="W17" s="95">
        <v>106870.85</v>
      </c>
      <c r="X17" s="95">
        <v>91138.92</v>
      </c>
      <c r="Y17" s="95">
        <v>95705</v>
      </c>
      <c r="Z17" s="95">
        <v>103063</v>
      </c>
      <c r="AA17" s="95">
        <v>118923.85</v>
      </c>
      <c r="AB17" s="95">
        <v>115641.29</v>
      </c>
      <c r="AC17" s="95">
        <v>118923.85</v>
      </c>
      <c r="AD17" s="95">
        <v>126942</v>
      </c>
      <c r="AE17" s="95">
        <v>110173</v>
      </c>
      <c r="AF17" s="95">
        <v>118977</v>
      </c>
      <c r="AG17" s="95">
        <v>107941</v>
      </c>
      <c r="AH17" s="95">
        <v>98872</v>
      </c>
      <c r="AI17" s="95">
        <v>101535</v>
      </c>
      <c r="AJ17" s="95">
        <v>120023</v>
      </c>
      <c r="AK17" s="95">
        <v>111223</v>
      </c>
      <c r="AL17" s="95">
        <v>105060</v>
      </c>
      <c r="AM17" s="95">
        <v>108589</v>
      </c>
      <c r="AN17" s="95">
        <v>104029</v>
      </c>
      <c r="AO17" s="95">
        <v>104506</v>
      </c>
      <c r="AP17" s="95">
        <v>94955</v>
      </c>
      <c r="AQ17" s="95">
        <v>100830</v>
      </c>
      <c r="AR17" s="95">
        <v>92332</v>
      </c>
      <c r="AS17" s="95">
        <v>89055</v>
      </c>
      <c r="AT17" s="95">
        <v>110997</v>
      </c>
      <c r="AU17" s="95">
        <v>112803</v>
      </c>
      <c r="AV17" s="95">
        <v>131654</v>
      </c>
      <c r="AW17" s="95">
        <v>103394</v>
      </c>
      <c r="AX17" s="95">
        <v>148528</v>
      </c>
      <c r="AY17" s="95">
        <v>151191</v>
      </c>
      <c r="AZ17" s="95">
        <v>148679</v>
      </c>
      <c r="BA17" s="95">
        <v>154693</v>
      </c>
    </row>
    <row r="18" spans="1:53" s="81" customFormat="1" ht="21" customHeight="1">
      <c r="A18" s="104" t="s">
        <v>77</v>
      </c>
      <c r="B18" s="95">
        <v>71340</v>
      </c>
      <c r="C18" s="95">
        <v>58874</v>
      </c>
      <c r="D18" s="95" t="s">
        <v>64</v>
      </c>
      <c r="E18" s="95">
        <v>72633</v>
      </c>
      <c r="F18" s="100">
        <v>74206</v>
      </c>
      <c r="G18" s="95">
        <v>76780</v>
      </c>
      <c r="H18" s="101">
        <v>84638.65</v>
      </c>
      <c r="I18" s="101">
        <v>76371</v>
      </c>
      <c r="J18" s="95">
        <v>59116.15</v>
      </c>
      <c r="K18" s="95">
        <v>40764.49</v>
      </c>
      <c r="L18" s="95">
        <v>68087</v>
      </c>
      <c r="M18" s="95">
        <v>84147.25</v>
      </c>
      <c r="N18" s="95">
        <v>76576</v>
      </c>
      <c r="O18" s="95">
        <v>90015</v>
      </c>
      <c r="P18" s="95">
        <v>68396</v>
      </c>
      <c r="Q18" s="95">
        <v>58375</v>
      </c>
      <c r="R18" s="95">
        <v>63328</v>
      </c>
      <c r="S18" s="95">
        <v>53484.94</v>
      </c>
      <c r="T18" s="95">
        <v>55962</v>
      </c>
      <c r="U18" s="95">
        <v>63582</v>
      </c>
      <c r="V18" s="95">
        <v>59428</v>
      </c>
      <c r="W18" s="95">
        <v>55439.88</v>
      </c>
      <c r="X18" s="95">
        <v>44680.58</v>
      </c>
      <c r="Y18" s="95">
        <v>52083</v>
      </c>
      <c r="Z18" s="95">
        <v>51098.34</v>
      </c>
      <c r="AA18" s="95">
        <v>49257.51</v>
      </c>
      <c r="AB18" s="95">
        <v>50123.17</v>
      </c>
      <c r="AC18" s="95">
        <v>49257.51</v>
      </c>
      <c r="AD18" s="95">
        <v>46133</v>
      </c>
      <c r="AE18" s="95">
        <v>57314</v>
      </c>
      <c r="AF18" s="95">
        <v>60105</v>
      </c>
      <c r="AG18" s="95">
        <v>71685</v>
      </c>
      <c r="AH18" s="95">
        <v>59629</v>
      </c>
      <c r="AI18" s="95">
        <v>62108</v>
      </c>
      <c r="AJ18" s="95">
        <v>58740</v>
      </c>
      <c r="AK18" s="95">
        <v>59010</v>
      </c>
      <c r="AL18" s="95">
        <v>68918</v>
      </c>
      <c r="AM18" s="95">
        <v>60495</v>
      </c>
      <c r="AN18" s="95">
        <v>71732</v>
      </c>
      <c r="AO18" s="95">
        <v>55974</v>
      </c>
      <c r="AP18" s="95">
        <v>80533</v>
      </c>
      <c r="AQ18" s="95">
        <v>68717</v>
      </c>
      <c r="AR18" s="95">
        <v>61523</v>
      </c>
      <c r="AS18" s="95">
        <v>66352</v>
      </c>
      <c r="AT18" s="95">
        <v>63981</v>
      </c>
      <c r="AU18" s="95">
        <v>54539</v>
      </c>
      <c r="AV18" s="95">
        <v>59252</v>
      </c>
      <c r="AW18" s="95">
        <v>60920</v>
      </c>
      <c r="AX18" s="95">
        <v>50931</v>
      </c>
      <c r="AY18" s="95">
        <v>55687</v>
      </c>
      <c r="AZ18" s="95">
        <v>49893</v>
      </c>
      <c r="BA18" s="95">
        <v>53812</v>
      </c>
    </row>
    <row r="19" spans="1:53" s="81" customFormat="1" ht="21" customHeight="1">
      <c r="A19" s="104" t="s">
        <v>78</v>
      </c>
      <c r="B19" s="95">
        <v>34885</v>
      </c>
      <c r="C19" s="95">
        <v>30689</v>
      </c>
      <c r="D19" s="95" t="s">
        <v>64</v>
      </c>
      <c r="E19" s="95">
        <v>29531</v>
      </c>
      <c r="F19" s="100">
        <v>42005</v>
      </c>
      <c r="G19" s="95">
        <v>33265</v>
      </c>
      <c r="H19" s="101">
        <v>40725.11</v>
      </c>
      <c r="I19" s="101">
        <v>33175</v>
      </c>
      <c r="J19" s="95">
        <v>36305.31</v>
      </c>
      <c r="K19" s="95">
        <v>31263.58</v>
      </c>
      <c r="L19" s="95">
        <v>38122</v>
      </c>
      <c r="M19" s="95">
        <v>28507.77</v>
      </c>
      <c r="N19" s="95">
        <v>20422</v>
      </c>
      <c r="O19" s="95">
        <v>27937</v>
      </c>
      <c r="P19" s="95">
        <v>35552</v>
      </c>
      <c r="Q19" s="95">
        <v>21097</v>
      </c>
      <c r="R19" s="95">
        <v>20496</v>
      </c>
      <c r="S19" s="95">
        <v>25154.1</v>
      </c>
      <c r="T19" s="95">
        <v>27507</v>
      </c>
      <c r="U19" s="95">
        <v>23064</v>
      </c>
      <c r="V19" s="95">
        <v>17404</v>
      </c>
      <c r="W19" s="95">
        <v>13782.11</v>
      </c>
      <c r="X19" s="95">
        <v>16727.29</v>
      </c>
      <c r="Y19" s="95">
        <v>22980</v>
      </c>
      <c r="Z19" s="95">
        <v>25660</v>
      </c>
      <c r="AA19" s="95">
        <v>15092.44</v>
      </c>
      <c r="AB19" s="95">
        <v>21338.560000000001</v>
      </c>
      <c r="AC19" s="95">
        <v>15092.44</v>
      </c>
      <c r="AD19" s="95">
        <v>24926</v>
      </c>
      <c r="AE19" s="95">
        <v>25845</v>
      </c>
      <c r="AF19" s="95">
        <v>22315</v>
      </c>
      <c r="AG19" s="95">
        <v>18351</v>
      </c>
      <c r="AH19" s="95">
        <v>20532</v>
      </c>
      <c r="AI19" s="95">
        <v>17155</v>
      </c>
      <c r="AJ19" s="95">
        <v>16993</v>
      </c>
      <c r="AK19" s="95">
        <v>18609</v>
      </c>
      <c r="AL19" s="95">
        <v>36239</v>
      </c>
      <c r="AM19" s="95">
        <v>19666</v>
      </c>
      <c r="AN19" s="95">
        <v>24858</v>
      </c>
      <c r="AO19" s="95">
        <v>24637</v>
      </c>
      <c r="AP19" s="95">
        <v>30973</v>
      </c>
      <c r="AQ19" s="95">
        <v>32590</v>
      </c>
      <c r="AR19" s="95">
        <v>31882</v>
      </c>
      <c r="AS19" s="95">
        <v>33712</v>
      </c>
      <c r="AT19" s="95">
        <v>30824</v>
      </c>
      <c r="AU19" s="95">
        <v>17855</v>
      </c>
      <c r="AV19" s="95">
        <v>18373</v>
      </c>
      <c r="AW19" s="95">
        <v>15996</v>
      </c>
      <c r="AX19" s="95">
        <v>18973</v>
      </c>
      <c r="AY19" s="95">
        <v>32962</v>
      </c>
      <c r="AZ19" s="95">
        <v>32529</v>
      </c>
      <c r="BA19" s="95">
        <v>18928</v>
      </c>
    </row>
    <row r="20" spans="1:53" s="81" customFormat="1" ht="21" customHeight="1">
      <c r="A20" s="103" t="s">
        <v>79</v>
      </c>
      <c r="B20" s="105">
        <v>0</v>
      </c>
      <c r="C20" s="105">
        <v>0</v>
      </c>
      <c r="D20" s="95" t="s">
        <v>64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892</v>
      </c>
      <c r="W20" s="105" t="s">
        <v>74</v>
      </c>
      <c r="X20" s="105" t="s">
        <v>73</v>
      </c>
      <c r="Y20" s="105" t="s">
        <v>74</v>
      </c>
      <c r="Z20" s="105" t="s">
        <v>74</v>
      </c>
      <c r="AA20" s="105" t="s">
        <v>74</v>
      </c>
      <c r="AB20" s="105" t="s">
        <v>74</v>
      </c>
      <c r="AC20" s="105" t="s">
        <v>74</v>
      </c>
      <c r="AD20" s="105" t="s">
        <v>74</v>
      </c>
      <c r="AE20" s="105" t="s">
        <v>74</v>
      </c>
      <c r="AF20" s="105" t="s">
        <v>73</v>
      </c>
      <c r="AG20" s="105">
        <v>0</v>
      </c>
      <c r="AH20" s="105" t="s">
        <v>74</v>
      </c>
      <c r="AI20" s="105" t="s">
        <v>74</v>
      </c>
      <c r="AJ20" s="105" t="s">
        <v>74</v>
      </c>
      <c r="AK20" s="105" t="s">
        <v>73</v>
      </c>
      <c r="AL20" s="105">
        <v>0</v>
      </c>
      <c r="AM20" s="105">
        <v>0</v>
      </c>
      <c r="AN20" s="105">
        <v>0</v>
      </c>
      <c r="AO20" s="105">
        <v>0</v>
      </c>
      <c r="AP20" s="105">
        <v>0</v>
      </c>
      <c r="AQ20" s="105">
        <v>0</v>
      </c>
      <c r="AR20" s="105">
        <v>0</v>
      </c>
      <c r="AS20" s="105">
        <v>0</v>
      </c>
      <c r="AT20" s="105" t="s">
        <v>74</v>
      </c>
      <c r="AU20" s="105">
        <v>0</v>
      </c>
      <c r="AV20" s="105" t="s">
        <v>74</v>
      </c>
      <c r="AW20" s="105" t="s">
        <v>73</v>
      </c>
      <c r="AX20" s="105" t="s">
        <v>74</v>
      </c>
      <c r="AY20" s="105"/>
      <c r="AZ20" s="105" t="s">
        <v>74</v>
      </c>
      <c r="BA20" s="105"/>
    </row>
    <row r="21" spans="1:53" s="81" customFormat="1" ht="21" customHeight="1">
      <c r="A21" s="103" t="s">
        <v>80</v>
      </c>
      <c r="B21" s="95">
        <v>343</v>
      </c>
      <c r="C21" s="105">
        <v>0</v>
      </c>
      <c r="D21" s="95" t="s">
        <v>64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95">
        <v>1318.41</v>
      </c>
      <c r="L21" s="95">
        <v>1277</v>
      </c>
      <c r="M21" s="95">
        <v>0</v>
      </c>
      <c r="N21" s="95">
        <v>0</v>
      </c>
      <c r="O21" s="95">
        <v>0</v>
      </c>
      <c r="P21" s="95">
        <v>585</v>
      </c>
      <c r="Q21" s="95">
        <v>2189</v>
      </c>
      <c r="R21" s="95">
        <v>1041</v>
      </c>
      <c r="S21" s="95">
        <v>334</v>
      </c>
      <c r="T21" s="105">
        <v>0</v>
      </c>
      <c r="U21" s="95">
        <v>0</v>
      </c>
      <c r="V21" s="95">
        <v>1232</v>
      </c>
      <c r="W21" s="105">
        <v>2871.99</v>
      </c>
      <c r="X21" s="95">
        <v>446.75</v>
      </c>
      <c r="Y21" s="95" t="s">
        <v>74</v>
      </c>
      <c r="Z21" s="105">
        <v>1194.3699999999999</v>
      </c>
      <c r="AA21" s="95">
        <v>727.89</v>
      </c>
      <c r="AB21" s="95">
        <v>1867.1</v>
      </c>
      <c r="AC21" s="105">
        <v>727.89</v>
      </c>
      <c r="AD21" s="105">
        <v>574</v>
      </c>
      <c r="AE21" s="95">
        <v>1102</v>
      </c>
      <c r="AF21" s="95">
        <v>0</v>
      </c>
      <c r="AG21" s="105">
        <v>0</v>
      </c>
      <c r="AH21" s="105" t="s">
        <v>74</v>
      </c>
      <c r="AI21" s="95" t="s">
        <v>74</v>
      </c>
      <c r="AJ21" s="95">
        <v>1491</v>
      </c>
      <c r="AK21" s="105">
        <v>834</v>
      </c>
      <c r="AL21" s="105">
        <v>1187</v>
      </c>
      <c r="AM21" s="95">
        <v>2739</v>
      </c>
      <c r="AN21" s="95">
        <v>501</v>
      </c>
      <c r="AO21" s="105">
        <v>1366</v>
      </c>
      <c r="AP21" s="105">
        <v>2110</v>
      </c>
      <c r="AQ21" s="95">
        <v>0</v>
      </c>
      <c r="AR21" s="95">
        <v>0</v>
      </c>
      <c r="AS21" s="105">
        <v>1239</v>
      </c>
      <c r="AT21" s="105">
        <v>1566</v>
      </c>
      <c r="AU21" s="95">
        <v>0</v>
      </c>
      <c r="AV21" s="95">
        <v>837</v>
      </c>
      <c r="AW21" s="105" t="s">
        <v>73</v>
      </c>
      <c r="AX21" s="105">
        <v>1021</v>
      </c>
      <c r="AY21" s="95"/>
      <c r="AZ21" s="95" t="s">
        <v>74</v>
      </c>
      <c r="BA21" s="105"/>
    </row>
    <row r="22" spans="1:53" s="86" customFormat="1" ht="23.25" customHeight="1">
      <c r="A22" s="248" t="s">
        <v>29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</row>
    <row r="23" spans="1:53" s="81" customFormat="1" ht="26.45" customHeight="1">
      <c r="B23" s="107"/>
      <c r="C23" s="107"/>
      <c r="D23" s="108"/>
      <c r="E23" s="107"/>
      <c r="F23" s="107"/>
      <c r="G23" s="109"/>
      <c r="H23" s="109"/>
      <c r="I23" s="109"/>
      <c r="J23" s="107"/>
      <c r="K23" s="109"/>
      <c r="L23" s="109"/>
      <c r="O23" s="81" t="s">
        <v>29</v>
      </c>
      <c r="P23" s="81" t="s">
        <v>29</v>
      </c>
      <c r="Z23" s="106"/>
      <c r="AA23" s="106"/>
      <c r="AB23" s="106"/>
      <c r="AC23" s="106"/>
    </row>
    <row r="24" spans="1:53" s="81" customFormat="1" ht="21" customHeight="1">
      <c r="A24" s="90" t="s">
        <v>19</v>
      </c>
      <c r="B24" s="110">
        <v>100</v>
      </c>
      <c r="C24" s="110">
        <v>100</v>
      </c>
      <c r="D24" s="92" t="s">
        <v>64</v>
      </c>
      <c r="E24" s="110">
        <v>100</v>
      </c>
      <c r="F24" s="110">
        <v>100</v>
      </c>
      <c r="G24" s="110">
        <v>100</v>
      </c>
      <c r="H24" s="111">
        <f>[1]ตารางที่7!$B$22</f>
        <v>100</v>
      </c>
      <c r="I24" s="111">
        <f>[2]ตารางที่7!$B$22</f>
        <v>100</v>
      </c>
      <c r="J24" s="110">
        <v>100</v>
      </c>
      <c r="K24" s="110">
        <v>100</v>
      </c>
      <c r="L24" s="110">
        <v>100</v>
      </c>
      <c r="M24" s="110">
        <v>100</v>
      </c>
      <c r="N24" s="110">
        <v>100</v>
      </c>
      <c r="O24" s="110">
        <v>100</v>
      </c>
      <c r="P24" s="110">
        <v>100</v>
      </c>
      <c r="Q24" s="110">
        <v>100</v>
      </c>
      <c r="R24" s="110">
        <v>100</v>
      </c>
      <c r="S24" s="110">
        <v>100</v>
      </c>
      <c r="T24" s="110">
        <v>100</v>
      </c>
      <c r="U24" s="110">
        <v>100</v>
      </c>
      <c r="V24" s="110">
        <v>100</v>
      </c>
      <c r="W24" s="110">
        <v>100</v>
      </c>
      <c r="X24" s="110">
        <v>100</v>
      </c>
      <c r="Y24" s="110">
        <v>100</v>
      </c>
      <c r="Z24" s="110">
        <v>100</v>
      </c>
      <c r="AA24" s="110">
        <v>100</v>
      </c>
      <c r="AB24" s="110">
        <v>100</v>
      </c>
      <c r="AC24" s="110">
        <v>100</v>
      </c>
      <c r="AD24" s="110">
        <v>100</v>
      </c>
      <c r="AE24" s="110">
        <v>100</v>
      </c>
      <c r="AF24" s="110">
        <v>100</v>
      </c>
      <c r="AG24" s="110">
        <v>100</v>
      </c>
      <c r="AH24" s="110">
        <v>100</v>
      </c>
      <c r="AI24" s="110">
        <v>100</v>
      </c>
      <c r="AJ24" s="110">
        <v>100</v>
      </c>
      <c r="AK24" s="110">
        <v>100</v>
      </c>
      <c r="AL24" s="110">
        <v>100</v>
      </c>
      <c r="AM24" s="110">
        <v>100</v>
      </c>
      <c r="AN24" s="110">
        <v>100</v>
      </c>
      <c r="AO24" s="110">
        <v>100</v>
      </c>
      <c r="AP24" s="110">
        <v>100</v>
      </c>
      <c r="AQ24" s="110">
        <v>100</v>
      </c>
      <c r="AR24" s="110">
        <v>100</v>
      </c>
      <c r="AS24" s="110">
        <v>100</v>
      </c>
      <c r="AT24" s="110">
        <v>100</v>
      </c>
      <c r="AU24" s="110">
        <v>100</v>
      </c>
      <c r="AV24" s="110">
        <v>100</v>
      </c>
      <c r="AW24" s="110">
        <v>100</v>
      </c>
      <c r="AX24" s="110">
        <v>100</v>
      </c>
      <c r="AY24" s="110">
        <v>100</v>
      </c>
      <c r="AZ24" s="110">
        <v>100</v>
      </c>
      <c r="BA24" s="110">
        <v>100</v>
      </c>
    </row>
    <row r="25" spans="1:53" s="81" customFormat="1" ht="24.6" customHeight="1">
      <c r="A25" s="90"/>
      <c r="B25" s="110"/>
      <c r="C25" s="110"/>
      <c r="D25" s="110"/>
      <c r="E25" s="110"/>
      <c r="F25" s="112"/>
      <c r="G25" s="109"/>
      <c r="H25" s="109"/>
      <c r="I25" s="109"/>
      <c r="J25" s="112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</row>
    <row r="26" spans="1:53" s="81" customFormat="1" ht="21" customHeight="1">
      <c r="A26" s="99" t="s">
        <v>65</v>
      </c>
      <c r="B26" s="105">
        <f>B8*100/$B$6</f>
        <v>3.0547234582208178</v>
      </c>
      <c r="C26" s="105">
        <f t="shared" ref="C26:C33" si="0">C8*100/$C$6</f>
        <v>1.9291158057689659</v>
      </c>
      <c r="D26" s="95" t="s">
        <v>64</v>
      </c>
      <c r="E26" s="105">
        <f t="shared" ref="E26:E39" si="1">E8*100/$E$6</f>
        <v>1.6484714542169518</v>
      </c>
      <c r="F26" s="105">
        <f t="shared" ref="F26:AO26" si="2">(F8*100/F6)</f>
        <v>1.5405952028981191</v>
      </c>
      <c r="G26" s="105">
        <f t="shared" si="2"/>
        <v>1.6584969006373149</v>
      </c>
      <c r="H26" s="105">
        <f t="shared" si="2"/>
        <v>2.1210384394721746</v>
      </c>
      <c r="I26" s="105">
        <f t="shared" si="2"/>
        <v>1.5645935082335654</v>
      </c>
      <c r="J26" s="105">
        <f t="shared" si="2"/>
        <v>2.1735858187620059</v>
      </c>
      <c r="K26" s="105">
        <f t="shared" si="2"/>
        <v>2.0058466067828413</v>
      </c>
      <c r="L26" s="105">
        <f t="shared" si="2"/>
        <v>1.7129210127465688</v>
      </c>
      <c r="M26" s="105">
        <f t="shared" si="2"/>
        <v>1.6527051331433857</v>
      </c>
      <c r="N26" s="105">
        <f t="shared" si="2"/>
        <v>1.4415507446216229</v>
      </c>
      <c r="O26" s="105">
        <f t="shared" si="2"/>
        <v>1.9644030591557959</v>
      </c>
      <c r="P26" s="105">
        <f t="shared" si="2"/>
        <v>0.78701614042633528</v>
      </c>
      <c r="Q26" s="105">
        <f t="shared" si="2"/>
        <v>1.5604242560848613</v>
      </c>
      <c r="R26" s="105">
        <f t="shared" si="2"/>
        <v>1.0153329502900486</v>
      </c>
      <c r="S26" s="105">
        <f t="shared" si="2"/>
        <v>1.3398670576349776</v>
      </c>
      <c r="T26" s="105">
        <f t="shared" si="2"/>
        <v>1.0304193982732166</v>
      </c>
      <c r="U26" s="105">
        <f t="shared" si="2"/>
        <v>1.1149329854109833</v>
      </c>
      <c r="V26" s="105">
        <f t="shared" si="2"/>
        <v>1.685850917673583</v>
      </c>
      <c r="W26" s="105">
        <f t="shared" si="2"/>
        <v>1.2363355861604535</v>
      </c>
      <c r="X26" s="105">
        <f t="shared" si="2"/>
        <v>1.9367268764206298</v>
      </c>
      <c r="Y26" s="105">
        <f t="shared" si="2"/>
        <v>1.4543968304338222</v>
      </c>
      <c r="Z26" s="105">
        <f t="shared" si="2"/>
        <v>1.5757595640708384</v>
      </c>
      <c r="AA26" s="105">
        <f t="shared" si="2"/>
        <v>1.9002958404375543</v>
      </c>
      <c r="AB26" s="105">
        <f t="shared" si="2"/>
        <v>1.9155132654750544</v>
      </c>
      <c r="AC26" s="105">
        <f t="shared" si="2"/>
        <v>1.9002958404375543</v>
      </c>
      <c r="AD26" s="105">
        <f t="shared" si="2"/>
        <v>1.2816010812730672</v>
      </c>
      <c r="AE26" s="105">
        <f t="shared" si="2"/>
        <v>1.4980423175795927</v>
      </c>
      <c r="AF26" s="105">
        <f t="shared" si="2"/>
        <v>1.4135563016889368</v>
      </c>
      <c r="AG26" s="105">
        <f t="shared" si="2"/>
        <v>0.98460158720806112</v>
      </c>
      <c r="AH26" s="105">
        <f t="shared" si="2"/>
        <v>0.89941586498409032</v>
      </c>
      <c r="AI26" s="105">
        <f t="shared" si="2"/>
        <v>1.0296603166822216</v>
      </c>
      <c r="AJ26" s="105">
        <f t="shared" si="2"/>
        <v>1.2863408603250781</v>
      </c>
      <c r="AK26" s="105">
        <f t="shared" si="2"/>
        <v>0.70636800015200929</v>
      </c>
      <c r="AL26" s="105">
        <f t="shared" si="2"/>
        <v>0.99100537009215883</v>
      </c>
      <c r="AM26" s="105">
        <f t="shared" si="2"/>
        <v>1.002395194241287</v>
      </c>
      <c r="AN26" s="105">
        <f t="shared" si="2"/>
        <v>0.8889125550524587</v>
      </c>
      <c r="AO26" s="105">
        <f t="shared" si="2"/>
        <v>0.66412672882757151</v>
      </c>
      <c r="AP26" s="105">
        <v>0.63445005226912099</v>
      </c>
      <c r="AQ26" s="105">
        <v>0.77365832108766519</v>
      </c>
      <c r="AR26" s="105">
        <v>1.0863200153260628</v>
      </c>
      <c r="AS26" s="105">
        <v>0.7318899352704461</v>
      </c>
      <c r="AT26" s="105">
        <v>0.63445005226912099</v>
      </c>
      <c r="AU26" s="105">
        <v>0.77365832108766519</v>
      </c>
      <c r="AV26" s="105">
        <v>1.0863200153260628</v>
      </c>
      <c r="AW26" s="105">
        <v>0.7318899352704461</v>
      </c>
      <c r="AX26" s="105">
        <v>0.63445005226912099</v>
      </c>
      <c r="AY26" s="105">
        <v>0.77365832108766519</v>
      </c>
      <c r="AZ26" s="105">
        <v>1.0863200153260628</v>
      </c>
      <c r="BA26" s="105">
        <v>0.7318899352704461</v>
      </c>
    </row>
    <row r="27" spans="1:53" s="81" customFormat="1" ht="21" customHeight="1">
      <c r="A27" s="81" t="s">
        <v>66</v>
      </c>
      <c r="B27" s="105">
        <f>B9*100/$B$6</f>
        <v>31.008114771124642</v>
      </c>
      <c r="C27" s="105">
        <f t="shared" si="0"/>
        <v>31.36061451505741</v>
      </c>
      <c r="D27" s="95" t="s">
        <v>64</v>
      </c>
      <c r="E27" s="105">
        <f t="shared" si="1"/>
        <v>33.544840751958724</v>
      </c>
      <c r="F27" s="105">
        <f t="shared" ref="F27:AO27" si="3">(F9*100/F6)</f>
        <v>27.56356772768093</v>
      </c>
      <c r="G27" s="105">
        <f t="shared" si="3"/>
        <v>27.77636122637697</v>
      </c>
      <c r="H27" s="105">
        <f t="shared" si="3"/>
        <v>31.172982087078474</v>
      </c>
      <c r="I27" s="105">
        <f t="shared" si="3"/>
        <v>31.937864753926359</v>
      </c>
      <c r="J27" s="105">
        <f t="shared" si="3"/>
        <v>26.576128044000622</v>
      </c>
      <c r="K27" s="105">
        <f t="shared" si="3"/>
        <v>29.142599254985562</v>
      </c>
      <c r="L27" s="105">
        <f t="shared" si="3"/>
        <v>28.425531546474133</v>
      </c>
      <c r="M27" s="105">
        <f t="shared" si="3"/>
        <v>26.749733326120015</v>
      </c>
      <c r="N27" s="105">
        <f t="shared" si="3"/>
        <v>25.708386629869608</v>
      </c>
      <c r="O27" s="105">
        <f t="shared" si="3"/>
        <v>25.072787108775533</v>
      </c>
      <c r="P27" s="105">
        <f t="shared" si="3"/>
        <v>30.018704839877319</v>
      </c>
      <c r="Q27" s="105">
        <f t="shared" si="3"/>
        <v>25.051092813259071</v>
      </c>
      <c r="R27" s="105">
        <f t="shared" si="3"/>
        <v>26.790280896877338</v>
      </c>
      <c r="S27" s="105">
        <f t="shared" si="3"/>
        <v>27.035900696155831</v>
      </c>
      <c r="T27" s="105">
        <f t="shared" si="3"/>
        <v>27.037496192593562</v>
      </c>
      <c r="U27" s="105">
        <f t="shared" si="3"/>
        <v>27.284440641397111</v>
      </c>
      <c r="V27" s="105">
        <f t="shared" si="3"/>
        <v>31.105934641443852</v>
      </c>
      <c r="W27" s="105">
        <f t="shared" si="3"/>
        <v>30.695902628196968</v>
      </c>
      <c r="X27" s="105">
        <f t="shared" si="3"/>
        <v>30.230966992533951</v>
      </c>
      <c r="Y27" s="105">
        <f t="shared" si="3"/>
        <v>29.378859149020986</v>
      </c>
      <c r="Z27" s="105">
        <f t="shared" si="3"/>
        <v>27.716199242623073</v>
      </c>
      <c r="AA27" s="105">
        <f t="shared" si="3"/>
        <v>27.015707704349705</v>
      </c>
      <c r="AB27" s="105">
        <f t="shared" si="3"/>
        <v>27.28645666080099</v>
      </c>
      <c r="AC27" s="105">
        <f t="shared" si="3"/>
        <v>27.015707704349705</v>
      </c>
      <c r="AD27" s="105">
        <f t="shared" si="3"/>
        <v>23.713356566990154</v>
      </c>
      <c r="AE27" s="105">
        <f t="shared" si="3"/>
        <v>25.637808977654736</v>
      </c>
      <c r="AF27" s="105">
        <f t="shared" si="3"/>
        <v>26.925808861390831</v>
      </c>
      <c r="AG27" s="105">
        <f t="shared" si="3"/>
        <v>26.321085563997574</v>
      </c>
      <c r="AH27" s="105">
        <f t="shared" si="3"/>
        <v>24.724230360461938</v>
      </c>
      <c r="AI27" s="105">
        <f t="shared" si="3"/>
        <v>25.5268256970386</v>
      </c>
      <c r="AJ27" s="105">
        <f t="shared" si="3"/>
        <v>26.49615982631321</v>
      </c>
      <c r="AK27" s="105">
        <f t="shared" si="3"/>
        <v>27.811280511701149</v>
      </c>
      <c r="AL27" s="105">
        <f t="shared" si="3"/>
        <v>20.522973843707433</v>
      </c>
      <c r="AM27" s="105">
        <f t="shared" si="3"/>
        <v>22.205115725026577</v>
      </c>
      <c r="AN27" s="105">
        <f t="shared" si="3"/>
        <v>21.303927361673182</v>
      </c>
      <c r="AO27" s="105">
        <f t="shared" si="3"/>
        <v>22.832828766089076</v>
      </c>
      <c r="AP27" s="105">
        <v>19.197726872027026</v>
      </c>
      <c r="AQ27" s="105">
        <v>24.41692997717297</v>
      </c>
      <c r="AR27" s="105">
        <v>24.602906832895503</v>
      </c>
      <c r="AS27" s="105">
        <v>23.454464098212611</v>
      </c>
      <c r="AT27" s="105">
        <v>19.197726872027026</v>
      </c>
      <c r="AU27" s="105">
        <v>24.41692997717297</v>
      </c>
      <c r="AV27" s="105">
        <v>24.602906832895503</v>
      </c>
      <c r="AW27" s="105">
        <v>23.454464098212611</v>
      </c>
      <c r="AX27" s="105">
        <v>19.197726872027026</v>
      </c>
      <c r="AY27" s="105">
        <v>24.41692997717297</v>
      </c>
      <c r="AZ27" s="105">
        <v>24.602906832895503</v>
      </c>
      <c r="BA27" s="105">
        <v>23.454464098212611</v>
      </c>
    </row>
    <row r="28" spans="1:53" s="81" customFormat="1" ht="21" customHeight="1">
      <c r="A28" s="102" t="s">
        <v>67</v>
      </c>
      <c r="B28" s="105">
        <v>20.9</v>
      </c>
      <c r="C28" s="105">
        <f t="shared" si="0"/>
        <v>21.325816771095546</v>
      </c>
      <c r="D28" s="95" t="s">
        <v>64</v>
      </c>
      <c r="E28" s="105">
        <f t="shared" si="1"/>
        <v>22.295690587265945</v>
      </c>
      <c r="F28" s="105">
        <f>(F10*100/F6)</f>
        <v>22.577716969465751</v>
      </c>
      <c r="G28" s="105">
        <f>(G10*100/G6)</f>
        <v>22.630373954035829</v>
      </c>
      <c r="H28" s="105">
        <f>(H10*100/H6)</f>
        <v>23.022293618920123</v>
      </c>
      <c r="I28" s="105">
        <v>23.8</v>
      </c>
      <c r="J28" s="105">
        <f>(J10*100/J6)</f>
        <v>20.993291385877274</v>
      </c>
      <c r="K28" s="105">
        <f>(K10*100/K6)</f>
        <v>21.905038916897119</v>
      </c>
      <c r="L28" s="105">
        <v>21.6</v>
      </c>
      <c r="M28" s="105">
        <f t="shared" ref="M28:AO28" si="4">(M10*100/M6)</f>
        <v>21.40704333630692</v>
      </c>
      <c r="N28" s="105">
        <f t="shared" si="4"/>
        <v>22.228829551524196</v>
      </c>
      <c r="O28" s="105">
        <f t="shared" si="4"/>
        <v>21.510962507565001</v>
      </c>
      <c r="P28" s="105">
        <f t="shared" si="4"/>
        <v>17.9088214075392</v>
      </c>
      <c r="Q28" s="105">
        <f t="shared" si="4"/>
        <v>24.660734905426352</v>
      </c>
      <c r="R28" s="105">
        <f t="shared" si="4"/>
        <v>23.698561681802772</v>
      </c>
      <c r="S28" s="105">
        <f t="shared" si="4"/>
        <v>23.929421029530179</v>
      </c>
      <c r="T28" s="105">
        <f t="shared" si="4"/>
        <v>25.2659491188167</v>
      </c>
      <c r="U28" s="105">
        <f t="shared" si="4"/>
        <v>24.50833375694009</v>
      </c>
      <c r="V28" s="105">
        <f t="shared" si="4"/>
        <v>20.568467373563017</v>
      </c>
      <c r="W28" s="105">
        <f t="shared" si="4"/>
        <v>21.59003439890289</v>
      </c>
      <c r="X28" s="105">
        <f t="shared" si="4"/>
        <v>23.432242160392871</v>
      </c>
      <c r="Y28" s="105">
        <f t="shared" si="4"/>
        <v>23.314171158588405</v>
      </c>
      <c r="Z28" s="105">
        <f t="shared" si="4"/>
        <v>22.462292846162498</v>
      </c>
      <c r="AA28" s="105">
        <f t="shared" si="4"/>
        <v>24.121485954844186</v>
      </c>
      <c r="AB28" s="105">
        <f t="shared" si="4"/>
        <v>23.861416083291893</v>
      </c>
      <c r="AC28" s="105">
        <f t="shared" si="4"/>
        <v>24.121485954844186</v>
      </c>
      <c r="AD28" s="105">
        <f t="shared" si="4"/>
        <v>24.75123728463533</v>
      </c>
      <c r="AE28" s="105">
        <f t="shared" si="4"/>
        <v>23.905793948981611</v>
      </c>
      <c r="AF28" s="105">
        <f t="shared" si="4"/>
        <v>24.254786839029844</v>
      </c>
      <c r="AG28" s="105">
        <f t="shared" si="4"/>
        <v>24.120098896331026</v>
      </c>
      <c r="AH28" s="105">
        <f t="shared" si="4"/>
        <v>23.819233587682533</v>
      </c>
      <c r="AI28" s="105">
        <f t="shared" si="4"/>
        <v>24.249430561199603</v>
      </c>
      <c r="AJ28" s="105">
        <f t="shared" si="4"/>
        <v>23.452255751028417</v>
      </c>
      <c r="AK28" s="105">
        <f t="shared" si="4"/>
        <v>20.546029906237209</v>
      </c>
      <c r="AL28" s="105">
        <f t="shared" si="4"/>
        <v>22.476863170322027</v>
      </c>
      <c r="AM28" s="105">
        <f t="shared" si="4"/>
        <v>22.055853709562417</v>
      </c>
      <c r="AN28" s="105">
        <f t="shared" si="4"/>
        <v>21.12459891578434</v>
      </c>
      <c r="AO28" s="105">
        <f t="shared" si="4"/>
        <v>24.292889814693542</v>
      </c>
      <c r="AP28" s="105">
        <v>23.487801794068567</v>
      </c>
      <c r="AQ28" s="105">
        <v>21.289574291680836</v>
      </c>
      <c r="AR28" s="105">
        <v>22.835057903199161</v>
      </c>
      <c r="AS28" s="105">
        <v>23.181684274421251</v>
      </c>
      <c r="AT28" s="105">
        <v>23.487801794068567</v>
      </c>
      <c r="AU28" s="105">
        <v>21.289574291680836</v>
      </c>
      <c r="AV28" s="105">
        <v>22.835057903199161</v>
      </c>
      <c r="AW28" s="105">
        <v>23.181684274421251</v>
      </c>
      <c r="AX28" s="105">
        <v>23.487801794068567</v>
      </c>
      <c r="AY28" s="105">
        <v>21.289574291680836</v>
      </c>
      <c r="AZ28" s="105">
        <v>22.835057903199161</v>
      </c>
      <c r="BA28" s="105">
        <v>23.181684274421251</v>
      </c>
    </row>
    <row r="29" spans="1:53" s="81" customFormat="1" ht="21" customHeight="1">
      <c r="A29" s="102" t="s">
        <v>68</v>
      </c>
      <c r="B29" s="105">
        <f t="shared" ref="B29:B39" si="5">B11*100/$B$6</f>
        <v>15.391416764149602</v>
      </c>
      <c r="C29" s="105">
        <f t="shared" si="0"/>
        <v>19.140630744201157</v>
      </c>
      <c r="D29" s="95" t="s">
        <v>64</v>
      </c>
      <c r="E29" s="105">
        <f t="shared" si="1"/>
        <v>16.754281980018177</v>
      </c>
      <c r="F29" s="105">
        <f>(F11*100/F6)</f>
        <v>17.179055937107712</v>
      </c>
      <c r="G29" s="105">
        <f>(G11*100/G6)</f>
        <v>18.024237009539419</v>
      </c>
      <c r="H29" s="105">
        <v>15.1</v>
      </c>
      <c r="I29" s="105">
        <f t="shared" ref="I29:AO29" si="6">(I11*100/I6)</f>
        <v>15.20057276975896</v>
      </c>
      <c r="J29" s="105">
        <f t="shared" si="6"/>
        <v>16.598040210564438</v>
      </c>
      <c r="K29" s="105">
        <f t="shared" si="6"/>
        <v>17.194993410668406</v>
      </c>
      <c r="L29" s="105">
        <f t="shared" si="6"/>
        <v>17.468850159307394</v>
      </c>
      <c r="M29" s="105">
        <f t="shared" si="6"/>
        <v>17.539942731085443</v>
      </c>
      <c r="N29" s="105">
        <f t="shared" si="6"/>
        <v>19.918969309842282</v>
      </c>
      <c r="O29" s="105">
        <f t="shared" si="6"/>
        <v>20.102091701437367</v>
      </c>
      <c r="P29" s="105">
        <f t="shared" si="6"/>
        <v>19.03054915459375</v>
      </c>
      <c r="Q29" s="105">
        <f t="shared" si="6"/>
        <v>19.559449620534338</v>
      </c>
      <c r="R29" s="105">
        <f t="shared" si="6"/>
        <v>16.920610314843174</v>
      </c>
      <c r="S29" s="105">
        <f t="shared" si="6"/>
        <v>17.408249141098977</v>
      </c>
      <c r="T29" s="105">
        <f t="shared" si="6"/>
        <v>17.564313143878685</v>
      </c>
      <c r="U29" s="105">
        <f t="shared" si="6"/>
        <v>15.564936091860538</v>
      </c>
      <c r="V29" s="105">
        <f t="shared" si="6"/>
        <v>15.901131386432757</v>
      </c>
      <c r="W29" s="105">
        <f t="shared" si="6"/>
        <v>16.618069514258973</v>
      </c>
      <c r="X29" s="105">
        <f t="shared" si="6"/>
        <v>17.815689131905803</v>
      </c>
      <c r="Y29" s="105">
        <f t="shared" si="6"/>
        <v>17.589480448177579</v>
      </c>
      <c r="Z29" s="105">
        <f t="shared" si="6"/>
        <v>17.98988914301426</v>
      </c>
      <c r="AA29" s="105">
        <f t="shared" si="6"/>
        <v>16.984469787443391</v>
      </c>
      <c r="AB29" s="105">
        <f t="shared" si="6"/>
        <v>16.839296705234879</v>
      </c>
      <c r="AC29" s="105">
        <f t="shared" si="6"/>
        <v>16.984469787443391</v>
      </c>
      <c r="AD29" s="105">
        <f t="shared" si="6"/>
        <v>17.285342466083655</v>
      </c>
      <c r="AE29" s="105">
        <f t="shared" si="6"/>
        <v>16.241091556258652</v>
      </c>
      <c r="AF29" s="105">
        <f t="shared" si="6"/>
        <v>15.717036056556942</v>
      </c>
      <c r="AG29" s="105">
        <f t="shared" si="6"/>
        <v>18.322603749704435</v>
      </c>
      <c r="AH29" s="105">
        <f t="shared" si="6"/>
        <v>17.590374309059349</v>
      </c>
      <c r="AI29" s="105">
        <f t="shared" si="6"/>
        <v>14.534601041556058</v>
      </c>
      <c r="AJ29" s="105">
        <f t="shared" si="6"/>
        <v>16.437005072275891</v>
      </c>
      <c r="AK29" s="105">
        <f t="shared" si="6"/>
        <v>17.317179183282782</v>
      </c>
      <c r="AL29" s="105">
        <f t="shared" si="6"/>
        <v>17.819517949991177</v>
      </c>
      <c r="AM29" s="105">
        <f t="shared" si="6"/>
        <v>17.720253267241343</v>
      </c>
      <c r="AN29" s="105">
        <f t="shared" si="6"/>
        <v>19.578749922703256</v>
      </c>
      <c r="AO29" s="105">
        <f t="shared" si="6"/>
        <v>16.526586341897211</v>
      </c>
      <c r="AP29" s="105">
        <v>15.527223574709225</v>
      </c>
      <c r="AQ29" s="105">
        <v>16.729195093785272</v>
      </c>
      <c r="AR29" s="105">
        <v>17.788005494424524</v>
      </c>
      <c r="AS29" s="105">
        <v>19.274536270589273</v>
      </c>
      <c r="AT29" s="105">
        <v>15.527223574709225</v>
      </c>
      <c r="AU29" s="105">
        <v>16.729195093785272</v>
      </c>
      <c r="AV29" s="105">
        <v>17.788005494424524</v>
      </c>
      <c r="AW29" s="105">
        <v>19.274536270589273</v>
      </c>
      <c r="AX29" s="105">
        <v>15.527223574709225</v>
      </c>
      <c r="AY29" s="105">
        <v>16.729195093785272</v>
      </c>
      <c r="AZ29" s="105">
        <v>17.788005494424524</v>
      </c>
      <c r="BA29" s="105">
        <v>19.274536270589273</v>
      </c>
    </row>
    <row r="30" spans="1:53" s="81" customFormat="1" ht="21" customHeight="1">
      <c r="A30" s="81" t="s">
        <v>69</v>
      </c>
      <c r="B30" s="105">
        <f t="shared" si="5"/>
        <v>16.936270758399022</v>
      </c>
      <c r="C30" s="105">
        <f t="shared" si="0"/>
        <v>13.793903242754034</v>
      </c>
      <c r="D30" s="95" t="s">
        <v>64</v>
      </c>
      <c r="E30" s="105">
        <f t="shared" si="1"/>
        <v>12.799918698820941</v>
      </c>
      <c r="F30" s="105">
        <f>(F12*100/F6)</f>
        <v>15.708739571555281</v>
      </c>
      <c r="G30" s="105">
        <f>(G12*100/G6)</f>
        <v>15.846261491542078</v>
      </c>
      <c r="H30" s="105">
        <f>(H12*100/H6)</f>
        <v>14.722961050551412</v>
      </c>
      <c r="I30" s="105">
        <f>(I12*100/I6)</f>
        <v>13.892109570403889</v>
      </c>
      <c r="J30" s="105">
        <v>16.7</v>
      </c>
      <c r="K30" s="105">
        <f t="shared" ref="K30:AO30" si="7">(K12*100/K6)</f>
        <v>16.605623843886214</v>
      </c>
      <c r="L30" s="105">
        <f t="shared" si="7"/>
        <v>16.787386918192492</v>
      </c>
      <c r="M30" s="105">
        <f t="shared" si="7"/>
        <v>17.110983701649594</v>
      </c>
      <c r="N30" s="105">
        <f t="shared" si="7"/>
        <v>16.159177214558387</v>
      </c>
      <c r="O30" s="105">
        <f t="shared" si="7"/>
        <v>15.777076038810026</v>
      </c>
      <c r="P30" s="105">
        <f t="shared" si="7"/>
        <v>17.944393111717655</v>
      </c>
      <c r="Q30" s="105">
        <f t="shared" si="7"/>
        <v>15.495571956184214</v>
      </c>
      <c r="R30" s="105">
        <f t="shared" si="7"/>
        <v>16.758847664829805</v>
      </c>
      <c r="S30" s="105">
        <f t="shared" si="7"/>
        <v>16.812890472458591</v>
      </c>
      <c r="T30" s="105">
        <f t="shared" si="7"/>
        <v>15.503047348479457</v>
      </c>
      <c r="U30" s="105">
        <f t="shared" si="7"/>
        <v>17.624723949596444</v>
      </c>
      <c r="V30" s="105">
        <f t="shared" si="7"/>
        <v>16.299127534904475</v>
      </c>
      <c r="W30" s="105">
        <f t="shared" si="7"/>
        <v>16.780795213347844</v>
      </c>
      <c r="X30" s="105">
        <f t="shared" si="7"/>
        <v>15.386323089123781</v>
      </c>
      <c r="Y30" s="105">
        <f t="shared" si="7"/>
        <v>15.975122992666853</v>
      </c>
      <c r="Z30" s="105">
        <f t="shared" si="7"/>
        <v>16.116417019734293</v>
      </c>
      <c r="AA30" s="105">
        <f t="shared" si="7"/>
        <v>15.987773230268671</v>
      </c>
      <c r="AB30" s="105">
        <f t="shared" si="7"/>
        <v>15.916997977056457</v>
      </c>
      <c r="AC30" s="105">
        <f t="shared" si="7"/>
        <v>15.987773230268671</v>
      </c>
      <c r="AD30" s="105">
        <f t="shared" si="7"/>
        <v>17.011729594948488</v>
      </c>
      <c r="AE30" s="105">
        <f t="shared" si="7"/>
        <v>17.337868301364445</v>
      </c>
      <c r="AF30" s="105">
        <f t="shared" si="7"/>
        <v>16.895317943659013</v>
      </c>
      <c r="AG30" s="105">
        <f t="shared" si="7"/>
        <v>15.102121710438215</v>
      </c>
      <c r="AH30" s="105">
        <f t="shared" si="7"/>
        <v>18.486069568846563</v>
      </c>
      <c r="AI30" s="105">
        <f t="shared" si="7"/>
        <v>20.22507702293483</v>
      </c>
      <c r="AJ30" s="105">
        <f t="shared" si="7"/>
        <v>17.153186117058556</v>
      </c>
      <c r="AK30" s="105">
        <f t="shared" si="7"/>
        <v>18.602211576296373</v>
      </c>
      <c r="AL30" s="105">
        <f t="shared" si="7"/>
        <v>20.336848932272996</v>
      </c>
      <c r="AM30" s="105">
        <f t="shared" si="7"/>
        <v>20.66510402657342</v>
      </c>
      <c r="AN30" s="105">
        <f t="shared" si="7"/>
        <v>19.83056553733261</v>
      </c>
      <c r="AO30" s="105">
        <f t="shared" si="7"/>
        <v>20.126685447858002</v>
      </c>
      <c r="AP30" s="105">
        <v>22.550697485561436</v>
      </c>
      <c r="AQ30" s="105">
        <v>20.424734635304574</v>
      </c>
      <c r="AR30" s="105">
        <v>19.281753686282631</v>
      </c>
      <c r="AS30" s="105">
        <v>19.231793839004993</v>
      </c>
      <c r="AT30" s="105">
        <v>22.550697485561436</v>
      </c>
      <c r="AU30" s="105">
        <v>20.424734635304574</v>
      </c>
      <c r="AV30" s="105">
        <v>19.281753686282631</v>
      </c>
      <c r="AW30" s="105">
        <v>19.231793839004993</v>
      </c>
      <c r="AX30" s="105">
        <v>22.550697485561436</v>
      </c>
      <c r="AY30" s="105">
        <v>20.424734635304574</v>
      </c>
      <c r="AZ30" s="105">
        <v>19.281753686282631</v>
      </c>
      <c r="BA30" s="105">
        <v>19.231793839004993</v>
      </c>
    </row>
    <row r="31" spans="1:53" s="81" customFormat="1" ht="21" customHeight="1">
      <c r="A31" s="103" t="s">
        <v>70</v>
      </c>
      <c r="B31" s="105">
        <f t="shared" si="5"/>
        <v>12.91544129705146</v>
      </c>
      <c r="C31" s="105">
        <f t="shared" si="0"/>
        <v>11.558452322545543</v>
      </c>
      <c r="D31" s="95" t="s">
        <v>64</v>
      </c>
      <c r="E31" s="105">
        <f t="shared" si="1"/>
        <v>10.624147350668579</v>
      </c>
      <c r="F31" s="105">
        <f t="shared" ref="F31:AO31" si="8">(F13*100/F6)</f>
        <v>12.799541906612927</v>
      </c>
      <c r="G31" s="105">
        <f t="shared" si="8"/>
        <v>12.979109676362757</v>
      </c>
      <c r="H31" s="105">
        <f t="shared" si="8"/>
        <v>12.978429910116658</v>
      </c>
      <c r="I31" s="105">
        <f t="shared" si="8"/>
        <v>11.954626913538952</v>
      </c>
      <c r="J31" s="105">
        <f t="shared" si="8"/>
        <v>13.546257097619966</v>
      </c>
      <c r="K31" s="105">
        <f t="shared" si="8"/>
        <v>14.114457549938106</v>
      </c>
      <c r="L31" s="105">
        <f t="shared" si="8"/>
        <v>13.672304605947359</v>
      </c>
      <c r="M31" s="105">
        <f t="shared" si="8"/>
        <v>13.837351478441649</v>
      </c>
      <c r="N31" s="105">
        <f t="shared" si="8"/>
        <v>13.094751097692468</v>
      </c>
      <c r="O31" s="105">
        <f t="shared" si="8"/>
        <v>12.664590744369278</v>
      </c>
      <c r="P31" s="105">
        <f t="shared" si="8"/>
        <v>14.427983240663522</v>
      </c>
      <c r="Q31" s="105">
        <f t="shared" si="8"/>
        <v>13.433852593298688</v>
      </c>
      <c r="R31" s="105">
        <f t="shared" si="8"/>
        <v>14.250526225089756</v>
      </c>
      <c r="S31" s="105">
        <f t="shared" si="8"/>
        <v>13.305673224887496</v>
      </c>
      <c r="T31" s="105">
        <f t="shared" si="8"/>
        <v>12.896005852730942</v>
      </c>
      <c r="U31" s="105">
        <f t="shared" si="8"/>
        <v>14.348337484679556</v>
      </c>
      <c r="V31" s="105">
        <f t="shared" si="8"/>
        <v>13.640193280961944</v>
      </c>
      <c r="W31" s="105">
        <f t="shared" si="8"/>
        <v>14.351794097859836</v>
      </c>
      <c r="X31" s="105">
        <f t="shared" si="8"/>
        <v>12.52502705395017</v>
      </c>
      <c r="Y31" s="105">
        <f t="shared" si="8"/>
        <v>13.870162054576578</v>
      </c>
      <c r="Z31" s="105">
        <f t="shared" si="8"/>
        <v>13.508090872733181</v>
      </c>
      <c r="AA31" s="105">
        <f t="shared" si="8"/>
        <v>13.510461029001979</v>
      </c>
      <c r="AB31" s="105">
        <f t="shared" si="8"/>
        <v>13.270979238936135</v>
      </c>
      <c r="AC31" s="105">
        <f t="shared" si="8"/>
        <v>13.510461029001979</v>
      </c>
      <c r="AD31" s="105">
        <f t="shared" si="8"/>
        <v>13.821266911967369</v>
      </c>
      <c r="AE31" s="105">
        <f t="shared" si="8"/>
        <v>14.370179948586118</v>
      </c>
      <c r="AF31" s="105">
        <f t="shared" si="8"/>
        <v>14.109192890496397</v>
      </c>
      <c r="AG31" s="105">
        <f t="shared" si="8"/>
        <v>11.990070575739791</v>
      </c>
      <c r="AH31" s="105">
        <f t="shared" si="8"/>
        <v>15.489122082762437</v>
      </c>
      <c r="AI31" s="105">
        <f t="shared" si="8"/>
        <v>16.499953295240346</v>
      </c>
      <c r="AJ31" s="105">
        <f t="shared" si="8"/>
        <v>13.35940379024335</v>
      </c>
      <c r="AK31" s="105">
        <f t="shared" si="8"/>
        <v>16.322468630277868</v>
      </c>
      <c r="AL31" s="105">
        <f t="shared" si="8"/>
        <v>16.347915088531785</v>
      </c>
      <c r="AM31" s="105">
        <f t="shared" si="8"/>
        <v>14.544849051528697</v>
      </c>
      <c r="AN31" s="105">
        <f t="shared" si="8"/>
        <v>15.995101104141044</v>
      </c>
      <c r="AO31" s="105">
        <f t="shared" si="8"/>
        <v>17.402606286554708</v>
      </c>
      <c r="AP31" s="105">
        <v>18.860604398442078</v>
      </c>
      <c r="AQ31" s="105">
        <v>17.403180842490471</v>
      </c>
      <c r="AR31" s="105">
        <v>15.914751102724177</v>
      </c>
      <c r="AS31" s="105">
        <v>16.957837114232859</v>
      </c>
      <c r="AT31" s="105">
        <v>18.860604398442078</v>
      </c>
      <c r="AU31" s="105">
        <v>17.403180842490471</v>
      </c>
      <c r="AV31" s="105">
        <v>15.914751102724177</v>
      </c>
      <c r="AW31" s="105">
        <v>16.957837114232859</v>
      </c>
      <c r="AX31" s="105">
        <v>18.860604398442078</v>
      </c>
      <c r="AY31" s="105">
        <v>17.403180842490471</v>
      </c>
      <c r="AZ31" s="105">
        <v>15.914751102724177</v>
      </c>
      <c r="BA31" s="105">
        <v>16.957837114232859</v>
      </c>
    </row>
    <row r="32" spans="1:53" s="81" customFormat="1" ht="21" customHeight="1">
      <c r="A32" s="103" t="s">
        <v>71</v>
      </c>
      <c r="B32" s="105">
        <f t="shared" si="5"/>
        <v>4.0208294613475601</v>
      </c>
      <c r="C32" s="105">
        <f t="shared" si="0"/>
        <v>2.2354509202084922</v>
      </c>
      <c r="D32" s="95" t="s">
        <v>64</v>
      </c>
      <c r="E32" s="105">
        <f t="shared" si="1"/>
        <v>2.17577134815236</v>
      </c>
      <c r="F32" s="105">
        <f>(F14*100/F6)</f>
        <v>2.9091976649423539</v>
      </c>
      <c r="G32" s="105">
        <f>(G14*100/G6)</f>
        <v>2.8671518151793212</v>
      </c>
      <c r="H32" s="105">
        <f>(H14*100/H$6)</f>
        <v>1.7306368330464716</v>
      </c>
      <c r="I32" s="105">
        <f>(I14*100/I$6)</f>
        <v>1.8943244805828923</v>
      </c>
      <c r="J32" s="105">
        <f>(J14*100/J6)</f>
        <v>3.208057896025557</v>
      </c>
      <c r="K32" s="105">
        <f>(K14*100/K$6)</f>
        <v>2.46475981238705</v>
      </c>
      <c r="L32" s="105">
        <f t="shared" ref="L32:AO32" si="9">(L14*100/L6)</f>
        <v>3.1150823122451348</v>
      </c>
      <c r="M32" s="105">
        <f t="shared" si="9"/>
        <v>3.2736322232079451</v>
      </c>
      <c r="N32" s="105">
        <f t="shared" si="9"/>
        <v>3.0644261168659175</v>
      </c>
      <c r="O32" s="105">
        <f t="shared" si="9"/>
        <v>3.1124852944407495</v>
      </c>
      <c r="P32" s="105">
        <f t="shared" si="9"/>
        <v>3.1057411105123451</v>
      </c>
      <c r="Q32" s="105">
        <f t="shared" si="9"/>
        <v>2.0177726177779065</v>
      </c>
      <c r="R32" s="105">
        <f t="shared" si="9"/>
        <v>2.5083214397400484</v>
      </c>
      <c r="S32" s="105">
        <f t="shared" si="9"/>
        <v>3.5072172475710954</v>
      </c>
      <c r="T32" s="105">
        <f t="shared" si="9"/>
        <v>2.6070414957485148</v>
      </c>
      <c r="U32" s="105">
        <f t="shared" si="9"/>
        <v>3.2763864649168886</v>
      </c>
      <c r="V32" s="105">
        <f t="shared" si="9"/>
        <v>2.6589342539425322</v>
      </c>
      <c r="W32" s="105">
        <f t="shared" si="9"/>
        <v>2.4290011154880071</v>
      </c>
      <c r="X32" s="105">
        <f t="shared" si="9"/>
        <v>2.8612960351736119</v>
      </c>
      <c r="Y32" s="105">
        <f t="shared" si="9"/>
        <v>2.1049609380902732</v>
      </c>
      <c r="Z32" s="105">
        <f t="shared" si="9"/>
        <v>2.6083261470011125</v>
      </c>
      <c r="AA32" s="105">
        <f t="shared" si="9"/>
        <v>2.4773122012666913</v>
      </c>
      <c r="AB32" s="105">
        <f t="shared" si="9"/>
        <v>2.6460187381203224</v>
      </c>
      <c r="AC32" s="105">
        <f t="shared" si="9"/>
        <v>2.4773122012666913</v>
      </c>
      <c r="AD32" s="105">
        <f t="shared" si="9"/>
        <v>3.1904626829811189</v>
      </c>
      <c r="AE32" s="105">
        <f t="shared" si="9"/>
        <v>2.9676883527783269</v>
      </c>
      <c r="AF32" s="105">
        <f t="shared" si="9"/>
        <v>2.7861250531626154</v>
      </c>
      <c r="AG32" s="105">
        <f t="shared" si="9"/>
        <v>3.112051134698425</v>
      </c>
      <c r="AH32" s="105">
        <f t="shared" si="9"/>
        <v>2.9797194663681554</v>
      </c>
      <c r="AI32" s="105">
        <f t="shared" si="9"/>
        <v>3.7251237276944855</v>
      </c>
      <c r="AJ32" s="105">
        <f t="shared" si="9"/>
        <v>3.7937823268152062</v>
      </c>
      <c r="AK32" s="105">
        <f t="shared" si="9"/>
        <v>2.2797429460185055</v>
      </c>
      <c r="AL32" s="105">
        <f t="shared" si="9"/>
        <v>3.9516075230270462</v>
      </c>
      <c r="AM32" s="105">
        <f t="shared" si="9"/>
        <v>6.1202549750447233</v>
      </c>
      <c r="AN32" s="105">
        <f t="shared" si="9"/>
        <v>3.8354644331915653</v>
      </c>
      <c r="AO32" s="105">
        <f t="shared" si="9"/>
        <v>2.7240791613032935</v>
      </c>
      <c r="AP32" s="105">
        <v>3.6900930871193571</v>
      </c>
      <c r="AQ32" s="105">
        <v>3.0215537928141032</v>
      </c>
      <c r="AR32" s="105">
        <v>3.3670025835584543</v>
      </c>
      <c r="AS32" s="105">
        <v>2.2739567247721331</v>
      </c>
      <c r="AT32" s="105">
        <v>3.6900930871193571</v>
      </c>
      <c r="AU32" s="105">
        <v>3.0215537928141032</v>
      </c>
      <c r="AV32" s="105">
        <v>3.3670025835584543</v>
      </c>
      <c r="AW32" s="105">
        <v>2.2739567247721331</v>
      </c>
      <c r="AX32" s="105">
        <v>3.6900930871193571</v>
      </c>
      <c r="AY32" s="105">
        <v>3.0215537928141032</v>
      </c>
      <c r="AZ32" s="105">
        <v>3.3670025835584543</v>
      </c>
      <c r="BA32" s="105">
        <v>2.2739567247721331</v>
      </c>
    </row>
    <row r="33" spans="1:57" s="81" customFormat="1" ht="21" customHeight="1">
      <c r="A33" s="104" t="s">
        <v>72</v>
      </c>
      <c r="B33" s="105">
        <f t="shared" si="5"/>
        <v>0</v>
      </c>
      <c r="C33" s="105">
        <f t="shared" si="0"/>
        <v>0</v>
      </c>
      <c r="D33" s="95" t="s">
        <v>64</v>
      </c>
      <c r="E33" s="105">
        <f t="shared" si="1"/>
        <v>0</v>
      </c>
      <c r="F33" s="105">
        <f>(F15*100/F6)</f>
        <v>0</v>
      </c>
      <c r="G33" s="105">
        <f>(G15*100/G6)</f>
        <v>0</v>
      </c>
      <c r="H33" s="105">
        <f>(H15*100/H$6)</f>
        <v>1.3894307388283293E-2</v>
      </c>
      <c r="I33" s="105">
        <f>(I15*100/I$6)</f>
        <v>4.3220815144573627E-2</v>
      </c>
      <c r="J33" s="105">
        <f>(0*100/J6)</f>
        <v>0</v>
      </c>
      <c r="K33" s="105">
        <f>(K15*100/K$6)</f>
        <v>2.6406481561059809E-2</v>
      </c>
      <c r="L33" s="105">
        <f t="shared" ref="L33:U33" si="10">(L15*100/L6)</f>
        <v>0</v>
      </c>
      <c r="M33" s="105">
        <f t="shared" si="10"/>
        <v>0</v>
      </c>
      <c r="N33" s="105">
        <f t="shared" si="10"/>
        <v>0</v>
      </c>
      <c r="O33" s="105">
        <f t="shared" si="10"/>
        <v>0</v>
      </c>
      <c r="P33" s="105">
        <f t="shared" si="10"/>
        <v>0.41066876054179019</v>
      </c>
      <c r="Q33" s="105">
        <f t="shared" si="10"/>
        <v>4.3946745107619159E-2</v>
      </c>
      <c r="R33" s="105">
        <f t="shared" si="10"/>
        <v>0</v>
      </c>
      <c r="S33" s="105">
        <f t="shared" si="10"/>
        <v>0</v>
      </c>
      <c r="T33" s="105">
        <f t="shared" si="10"/>
        <v>0</v>
      </c>
      <c r="U33" s="105">
        <f t="shared" si="10"/>
        <v>0</v>
      </c>
      <c r="V33" s="105" t="s">
        <v>74</v>
      </c>
      <c r="W33" s="105" t="s">
        <v>74</v>
      </c>
      <c r="X33" s="105" t="s">
        <v>74</v>
      </c>
      <c r="Y33" s="105" t="s">
        <v>74</v>
      </c>
      <c r="Z33" s="105" t="s">
        <v>74</v>
      </c>
      <c r="AA33" s="105" t="s">
        <v>74</v>
      </c>
      <c r="AB33" s="105" t="s">
        <v>74</v>
      </c>
      <c r="AC33" s="105" t="s">
        <v>74</v>
      </c>
      <c r="AD33" s="105" t="s">
        <v>74</v>
      </c>
      <c r="AE33" s="105" t="s">
        <v>74</v>
      </c>
      <c r="AF33" s="105" t="s">
        <v>74</v>
      </c>
      <c r="AG33" s="105" t="s">
        <v>74</v>
      </c>
      <c r="AH33" s="105" t="s">
        <v>74</v>
      </c>
      <c r="AI33" s="105" t="s">
        <v>74</v>
      </c>
      <c r="AJ33" s="105" t="s">
        <v>74</v>
      </c>
      <c r="AK33" s="105" t="s">
        <v>74</v>
      </c>
      <c r="AL33" s="105" t="s">
        <v>74</v>
      </c>
      <c r="AM33" s="105" t="s">
        <v>74</v>
      </c>
      <c r="AN33" s="105" t="s">
        <v>74</v>
      </c>
      <c r="AO33" s="105" t="s">
        <v>74</v>
      </c>
      <c r="AP33" s="105">
        <v>0</v>
      </c>
      <c r="AQ33" s="105">
        <v>0</v>
      </c>
      <c r="AR33" s="105" t="s">
        <v>74</v>
      </c>
      <c r="AS33" s="105">
        <v>0</v>
      </c>
      <c r="AT33" s="105">
        <v>0</v>
      </c>
      <c r="AU33" s="105">
        <v>0</v>
      </c>
      <c r="AV33" s="105" t="s">
        <v>74</v>
      </c>
      <c r="AW33" s="105">
        <v>0</v>
      </c>
      <c r="AX33" s="105">
        <v>0</v>
      </c>
      <c r="AY33" s="105">
        <v>0</v>
      </c>
      <c r="AZ33" s="105" t="s">
        <v>74</v>
      </c>
      <c r="BA33" s="105">
        <v>0</v>
      </c>
    </row>
    <row r="34" spans="1:57" s="81" customFormat="1" ht="21" customHeight="1">
      <c r="A34" s="81" t="s">
        <v>75</v>
      </c>
      <c r="B34" s="105">
        <f t="shared" si="5"/>
        <v>12.739152062447387</v>
      </c>
      <c r="C34" s="105">
        <v>12.5</v>
      </c>
      <c r="D34" s="95" t="s">
        <v>64</v>
      </c>
      <c r="E34" s="105">
        <f t="shared" si="1"/>
        <v>12.956796527719264</v>
      </c>
      <c r="F34" s="105">
        <f t="shared" ref="F34:AO34" si="11">(F16*100/F6)</f>
        <v>15.43032459129221</v>
      </c>
      <c r="G34" s="105">
        <f t="shared" si="11"/>
        <v>14.064269417868386</v>
      </c>
      <c r="H34" s="105">
        <f t="shared" si="11"/>
        <v>13.917431631287053</v>
      </c>
      <c r="I34" s="105">
        <f t="shared" si="11"/>
        <v>13.5509783250744</v>
      </c>
      <c r="J34" s="105">
        <f t="shared" si="11"/>
        <v>16.904639547150143</v>
      </c>
      <c r="K34" s="105">
        <f t="shared" si="11"/>
        <v>13.061293910024281</v>
      </c>
      <c r="L34" s="105">
        <f t="shared" si="11"/>
        <v>13.875277730577828</v>
      </c>
      <c r="M34" s="105">
        <f t="shared" si="11"/>
        <v>15.539592390474208</v>
      </c>
      <c r="N34" s="105">
        <f t="shared" si="11"/>
        <v>14.543086549583904</v>
      </c>
      <c r="O34" s="105">
        <f t="shared" si="11"/>
        <v>15.57267958425628</v>
      </c>
      <c r="P34" s="105">
        <f t="shared" si="11"/>
        <v>14.273943382850312</v>
      </c>
      <c r="Q34" s="105">
        <f t="shared" si="11"/>
        <v>13.534841961712186</v>
      </c>
      <c r="R34" s="105">
        <f t="shared" si="11"/>
        <v>14.739222824649154</v>
      </c>
      <c r="S34" s="105">
        <f t="shared" si="11"/>
        <v>13.449765482061652</v>
      </c>
      <c r="T34" s="105">
        <f t="shared" si="11"/>
        <v>13.598774797958376</v>
      </c>
      <c r="U34" s="105">
        <f t="shared" si="11"/>
        <v>13.902632574794833</v>
      </c>
      <c r="V34" s="105">
        <f t="shared" si="11"/>
        <v>14.283606932750907</v>
      </c>
      <c r="W34" s="105">
        <f t="shared" si="11"/>
        <v>12.868974380257688</v>
      </c>
      <c r="X34" s="105">
        <f t="shared" si="11"/>
        <v>11.165352059997739</v>
      </c>
      <c r="Y34" s="105">
        <f t="shared" si="11"/>
        <v>12.287969421112356</v>
      </c>
      <c r="Z34" s="105">
        <f t="shared" si="11"/>
        <v>14.046181557996826</v>
      </c>
      <c r="AA34" s="105">
        <f t="shared" si="11"/>
        <v>13.934884933782802</v>
      </c>
      <c r="AB34" s="105">
        <f t="shared" si="11"/>
        <v>14.040212109287127</v>
      </c>
      <c r="AC34" s="105">
        <f t="shared" si="11"/>
        <v>13.934884933782802</v>
      </c>
      <c r="AD34" s="105">
        <f t="shared" si="11"/>
        <v>15.910608545560761</v>
      </c>
      <c r="AE34" s="105">
        <f t="shared" si="11"/>
        <v>15.29222859402808</v>
      </c>
      <c r="AF34" s="105">
        <f t="shared" si="11"/>
        <v>14.793493997674434</v>
      </c>
      <c r="AG34" s="105">
        <f t="shared" si="11"/>
        <v>15.149488492320689</v>
      </c>
      <c r="AH34" s="105">
        <f t="shared" si="11"/>
        <v>14.480676308965526</v>
      </c>
      <c r="AI34" s="105">
        <f t="shared" si="11"/>
        <v>14.434405360588688</v>
      </c>
      <c r="AJ34" s="105">
        <f t="shared" si="11"/>
        <v>15.060343388384927</v>
      </c>
      <c r="AK34" s="105">
        <f t="shared" si="11"/>
        <v>14.950901802813913</v>
      </c>
      <c r="AL34" s="105">
        <f t="shared" si="11"/>
        <v>17.752550139298112</v>
      </c>
      <c r="AM34" s="105">
        <f t="shared" si="11"/>
        <v>16.117394404382225</v>
      </c>
      <c r="AN34" s="105">
        <f t="shared" si="11"/>
        <v>17.230217186673354</v>
      </c>
      <c r="AO34" s="105">
        <f t="shared" si="11"/>
        <v>15.442927730231572</v>
      </c>
      <c r="AP34" s="105">
        <v>18.38421632826789</v>
      </c>
      <c r="AQ34" s="105">
        <v>16.365907680968686</v>
      </c>
      <c r="AR34" s="105">
        <v>14.40595606787212</v>
      </c>
      <c r="AS34" s="105">
        <v>14.033690831228986</v>
      </c>
      <c r="AT34" s="105">
        <v>18.38421632826789</v>
      </c>
      <c r="AU34" s="105">
        <v>16.365907680968686</v>
      </c>
      <c r="AV34" s="105">
        <v>14.40595606787212</v>
      </c>
      <c r="AW34" s="105">
        <v>14.033690831228986</v>
      </c>
      <c r="AX34" s="105">
        <v>18.38421632826789</v>
      </c>
      <c r="AY34" s="105">
        <v>16.365907680968686</v>
      </c>
      <c r="AZ34" s="105">
        <v>14.40595606787212</v>
      </c>
      <c r="BA34" s="105">
        <v>14.033690831228986</v>
      </c>
    </row>
    <row r="35" spans="1:57" s="81" customFormat="1" ht="21" customHeight="1">
      <c r="A35" s="104" t="s">
        <v>76</v>
      </c>
      <c r="B35" s="105">
        <f t="shared" si="5"/>
        <v>5.4808869671692051</v>
      </c>
      <c r="C35" s="105">
        <f>C17*100/$C$6</f>
        <v>6.4633834957361733</v>
      </c>
      <c r="D35" s="95" t="s">
        <v>64</v>
      </c>
      <c r="E35" s="105">
        <f t="shared" si="1"/>
        <v>6.3855515455264094</v>
      </c>
      <c r="F35" s="105">
        <f t="shared" ref="F35:AO35" si="12">(F17*100/F6)</f>
        <v>7.3838477767307111</v>
      </c>
      <c r="G35" s="105">
        <f t="shared" si="12"/>
        <v>6.7381096783599839</v>
      </c>
      <c r="H35" s="105">
        <f t="shared" si="12"/>
        <v>5.9258615414037097</v>
      </c>
      <c r="I35" s="105">
        <f t="shared" si="12"/>
        <v>6.6891414905418447</v>
      </c>
      <c r="J35" s="105">
        <f t="shared" si="12"/>
        <v>10.429789581113406</v>
      </c>
      <c r="K35" s="105">
        <f t="shared" si="12"/>
        <v>8.4391604900152277</v>
      </c>
      <c r="L35" s="105">
        <f t="shared" si="12"/>
        <v>7.2503322499762364</v>
      </c>
      <c r="M35" s="105">
        <f t="shared" si="12"/>
        <v>8.5687300207295483</v>
      </c>
      <c r="N35" s="105">
        <f t="shared" si="12"/>
        <v>8.0910960029427006</v>
      </c>
      <c r="O35" s="105">
        <f t="shared" si="12"/>
        <v>7.7195946958121366</v>
      </c>
      <c r="P35" s="105">
        <f t="shared" si="12"/>
        <v>7.775511913707672</v>
      </c>
      <c r="Q35" s="105">
        <f t="shared" si="12"/>
        <v>8.5312091147312259</v>
      </c>
      <c r="R35" s="105">
        <f t="shared" si="12"/>
        <v>8.5277741875806203</v>
      </c>
      <c r="S35" s="105">
        <f t="shared" si="12"/>
        <v>7.8220019428759704</v>
      </c>
      <c r="T35" s="105">
        <f t="shared" si="12"/>
        <v>7.6585802572810424</v>
      </c>
      <c r="U35" s="105">
        <f t="shared" si="12"/>
        <v>7.78532739154255</v>
      </c>
      <c r="V35" s="105">
        <f t="shared" si="12"/>
        <v>8.644875588591022</v>
      </c>
      <c r="W35" s="105">
        <f t="shared" si="12"/>
        <v>7.8101882543683319</v>
      </c>
      <c r="X35" s="105">
        <f t="shared" si="12"/>
        <v>6.6707279003902284</v>
      </c>
      <c r="Y35" s="105">
        <f t="shared" si="12"/>
        <v>6.886653901477783</v>
      </c>
      <c r="Z35" s="105">
        <f t="shared" si="12"/>
        <v>8.0504886705910295</v>
      </c>
      <c r="AA35" s="105">
        <f t="shared" si="12"/>
        <v>9.0421553197044311</v>
      </c>
      <c r="AB35" s="105">
        <f t="shared" si="12"/>
        <v>8.6777233215775151</v>
      </c>
      <c r="AC35" s="105">
        <f t="shared" si="12"/>
        <v>9.0421553197044311</v>
      </c>
      <c r="AD35" s="105">
        <f t="shared" si="12"/>
        <v>10.200577118249777</v>
      </c>
      <c r="AE35" s="105">
        <f t="shared" si="12"/>
        <v>8.7144947597389759</v>
      </c>
      <c r="AF35" s="105">
        <f t="shared" si="12"/>
        <v>8.7393830859511858</v>
      </c>
      <c r="AG35" s="105">
        <f t="shared" si="12"/>
        <v>8.2598025899452328</v>
      </c>
      <c r="AH35" s="105">
        <f t="shared" si="12"/>
        <v>7.9970364570779662</v>
      </c>
      <c r="AI35" s="105">
        <f t="shared" si="12"/>
        <v>8.1062696948382857</v>
      </c>
      <c r="AJ35" s="105">
        <f t="shared" si="12"/>
        <v>9.2338809257653605</v>
      </c>
      <c r="AK35" s="105">
        <f t="shared" si="12"/>
        <v>8.8056902130583872</v>
      </c>
      <c r="AL35" s="105">
        <f t="shared" si="12"/>
        <v>8.8721793082132265</v>
      </c>
      <c r="AM35" s="105">
        <f t="shared" si="12"/>
        <v>9.2724330647812518</v>
      </c>
      <c r="AN35" s="105">
        <f t="shared" si="12"/>
        <v>8.9345588588939346</v>
      </c>
      <c r="AO35" s="105">
        <f t="shared" si="12"/>
        <v>8.7181544935126478</v>
      </c>
      <c r="AP35" s="105">
        <v>8.4252204118486187</v>
      </c>
      <c r="AQ35" s="105">
        <v>8.1636438231104282</v>
      </c>
      <c r="AR35" s="105">
        <v>7.1313665325636171</v>
      </c>
      <c r="AS35" s="105">
        <v>6.6083806332261554</v>
      </c>
      <c r="AT35" s="105">
        <v>8.4252204118486187</v>
      </c>
      <c r="AU35" s="105">
        <v>8.1636438231104282</v>
      </c>
      <c r="AV35" s="105">
        <v>7.1313665325636171</v>
      </c>
      <c r="AW35" s="105">
        <v>6.6083806332261554</v>
      </c>
      <c r="AX35" s="105">
        <v>8.4252204118486187</v>
      </c>
      <c r="AY35" s="105">
        <v>8.1636438231104282</v>
      </c>
      <c r="AZ35" s="105">
        <v>7.1313665325636171</v>
      </c>
      <c r="BA35" s="105">
        <v>6.6083806332261554</v>
      </c>
    </row>
    <row r="36" spans="1:57" s="81" customFormat="1" ht="21" customHeight="1">
      <c r="A36" s="104" t="s">
        <v>77</v>
      </c>
      <c r="B36" s="105">
        <f t="shared" si="5"/>
        <v>4.8746023242847301</v>
      </c>
      <c r="C36" s="105">
        <f>C18*100/$C$6</f>
        <v>3.9352331502318734</v>
      </c>
      <c r="D36" s="95" t="s">
        <v>64</v>
      </c>
      <c r="E36" s="105">
        <f t="shared" si="1"/>
        <v>4.6717947299598057</v>
      </c>
      <c r="F36" s="105">
        <f t="shared" ref="F36:AO36" si="13">(F18*100/F6)</f>
        <v>5.1380407921913633</v>
      </c>
      <c r="G36" s="105">
        <f t="shared" si="13"/>
        <v>5.1115684020124057</v>
      </c>
      <c r="H36" s="105">
        <f t="shared" si="13"/>
        <v>5.3954643972716259</v>
      </c>
      <c r="I36" s="105">
        <f t="shared" si="13"/>
        <v>4.7837925701539596</v>
      </c>
      <c r="J36" s="105">
        <f t="shared" si="13"/>
        <v>4.0113429601655914</v>
      </c>
      <c r="K36" s="105">
        <f t="shared" si="13"/>
        <v>2.6159094861020824</v>
      </c>
      <c r="L36" s="105">
        <f t="shared" si="13"/>
        <v>4.2470286222233575</v>
      </c>
      <c r="M36" s="105">
        <f t="shared" si="13"/>
        <v>5.2068598322781918</v>
      </c>
      <c r="N36" s="105">
        <f t="shared" si="13"/>
        <v>5.0935857244437708</v>
      </c>
      <c r="O36" s="105">
        <f t="shared" si="13"/>
        <v>5.993077152005049</v>
      </c>
      <c r="P36" s="105">
        <f t="shared" si="13"/>
        <v>4.2758563778377656</v>
      </c>
      <c r="Q36" s="105">
        <f t="shared" si="13"/>
        <v>3.6753456241508142</v>
      </c>
      <c r="R36" s="105">
        <f t="shared" si="13"/>
        <v>4.6926729729943215</v>
      </c>
      <c r="S36" s="105">
        <f t="shared" si="13"/>
        <v>3.827622962176723</v>
      </c>
      <c r="T36" s="105">
        <f t="shared" si="13"/>
        <v>3.9826183000321671</v>
      </c>
      <c r="U36" s="105">
        <f t="shared" si="13"/>
        <v>4.4889608079028074</v>
      </c>
      <c r="V36" s="105">
        <f t="shared" si="13"/>
        <v>4.3614447928042175</v>
      </c>
      <c r="W36" s="105">
        <f t="shared" si="13"/>
        <v>4.0515809465311614</v>
      </c>
      <c r="X36" s="105">
        <f t="shared" si="13"/>
        <v>3.2703041863083042</v>
      </c>
      <c r="Y36" s="105">
        <f t="shared" si="13"/>
        <v>3.7477414466398553</v>
      </c>
      <c r="Z36" s="105">
        <f t="shared" si="13"/>
        <v>3.9914092085036184</v>
      </c>
      <c r="AA36" s="105">
        <f t="shared" si="13"/>
        <v>3.7452038096806839</v>
      </c>
      <c r="AB36" s="105">
        <f t="shared" si="13"/>
        <v>3.7612430755519459</v>
      </c>
      <c r="AC36" s="105">
        <f t="shared" si="13"/>
        <v>3.7452038096806839</v>
      </c>
      <c r="AD36" s="105">
        <f t="shared" si="13"/>
        <v>3.7070727119173874</v>
      </c>
      <c r="AE36" s="105">
        <f t="shared" si="13"/>
        <v>4.5334387977061503</v>
      </c>
      <c r="AF36" s="105">
        <f t="shared" si="13"/>
        <v>4.4149761750682579</v>
      </c>
      <c r="AG36" s="105">
        <f t="shared" si="13"/>
        <v>5.4854406449840569</v>
      </c>
      <c r="AH36" s="105">
        <f t="shared" si="13"/>
        <v>4.8229558105338421</v>
      </c>
      <c r="AI36" s="105">
        <f t="shared" si="13"/>
        <v>4.9585285685430271</v>
      </c>
      <c r="AJ36" s="105">
        <f t="shared" si="13"/>
        <v>4.5191185487736298</v>
      </c>
      <c r="AK36" s="105">
        <f t="shared" si="13"/>
        <v>4.671909402484876</v>
      </c>
      <c r="AL36" s="105">
        <f t="shared" si="13"/>
        <v>5.8200347759702939</v>
      </c>
      <c r="AM36" s="105">
        <f t="shared" si="13"/>
        <v>5.165678275460146</v>
      </c>
      <c r="AN36" s="105">
        <f t="shared" si="13"/>
        <v>6.1607222607751657</v>
      </c>
      <c r="AO36" s="105">
        <f t="shared" si="13"/>
        <v>4.6694924656945718</v>
      </c>
      <c r="AP36" s="105">
        <v>7.1710206458575607</v>
      </c>
      <c r="AQ36" s="105">
        <v>5.563632972257059</v>
      </c>
      <c r="AR36" s="105">
        <v>4.7717882552409936</v>
      </c>
      <c r="AS36" s="105">
        <v>4.9236906605560824</v>
      </c>
      <c r="AT36" s="105">
        <v>7.1710206458575607</v>
      </c>
      <c r="AU36" s="105">
        <v>5.563632972257059</v>
      </c>
      <c r="AV36" s="105">
        <v>4.7717882552409936</v>
      </c>
      <c r="AW36" s="105">
        <v>4.9236906605560824</v>
      </c>
      <c r="AX36" s="105">
        <v>7.1710206458575607</v>
      </c>
      <c r="AY36" s="105">
        <v>5.563632972257059</v>
      </c>
      <c r="AZ36" s="105">
        <v>4.7717882552409936</v>
      </c>
      <c r="BA36" s="105">
        <v>4.9236906605560824</v>
      </c>
    </row>
    <row r="37" spans="1:57" s="81" customFormat="1" ht="21" customHeight="1">
      <c r="A37" s="104" t="s">
        <v>78</v>
      </c>
      <c r="B37" s="105">
        <f t="shared" si="5"/>
        <v>2.3836627709934515</v>
      </c>
      <c r="C37" s="105">
        <f>C19*100/$C$6</f>
        <v>2.0513022751548387</v>
      </c>
      <c r="D37" s="95" t="s">
        <v>64</v>
      </c>
      <c r="E37" s="105">
        <f t="shared" si="1"/>
        <v>1.8994502522330488</v>
      </c>
      <c r="F37" s="105">
        <f t="shared" ref="F37:AO37" si="14">(F19*100/F6)</f>
        <v>2.9084360223701347</v>
      </c>
      <c r="G37" s="105">
        <f t="shared" si="14"/>
        <v>2.2145913374959973</v>
      </c>
      <c r="H37" s="105">
        <f t="shared" si="14"/>
        <v>2.5961056926117165</v>
      </c>
      <c r="I37" s="105">
        <f t="shared" si="14"/>
        <v>2.0780442643785944</v>
      </c>
      <c r="J37" s="105">
        <f t="shared" si="14"/>
        <v>2.4635070058711444</v>
      </c>
      <c r="K37" s="105">
        <f t="shared" si="14"/>
        <v>2.0062239339069703</v>
      </c>
      <c r="L37" s="105">
        <f t="shared" si="14"/>
        <v>2.3779168583782346</v>
      </c>
      <c r="M37" s="105">
        <f t="shared" si="14"/>
        <v>1.7640025374664683</v>
      </c>
      <c r="N37" s="105">
        <f t="shared" si="14"/>
        <v>1.3584048221974336</v>
      </c>
      <c r="O37" s="105">
        <f t="shared" si="14"/>
        <v>1.8600077364390941</v>
      </c>
      <c r="P37" s="105">
        <f t="shared" si="14"/>
        <v>2.2225750913048752</v>
      </c>
      <c r="Q37" s="105">
        <f t="shared" si="14"/>
        <v>1.3282872228301452</v>
      </c>
      <c r="R37" s="105">
        <f t="shared" si="14"/>
        <v>1.5187756640742107</v>
      </c>
      <c r="S37" s="105">
        <f t="shared" si="14"/>
        <v>1.8001405770089582</v>
      </c>
      <c r="T37" s="105">
        <f t="shared" si="14"/>
        <v>1.9575762406451669</v>
      </c>
      <c r="U37" s="105">
        <f t="shared" si="14"/>
        <v>1.6283443753494755</v>
      </c>
      <c r="V37" s="105">
        <f t="shared" si="14"/>
        <v>1.2772865513556675</v>
      </c>
      <c r="W37" s="105">
        <f t="shared" si="14"/>
        <v>1.0072051793581911</v>
      </c>
      <c r="X37" s="105">
        <f t="shared" si="14"/>
        <v>1.2243199732992058</v>
      </c>
      <c r="Y37" s="105">
        <f t="shared" si="14"/>
        <v>1.6535740729947177</v>
      </c>
      <c r="Z37" s="105">
        <f t="shared" si="14"/>
        <v>2.0043617912089284</v>
      </c>
      <c r="AA37" s="105">
        <f t="shared" si="14"/>
        <v>1.1475258043976877</v>
      </c>
      <c r="AB37" s="105">
        <f t="shared" si="14"/>
        <v>1.6012457121576655</v>
      </c>
      <c r="AC37" s="105">
        <f t="shared" si="14"/>
        <v>1.1475258043976877</v>
      </c>
      <c r="AD37" s="105">
        <f t="shared" si="14"/>
        <v>2.0029587153935968</v>
      </c>
      <c r="AE37" s="105">
        <f t="shared" si="14"/>
        <v>2.0442950365829544</v>
      </c>
      <c r="AF37" s="105">
        <f t="shared" si="14"/>
        <v>1.6391347366549898</v>
      </c>
      <c r="AG37" s="105">
        <f t="shared" si="14"/>
        <v>1.4042452573913988</v>
      </c>
      <c r="AH37" s="105">
        <f t="shared" si="14"/>
        <v>1.6606840413537178</v>
      </c>
      <c r="AI37" s="105">
        <f t="shared" si="14"/>
        <v>1.3696070972073746</v>
      </c>
      <c r="AJ37" s="105">
        <f t="shared" si="14"/>
        <v>1.307343913845936</v>
      </c>
      <c r="AK37" s="105">
        <f t="shared" si="14"/>
        <v>1.4733021872706502</v>
      </c>
      <c r="AL37" s="105">
        <f t="shared" si="14"/>
        <v>3.0603360551145928</v>
      </c>
      <c r="AM37" s="105">
        <f t="shared" si="14"/>
        <v>1.6792830641408254</v>
      </c>
      <c r="AN37" s="105">
        <f t="shared" si="14"/>
        <v>2.134936067004253</v>
      </c>
      <c r="AO37" s="105">
        <f t="shared" si="14"/>
        <v>2.0552807710243535</v>
      </c>
      <c r="AP37" s="105">
        <v>2.7579752705617104</v>
      </c>
      <c r="AQ37" s="105">
        <v>2.6386308856011986</v>
      </c>
      <c r="AR37" s="105">
        <v>2.4728012800675092</v>
      </c>
      <c r="AS37" s="105">
        <v>2.5016195374467483</v>
      </c>
      <c r="AT37" s="105">
        <v>2.7579752705617104</v>
      </c>
      <c r="AU37" s="105">
        <v>2.6386308856011986</v>
      </c>
      <c r="AV37" s="105">
        <v>2.4728012800675092</v>
      </c>
      <c r="AW37" s="105">
        <v>2.5016195374467483</v>
      </c>
      <c r="AX37" s="105">
        <v>2.7579752705617104</v>
      </c>
      <c r="AY37" s="105">
        <v>2.6386308856011986</v>
      </c>
      <c r="AZ37" s="105">
        <v>2.4728012800675092</v>
      </c>
      <c r="BA37" s="105">
        <v>2.5016195374467483</v>
      </c>
    </row>
    <row r="38" spans="1:57" s="81" customFormat="1" ht="21" customHeight="1">
      <c r="A38" s="103" t="s">
        <v>79</v>
      </c>
      <c r="B38" s="105">
        <f t="shared" si="5"/>
        <v>0</v>
      </c>
      <c r="C38" s="105">
        <f>C20*100/$C$6</f>
        <v>0</v>
      </c>
      <c r="D38" s="95" t="s">
        <v>64</v>
      </c>
      <c r="E38" s="105">
        <f t="shared" si="1"/>
        <v>0</v>
      </c>
      <c r="F38" s="105">
        <f t="shared" ref="F38:V38" si="15">(F20*100/F6)</f>
        <v>0</v>
      </c>
      <c r="G38" s="105">
        <f t="shared" si="15"/>
        <v>0</v>
      </c>
      <c r="H38" s="105">
        <f t="shared" si="15"/>
        <v>0</v>
      </c>
      <c r="I38" s="105">
        <f t="shared" si="15"/>
        <v>0</v>
      </c>
      <c r="J38" s="105">
        <f t="shared" si="15"/>
        <v>0</v>
      </c>
      <c r="K38" s="105">
        <f t="shared" si="15"/>
        <v>0</v>
      </c>
      <c r="L38" s="105">
        <f t="shared" si="15"/>
        <v>0</v>
      </c>
      <c r="M38" s="105">
        <f t="shared" si="15"/>
        <v>0</v>
      </c>
      <c r="N38" s="105">
        <f t="shared" si="15"/>
        <v>0</v>
      </c>
      <c r="O38" s="105">
        <f t="shared" si="15"/>
        <v>0</v>
      </c>
      <c r="P38" s="105">
        <f t="shared" si="15"/>
        <v>0</v>
      </c>
      <c r="Q38" s="105">
        <f t="shared" si="15"/>
        <v>0</v>
      </c>
      <c r="R38" s="105">
        <f t="shared" si="15"/>
        <v>0</v>
      </c>
      <c r="S38" s="105">
        <f t="shared" si="15"/>
        <v>0</v>
      </c>
      <c r="T38" s="105">
        <f t="shared" si="15"/>
        <v>0</v>
      </c>
      <c r="U38" s="105">
        <f t="shared" si="15"/>
        <v>0</v>
      </c>
      <c r="V38" s="105">
        <f t="shared" si="15"/>
        <v>6.5464238325054894E-2</v>
      </c>
      <c r="W38" s="105" t="s">
        <v>74</v>
      </c>
      <c r="X38" s="105" t="s">
        <v>74</v>
      </c>
      <c r="Y38" s="105" t="s">
        <v>74</v>
      </c>
      <c r="Z38" s="105" t="s">
        <v>74</v>
      </c>
      <c r="AA38" s="105" t="s">
        <v>74</v>
      </c>
      <c r="AB38" s="105" t="s">
        <v>74</v>
      </c>
      <c r="AC38" s="105" t="s">
        <v>74</v>
      </c>
      <c r="AD38" s="105" t="s">
        <v>74</v>
      </c>
      <c r="AE38" s="105" t="s">
        <v>74</v>
      </c>
      <c r="AF38" s="105" t="s">
        <v>74</v>
      </c>
      <c r="AG38" s="105" t="s">
        <v>74</v>
      </c>
      <c r="AH38" s="105" t="s">
        <v>74</v>
      </c>
      <c r="AI38" s="105" t="s">
        <v>74</v>
      </c>
      <c r="AJ38" s="105" t="s">
        <v>74</v>
      </c>
      <c r="AK38" s="105" t="s">
        <v>74</v>
      </c>
      <c r="AL38" s="105" t="s">
        <v>74</v>
      </c>
      <c r="AM38" s="105" t="s">
        <v>74</v>
      </c>
      <c r="AN38" s="105" t="s">
        <v>74</v>
      </c>
      <c r="AO38" s="105" t="s">
        <v>74</v>
      </c>
      <c r="AP38" s="105">
        <v>0</v>
      </c>
      <c r="AQ38" s="105">
        <v>0</v>
      </c>
      <c r="AR38" s="105" t="s">
        <v>74</v>
      </c>
      <c r="AS38" s="105">
        <v>0</v>
      </c>
      <c r="AT38" s="105">
        <v>0</v>
      </c>
      <c r="AU38" s="105">
        <v>0</v>
      </c>
      <c r="AV38" s="105" t="s">
        <v>74</v>
      </c>
      <c r="AW38" s="105">
        <v>0</v>
      </c>
      <c r="AX38" s="105">
        <v>0</v>
      </c>
      <c r="AY38" s="105">
        <v>0</v>
      </c>
      <c r="AZ38" s="105" t="s">
        <v>74</v>
      </c>
      <c r="BA38" s="105">
        <v>0</v>
      </c>
    </row>
    <row r="39" spans="1:57" s="113" customFormat="1" ht="21" customHeight="1">
      <c r="A39" s="103" t="s">
        <v>80</v>
      </c>
      <c r="B39" s="105">
        <f t="shared" si="5"/>
        <v>2.343690211984388E-2</v>
      </c>
      <c r="C39" s="105">
        <f>C21*100/$C$6</f>
        <v>0</v>
      </c>
      <c r="D39" s="95" t="s">
        <v>64</v>
      </c>
      <c r="E39" s="105">
        <f t="shared" si="1"/>
        <v>0</v>
      </c>
      <c r="F39" s="105">
        <f t="shared" ref="F39:X39" si="16">(F21*100/F6)</f>
        <v>0</v>
      </c>
      <c r="G39" s="105">
        <f t="shared" si="16"/>
        <v>0</v>
      </c>
      <c r="H39" s="105">
        <f t="shared" si="16"/>
        <v>0</v>
      </c>
      <c r="I39" s="105">
        <f t="shared" si="16"/>
        <v>0</v>
      </c>
      <c r="J39" s="105">
        <f t="shared" si="16"/>
        <v>0</v>
      </c>
      <c r="K39" s="105">
        <f t="shared" si="16"/>
        <v>8.4604056755569534E-2</v>
      </c>
      <c r="L39" s="105">
        <f t="shared" si="16"/>
        <v>7.9654788000341148E-2</v>
      </c>
      <c r="M39" s="105">
        <f t="shared" si="16"/>
        <v>0</v>
      </c>
      <c r="N39" s="105">
        <f t="shared" si="16"/>
        <v>0</v>
      </c>
      <c r="O39" s="105">
        <f t="shared" si="16"/>
        <v>0</v>
      </c>
      <c r="P39" s="105">
        <f t="shared" si="16"/>
        <v>3.6571962995425068E-2</v>
      </c>
      <c r="Q39" s="105">
        <f t="shared" si="16"/>
        <v>0.13782152584610077</v>
      </c>
      <c r="R39" s="105">
        <f t="shared" si="16"/>
        <v>7.713922064311346E-2</v>
      </c>
      <c r="S39" s="105">
        <f t="shared" si="16"/>
        <v>2.3902542834805938E-2</v>
      </c>
      <c r="T39" s="105">
        <f t="shared" si="16"/>
        <v>0</v>
      </c>
      <c r="U39" s="105">
        <f t="shared" si="16"/>
        <v>0</v>
      </c>
      <c r="V39" s="105">
        <f t="shared" si="16"/>
        <v>9.041697490635385E-2</v>
      </c>
      <c r="W39" s="105">
        <f t="shared" si="16"/>
        <v>0.20988681726273634</v>
      </c>
      <c r="X39" s="105">
        <f t="shared" si="16"/>
        <v>3.2698957695563372E-2</v>
      </c>
      <c r="Y39" s="105" t="s">
        <v>74</v>
      </c>
      <c r="Z39" s="105">
        <f t="shared" ref="Z39:AO39" si="17">(Z21*100/Z6)</f>
        <v>9.3294995813180348E-2</v>
      </c>
      <c r="AA39" s="105">
        <f t="shared" si="17"/>
        <v>5.5343771965502789E-2</v>
      </c>
      <c r="AB39" s="105">
        <f t="shared" si="17"/>
        <v>0.14010719885360479</v>
      </c>
      <c r="AC39" s="105">
        <f t="shared" si="17"/>
        <v>5.5343771965502789E-2</v>
      </c>
      <c r="AD39" s="105">
        <f t="shared" si="17"/>
        <v>4.6124460508542263E-2</v>
      </c>
      <c r="AE39" s="105">
        <f t="shared" si="17"/>
        <v>8.7166304132885106E-2</v>
      </c>
      <c r="AF39" s="105">
        <f t="shared" si="17"/>
        <v>0</v>
      </c>
      <c r="AG39" s="105">
        <f t="shared" si="17"/>
        <v>0</v>
      </c>
      <c r="AH39" s="105" t="e">
        <f t="shared" si="17"/>
        <v>#VALUE!</v>
      </c>
      <c r="AI39" s="105" t="e">
        <f t="shared" si="17"/>
        <v>#VALUE!</v>
      </c>
      <c r="AJ39" s="105">
        <f t="shared" si="17"/>
        <v>0.11470898461391695</v>
      </c>
      <c r="AK39" s="105">
        <f t="shared" si="17"/>
        <v>6.6029019516563064E-2</v>
      </c>
      <c r="AL39" s="105">
        <f t="shared" si="17"/>
        <v>0.10024059431609651</v>
      </c>
      <c r="AM39" s="105">
        <f t="shared" si="17"/>
        <v>0.23388367297273066</v>
      </c>
      <c r="AN39" s="105">
        <f t="shared" si="17"/>
        <v>4.3028520780800175E-2</v>
      </c>
      <c r="AO39" s="105">
        <f t="shared" si="17"/>
        <v>0.11395517040302257</v>
      </c>
      <c r="AP39" s="105">
        <v>0.18788389309673617</v>
      </c>
      <c r="AQ39" s="105">
        <v>0</v>
      </c>
      <c r="AR39" s="105" t="s">
        <v>74</v>
      </c>
      <c r="AS39" s="105">
        <v>9.194075127244071E-2</v>
      </c>
      <c r="AT39" s="105">
        <v>0.18788389309673617</v>
      </c>
      <c r="AU39" s="105">
        <v>0</v>
      </c>
      <c r="AV39" s="105" t="s">
        <v>74</v>
      </c>
      <c r="AW39" s="105">
        <v>9.194075127244071E-2</v>
      </c>
      <c r="AX39" s="105">
        <v>0.18788389309673617</v>
      </c>
      <c r="AY39" s="105">
        <v>0</v>
      </c>
      <c r="AZ39" s="105" t="s">
        <v>74</v>
      </c>
      <c r="BA39" s="105">
        <v>9.194075127244071E-2</v>
      </c>
      <c r="BB39" s="81"/>
      <c r="BC39" s="81"/>
      <c r="BD39" s="81"/>
      <c r="BE39" s="81"/>
    </row>
    <row r="40" spans="1:57" s="82" customFormat="1" ht="10.5" customHeight="1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115"/>
      <c r="N40" s="115"/>
      <c r="O40" s="116"/>
      <c r="P40" s="116"/>
      <c r="Q40" s="115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81"/>
      <c r="BC40" s="81"/>
      <c r="BD40" s="81"/>
      <c r="BE40" s="81"/>
    </row>
    <row r="41" spans="1:57" ht="9" customHeight="1"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</row>
    <row r="42" spans="1:57" ht="26.25" customHeight="1">
      <c r="P42" s="118"/>
      <c r="BB42" s="113"/>
      <c r="BC42" s="113"/>
      <c r="BD42" s="113"/>
      <c r="BE42" s="113"/>
    </row>
    <row r="43" spans="1:57" ht="26.25" customHeight="1">
      <c r="P43" s="118"/>
      <c r="BB43" s="82"/>
      <c r="BC43" s="82"/>
      <c r="BD43" s="82"/>
      <c r="BE43" s="82"/>
    </row>
    <row r="44" spans="1:57" ht="26.25" customHeight="1">
      <c r="P44" s="118"/>
    </row>
    <row r="45" spans="1:57" ht="26.25" customHeight="1">
      <c r="P45" s="118"/>
    </row>
    <row r="46" spans="1:57" ht="26.25" customHeight="1">
      <c r="P46" s="118"/>
    </row>
    <row r="47" spans="1:57" ht="26.25" customHeight="1">
      <c r="P47" s="118"/>
    </row>
    <row r="48" spans="1:57" ht="26.25" customHeight="1">
      <c r="P48" s="118"/>
    </row>
    <row r="49" spans="1:29" ht="26.25" customHeight="1">
      <c r="A49" s="83"/>
      <c r="G49" s="83"/>
      <c r="H49" s="83"/>
      <c r="K49" s="83"/>
      <c r="P49" s="118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26.25" customHeight="1">
      <c r="A50" s="83"/>
      <c r="G50" s="83"/>
      <c r="H50" s="83"/>
      <c r="K50" s="83"/>
      <c r="P50" s="118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26.25" customHeight="1">
      <c r="A51" s="83"/>
      <c r="G51" s="83"/>
      <c r="H51" s="83"/>
      <c r="K51" s="83"/>
      <c r="P51" s="118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</row>
    <row r="52" spans="1:29" ht="26.25" customHeight="1">
      <c r="A52" s="83"/>
      <c r="G52" s="83"/>
      <c r="H52" s="83"/>
      <c r="K52" s="83"/>
      <c r="P52" s="118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</row>
    <row r="53" spans="1:29" ht="26.25" customHeight="1">
      <c r="A53" s="83"/>
      <c r="G53" s="83"/>
      <c r="H53" s="83"/>
      <c r="K53" s="83"/>
      <c r="P53" s="118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29" ht="26.25" customHeight="1">
      <c r="A54" s="83"/>
      <c r="G54" s="83"/>
      <c r="H54" s="83"/>
      <c r="K54" s="83"/>
      <c r="P54" s="118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29" ht="26.25" customHeight="1">
      <c r="A55" s="83"/>
      <c r="G55" s="83"/>
      <c r="H55" s="83"/>
      <c r="K55" s="83"/>
      <c r="P55" s="118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</row>
    <row r="56" spans="1:29" ht="26.25" customHeight="1">
      <c r="A56" s="83"/>
      <c r="G56" s="83"/>
      <c r="H56" s="83"/>
      <c r="K56" s="83"/>
      <c r="P56" s="118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</row>
    <row r="57" spans="1:29" ht="26.25" customHeight="1">
      <c r="A57" s="83"/>
      <c r="G57" s="83"/>
      <c r="H57" s="83"/>
      <c r="K57" s="83"/>
      <c r="P57" s="118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</row>
    <row r="58" spans="1:29" ht="26.25" customHeight="1">
      <c r="A58" s="83"/>
      <c r="G58" s="83"/>
      <c r="H58" s="83"/>
      <c r="K58" s="83"/>
      <c r="P58" s="118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</row>
    <row r="59" spans="1:29" ht="26.25" customHeight="1">
      <c r="A59" s="83"/>
      <c r="G59" s="83"/>
      <c r="H59" s="83"/>
      <c r="K59" s="83"/>
      <c r="P59" s="118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</row>
    <row r="60" spans="1:29" ht="26.25" customHeight="1">
      <c r="A60" s="83"/>
      <c r="G60" s="83"/>
      <c r="H60" s="83"/>
      <c r="K60" s="83"/>
      <c r="P60" s="118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</row>
    <row r="61" spans="1:29" ht="26.25" customHeight="1">
      <c r="A61" s="83"/>
      <c r="G61" s="83"/>
      <c r="H61" s="83"/>
      <c r="K61" s="83"/>
      <c r="P61" s="118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1:29" ht="26.25" customHeight="1">
      <c r="A62" s="83"/>
      <c r="G62" s="83"/>
      <c r="H62" s="83"/>
      <c r="K62" s="83"/>
      <c r="P62" s="118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1:29" ht="26.25" customHeight="1">
      <c r="A63" s="83"/>
      <c r="G63" s="83"/>
      <c r="H63" s="83"/>
      <c r="K63" s="83"/>
      <c r="P63" s="118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</row>
    <row r="64" spans="1:29" ht="26.25" customHeight="1">
      <c r="A64" s="83"/>
      <c r="G64" s="83"/>
      <c r="H64" s="83"/>
      <c r="K64" s="83"/>
      <c r="P64" s="118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</row>
    <row r="65" spans="1:29" ht="26.25" customHeight="1">
      <c r="A65" s="83"/>
      <c r="G65" s="83"/>
      <c r="H65" s="83"/>
      <c r="K65" s="83"/>
      <c r="P65" s="118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</row>
  </sheetData>
  <mergeCells count="16">
    <mergeCell ref="AX3:BA3"/>
    <mergeCell ref="A5:L5"/>
    <mergeCell ref="A22:L2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H3"/>
    <mergeCell ref="J3:M3"/>
    <mergeCell ref="N3:Q3"/>
    <mergeCell ref="R3:U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50" workbookViewId="0">
      <selection activeCell="B53" sqref="B53"/>
    </sheetView>
  </sheetViews>
  <sheetFormatPr defaultRowHeight="21.75"/>
  <cols>
    <col min="1" max="1" width="15.375" style="38" customWidth="1"/>
    <col min="2" max="7" width="9.125" style="38" bestFit="1" customWidth="1"/>
    <col min="8" max="8" width="9.25" style="38" bestFit="1" customWidth="1"/>
    <col min="9" max="10" width="9.125" style="38" bestFit="1" customWidth="1"/>
    <col min="11" max="16384" width="9" style="38"/>
  </cols>
  <sheetData>
    <row r="1" spans="1:10" s="44" customFormat="1" ht="21">
      <c r="A1" s="58" t="s">
        <v>133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55" customFormat="1" ht="8.25">
      <c r="A2" s="57"/>
      <c r="B2" s="56"/>
      <c r="C2" s="56"/>
      <c r="D2" s="56"/>
      <c r="E2" s="56"/>
      <c r="F2" s="56"/>
      <c r="G2" s="56"/>
      <c r="H2" s="56"/>
      <c r="I2" s="56"/>
      <c r="J2" s="56"/>
    </row>
    <row r="3" spans="1:10" s="45" customFormat="1" ht="21">
      <c r="A3" s="54" t="s">
        <v>53</v>
      </c>
      <c r="B3" s="53" t="s">
        <v>49</v>
      </c>
      <c r="C3" s="50"/>
      <c r="D3" s="52"/>
      <c r="E3" s="50" t="s">
        <v>52</v>
      </c>
      <c r="F3" s="51"/>
      <c r="G3" s="52"/>
      <c r="H3" s="50" t="s">
        <v>51</v>
      </c>
      <c r="I3" s="51"/>
      <c r="J3" s="50"/>
    </row>
    <row r="4" spans="1:10" s="45" customFormat="1" ht="21">
      <c r="A4" s="49" t="s">
        <v>50</v>
      </c>
      <c r="B4" s="48" t="s">
        <v>49</v>
      </c>
      <c r="C4" s="47" t="s">
        <v>48</v>
      </c>
      <c r="D4" s="47" t="s">
        <v>47</v>
      </c>
      <c r="E4" s="47" t="s">
        <v>49</v>
      </c>
      <c r="F4" s="47" t="s">
        <v>48</v>
      </c>
      <c r="G4" s="47" t="s">
        <v>47</v>
      </c>
      <c r="H4" s="47" t="s">
        <v>49</v>
      </c>
      <c r="I4" s="47" t="s">
        <v>48</v>
      </c>
      <c r="J4" s="46" t="s">
        <v>47</v>
      </c>
    </row>
    <row r="5" spans="1:10" s="45" customFormat="1" ht="21.6" customHeight="1">
      <c r="A5" s="209" t="s">
        <v>46</v>
      </c>
      <c r="B5" s="210">
        <v>2498943</v>
      </c>
      <c r="C5" s="210">
        <v>1203215</v>
      </c>
      <c r="D5" s="210">
        <v>1295728</v>
      </c>
      <c r="E5" s="210">
        <v>650512</v>
      </c>
      <c r="F5" s="210">
        <v>307663</v>
      </c>
      <c r="G5" s="210">
        <v>342849</v>
      </c>
      <c r="H5" s="210">
        <v>1848431</v>
      </c>
      <c r="I5" s="210">
        <v>895552</v>
      </c>
      <c r="J5" s="210">
        <v>952879</v>
      </c>
    </row>
    <row r="6" spans="1:10" s="44" customFormat="1" ht="21.6" customHeight="1">
      <c r="A6" s="211" t="s">
        <v>45</v>
      </c>
      <c r="B6" s="212">
        <v>450965</v>
      </c>
      <c r="C6" s="213">
        <v>230167</v>
      </c>
      <c r="D6" s="213">
        <v>220798</v>
      </c>
      <c r="E6" s="212">
        <v>117278</v>
      </c>
      <c r="F6" s="214">
        <v>58855</v>
      </c>
      <c r="G6" s="214">
        <v>58423</v>
      </c>
      <c r="H6" s="212">
        <v>333687</v>
      </c>
      <c r="I6" s="214">
        <v>171312</v>
      </c>
      <c r="J6" s="214">
        <v>162375</v>
      </c>
    </row>
    <row r="7" spans="1:10" s="44" customFormat="1" ht="21.6" customHeight="1">
      <c r="A7" s="215" t="s">
        <v>44</v>
      </c>
      <c r="B7" s="212">
        <v>114091</v>
      </c>
      <c r="C7" s="213">
        <v>58393</v>
      </c>
      <c r="D7" s="213">
        <v>55698</v>
      </c>
      <c r="E7" s="212">
        <v>29668</v>
      </c>
      <c r="F7" s="214">
        <v>14931</v>
      </c>
      <c r="G7" s="214">
        <v>14737</v>
      </c>
      <c r="H7" s="212">
        <v>84423</v>
      </c>
      <c r="I7" s="214">
        <v>43462</v>
      </c>
      <c r="J7" s="214">
        <v>40961</v>
      </c>
    </row>
    <row r="8" spans="1:10" s="44" customFormat="1" ht="21.6" customHeight="1">
      <c r="A8" s="211" t="s">
        <v>43</v>
      </c>
      <c r="B8" s="212">
        <v>78821</v>
      </c>
      <c r="C8" s="213">
        <v>40258</v>
      </c>
      <c r="D8" s="213">
        <v>38563</v>
      </c>
      <c r="E8" s="212">
        <v>20498</v>
      </c>
      <c r="F8" s="214">
        <v>10294</v>
      </c>
      <c r="G8" s="214">
        <v>10204</v>
      </c>
      <c r="H8" s="212">
        <v>58323</v>
      </c>
      <c r="I8" s="214">
        <v>29964</v>
      </c>
      <c r="J8" s="214">
        <v>28359</v>
      </c>
    </row>
    <row r="9" spans="1:10" s="44" customFormat="1" ht="21.6" customHeight="1">
      <c r="A9" s="215" t="s">
        <v>42</v>
      </c>
      <c r="B9" s="212">
        <v>200572</v>
      </c>
      <c r="C9" s="213">
        <v>101793</v>
      </c>
      <c r="D9" s="213">
        <v>98779</v>
      </c>
      <c r="E9" s="212">
        <v>52165</v>
      </c>
      <c r="F9" s="214">
        <v>26028</v>
      </c>
      <c r="G9" s="214">
        <v>26137</v>
      </c>
      <c r="H9" s="212">
        <v>148407</v>
      </c>
      <c r="I9" s="214">
        <v>75765</v>
      </c>
      <c r="J9" s="214">
        <v>72642</v>
      </c>
    </row>
    <row r="10" spans="1:10" s="44" customFormat="1" ht="21.6" customHeight="1">
      <c r="A10" s="216" t="s">
        <v>41</v>
      </c>
      <c r="B10" s="212">
        <v>169914</v>
      </c>
      <c r="C10" s="213">
        <v>84146</v>
      </c>
      <c r="D10" s="213">
        <v>85768</v>
      </c>
      <c r="E10" s="212">
        <v>44213</v>
      </c>
      <c r="F10" s="214">
        <v>21517</v>
      </c>
      <c r="G10" s="214">
        <v>22696</v>
      </c>
      <c r="H10" s="212">
        <v>125701</v>
      </c>
      <c r="I10" s="214">
        <v>62629</v>
      </c>
      <c r="J10" s="214">
        <v>63072</v>
      </c>
    </row>
    <row r="11" spans="1:10" s="44" customFormat="1" ht="21.6" customHeight="1">
      <c r="A11" s="216" t="s">
        <v>40</v>
      </c>
      <c r="B11" s="212">
        <v>119489</v>
      </c>
      <c r="C11" s="213">
        <v>59754</v>
      </c>
      <c r="D11" s="213">
        <v>59735</v>
      </c>
      <c r="E11" s="212">
        <v>31085</v>
      </c>
      <c r="F11" s="214">
        <v>15279</v>
      </c>
      <c r="G11" s="214">
        <v>15806</v>
      </c>
      <c r="H11" s="212">
        <v>88404</v>
      </c>
      <c r="I11" s="214">
        <v>44475</v>
      </c>
      <c r="J11" s="214">
        <v>43929</v>
      </c>
    </row>
    <row r="12" spans="1:10" s="44" customFormat="1" ht="21.6" customHeight="1">
      <c r="A12" s="216" t="s">
        <v>39</v>
      </c>
      <c r="B12" s="212">
        <v>107651</v>
      </c>
      <c r="C12" s="213">
        <v>54520</v>
      </c>
      <c r="D12" s="213">
        <v>53131</v>
      </c>
      <c r="E12" s="212">
        <v>28000</v>
      </c>
      <c r="F12" s="214">
        <v>13941</v>
      </c>
      <c r="G12" s="214">
        <v>14059</v>
      </c>
      <c r="H12" s="212">
        <v>79651</v>
      </c>
      <c r="I12" s="214">
        <v>40579</v>
      </c>
      <c r="J12" s="214">
        <v>39072</v>
      </c>
    </row>
    <row r="13" spans="1:10" s="44" customFormat="1" ht="21.6" customHeight="1">
      <c r="A13" s="216" t="s">
        <v>38</v>
      </c>
      <c r="B13" s="212">
        <v>320662</v>
      </c>
      <c r="C13" s="213">
        <v>153608</v>
      </c>
      <c r="D13" s="213">
        <v>167054</v>
      </c>
      <c r="E13" s="212">
        <v>83480</v>
      </c>
      <c r="F13" s="214">
        <v>39277</v>
      </c>
      <c r="G13" s="214">
        <v>44203</v>
      </c>
      <c r="H13" s="212">
        <v>237182</v>
      </c>
      <c r="I13" s="214">
        <v>114331</v>
      </c>
      <c r="J13" s="214">
        <v>122851</v>
      </c>
    </row>
    <row r="14" spans="1:10" s="44" customFormat="1" ht="21.6" customHeight="1">
      <c r="A14" s="216" t="s">
        <v>37</v>
      </c>
      <c r="B14" s="212">
        <v>401994</v>
      </c>
      <c r="C14" s="213">
        <v>190965</v>
      </c>
      <c r="D14" s="213">
        <v>211029</v>
      </c>
      <c r="E14" s="212">
        <v>104667</v>
      </c>
      <c r="F14" s="214">
        <v>48829</v>
      </c>
      <c r="G14" s="214">
        <v>55838</v>
      </c>
      <c r="H14" s="212">
        <v>297327</v>
      </c>
      <c r="I14" s="214">
        <v>142136</v>
      </c>
      <c r="J14" s="214">
        <v>155191</v>
      </c>
    </row>
    <row r="15" spans="1:10" s="44" customFormat="1" ht="21.6" customHeight="1">
      <c r="A15" s="217" t="s">
        <v>36</v>
      </c>
      <c r="B15" s="218">
        <v>534784</v>
      </c>
      <c r="C15" s="219">
        <v>229611</v>
      </c>
      <c r="D15" s="219">
        <v>305173</v>
      </c>
      <c r="E15" s="218">
        <v>139458</v>
      </c>
      <c r="F15" s="220">
        <v>58712</v>
      </c>
      <c r="G15" s="220">
        <v>80746</v>
      </c>
      <c r="H15" s="218">
        <v>395326</v>
      </c>
      <c r="I15" s="220">
        <v>170899</v>
      </c>
      <c r="J15" s="220">
        <v>224427</v>
      </c>
    </row>
    <row r="17" spans="1:10" s="44" customFormat="1" ht="21">
      <c r="A17" s="58" t="s">
        <v>134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0" s="55" customFormat="1" ht="8.25">
      <c r="A18" s="57"/>
      <c r="B18" s="56"/>
      <c r="C18" s="56"/>
      <c r="D18" s="56"/>
      <c r="E18" s="56"/>
      <c r="F18" s="56"/>
      <c r="G18" s="56"/>
      <c r="H18" s="56"/>
      <c r="I18" s="56"/>
      <c r="J18" s="56"/>
    </row>
    <row r="19" spans="1:10" s="45" customFormat="1" ht="21">
      <c r="A19" s="54" t="s">
        <v>53</v>
      </c>
      <c r="B19" s="53" t="s">
        <v>49</v>
      </c>
      <c r="C19" s="50"/>
      <c r="D19" s="52"/>
      <c r="E19" s="50" t="s">
        <v>52</v>
      </c>
      <c r="F19" s="51"/>
      <c r="G19" s="52"/>
      <c r="H19" s="50" t="s">
        <v>51</v>
      </c>
      <c r="I19" s="51"/>
      <c r="J19" s="50"/>
    </row>
    <row r="20" spans="1:10" s="45" customFormat="1" ht="21">
      <c r="A20" s="49" t="s">
        <v>50</v>
      </c>
      <c r="B20" s="48" t="s">
        <v>49</v>
      </c>
      <c r="C20" s="47" t="s">
        <v>48</v>
      </c>
      <c r="D20" s="47" t="s">
        <v>47</v>
      </c>
      <c r="E20" s="47" t="s">
        <v>49</v>
      </c>
      <c r="F20" s="47" t="s">
        <v>48</v>
      </c>
      <c r="G20" s="47" t="s">
        <v>47</v>
      </c>
      <c r="H20" s="47" t="s">
        <v>49</v>
      </c>
      <c r="I20" s="47" t="s">
        <v>48</v>
      </c>
      <c r="J20" s="46" t="s">
        <v>47</v>
      </c>
    </row>
    <row r="21" spans="1:10" s="45" customFormat="1" ht="21.6" customHeight="1">
      <c r="A21" s="221" t="s">
        <v>46</v>
      </c>
      <c r="B21" s="222">
        <v>2497842</v>
      </c>
      <c r="C21" s="222">
        <v>1202350</v>
      </c>
      <c r="D21" s="222">
        <v>1295492</v>
      </c>
      <c r="E21" s="222">
        <v>650226</v>
      </c>
      <c r="F21" s="222">
        <v>307440</v>
      </c>
      <c r="G21" s="222">
        <v>342786</v>
      </c>
      <c r="H21" s="222">
        <v>1847616</v>
      </c>
      <c r="I21" s="222">
        <v>894910</v>
      </c>
      <c r="J21" s="222">
        <v>952706</v>
      </c>
    </row>
    <row r="22" spans="1:10" s="44" customFormat="1" ht="21.6" customHeight="1">
      <c r="A22" s="223" t="s">
        <v>45</v>
      </c>
      <c r="B22" s="212">
        <v>448752</v>
      </c>
      <c r="C22" s="213">
        <v>229017</v>
      </c>
      <c r="D22" s="213">
        <v>219735</v>
      </c>
      <c r="E22" s="212">
        <v>116702</v>
      </c>
      <c r="F22" s="214">
        <v>58560</v>
      </c>
      <c r="G22" s="214">
        <v>58142</v>
      </c>
      <c r="H22" s="212">
        <v>332050</v>
      </c>
      <c r="I22" s="214">
        <v>170457</v>
      </c>
      <c r="J22" s="214">
        <v>161593</v>
      </c>
    </row>
    <row r="23" spans="1:10" s="44" customFormat="1" ht="21.6" customHeight="1">
      <c r="A23" s="224" t="s">
        <v>44</v>
      </c>
      <c r="B23" s="212">
        <v>113501</v>
      </c>
      <c r="C23" s="213">
        <v>58105</v>
      </c>
      <c r="D23" s="213">
        <v>55396</v>
      </c>
      <c r="E23" s="212">
        <v>29516</v>
      </c>
      <c r="F23" s="214">
        <v>14858</v>
      </c>
      <c r="G23" s="214">
        <v>14658</v>
      </c>
      <c r="H23" s="212">
        <v>83985</v>
      </c>
      <c r="I23" s="214">
        <v>43247</v>
      </c>
      <c r="J23" s="214">
        <v>40738</v>
      </c>
    </row>
    <row r="24" spans="1:10" s="44" customFormat="1" ht="21.6" customHeight="1">
      <c r="A24" s="223" t="s">
        <v>43</v>
      </c>
      <c r="B24" s="212">
        <v>78548</v>
      </c>
      <c r="C24" s="213">
        <v>40133</v>
      </c>
      <c r="D24" s="213">
        <v>38415</v>
      </c>
      <c r="E24" s="212">
        <v>20427</v>
      </c>
      <c r="F24" s="214">
        <v>10262</v>
      </c>
      <c r="G24" s="214">
        <v>10165</v>
      </c>
      <c r="H24" s="212">
        <v>58121</v>
      </c>
      <c r="I24" s="214">
        <v>29871</v>
      </c>
      <c r="J24" s="214">
        <v>28250</v>
      </c>
    </row>
    <row r="25" spans="1:10" s="44" customFormat="1" ht="21.6" customHeight="1">
      <c r="A25" s="224" t="s">
        <v>42</v>
      </c>
      <c r="B25" s="212">
        <v>200084</v>
      </c>
      <c r="C25" s="213">
        <v>101574</v>
      </c>
      <c r="D25" s="213">
        <v>98510</v>
      </c>
      <c r="E25" s="212">
        <v>52039</v>
      </c>
      <c r="F25" s="214">
        <v>25973</v>
      </c>
      <c r="G25" s="214">
        <v>26066</v>
      </c>
      <c r="H25" s="212">
        <v>148045</v>
      </c>
      <c r="I25" s="214">
        <v>75601</v>
      </c>
      <c r="J25" s="214">
        <v>72444</v>
      </c>
    </row>
    <row r="26" spans="1:10" s="44" customFormat="1" ht="21.6" customHeight="1">
      <c r="A26" s="225" t="s">
        <v>41</v>
      </c>
      <c r="B26" s="212">
        <v>171363</v>
      </c>
      <c r="C26" s="213">
        <v>84923</v>
      </c>
      <c r="D26" s="213">
        <v>86440</v>
      </c>
      <c r="E26" s="212">
        <v>44586</v>
      </c>
      <c r="F26" s="214">
        <v>21714</v>
      </c>
      <c r="G26" s="214">
        <v>22872</v>
      </c>
      <c r="H26" s="212">
        <v>126777</v>
      </c>
      <c r="I26" s="214">
        <v>63209</v>
      </c>
      <c r="J26" s="214">
        <v>63568</v>
      </c>
    </row>
    <row r="27" spans="1:10" s="44" customFormat="1" ht="21.6" customHeight="1">
      <c r="A27" s="225" t="s">
        <v>40</v>
      </c>
      <c r="B27" s="212">
        <v>121242</v>
      </c>
      <c r="C27" s="213">
        <v>60540</v>
      </c>
      <c r="D27" s="213">
        <v>60702</v>
      </c>
      <c r="E27" s="212">
        <v>31542</v>
      </c>
      <c r="F27" s="214">
        <v>15480</v>
      </c>
      <c r="G27" s="214">
        <v>16062</v>
      </c>
      <c r="H27" s="212">
        <v>89700</v>
      </c>
      <c r="I27" s="214">
        <v>45060</v>
      </c>
      <c r="J27" s="214">
        <v>44640</v>
      </c>
    </row>
    <row r="28" spans="1:10" s="44" customFormat="1" ht="21.6" customHeight="1">
      <c r="A28" s="225" t="s">
        <v>39</v>
      </c>
      <c r="B28" s="212">
        <v>106435</v>
      </c>
      <c r="C28" s="213">
        <v>53955</v>
      </c>
      <c r="D28" s="213">
        <v>52480</v>
      </c>
      <c r="E28" s="212">
        <v>27683</v>
      </c>
      <c r="F28" s="214">
        <v>13797</v>
      </c>
      <c r="G28" s="214">
        <v>13886</v>
      </c>
      <c r="H28" s="212">
        <v>78752</v>
      </c>
      <c r="I28" s="214">
        <v>40158</v>
      </c>
      <c r="J28" s="214">
        <v>38594</v>
      </c>
    </row>
    <row r="29" spans="1:10" s="44" customFormat="1" ht="21.6" customHeight="1">
      <c r="A29" s="225" t="s">
        <v>38</v>
      </c>
      <c r="B29" s="212">
        <v>316511</v>
      </c>
      <c r="C29" s="213">
        <v>151734</v>
      </c>
      <c r="D29" s="213">
        <v>164777</v>
      </c>
      <c r="E29" s="212">
        <v>82398</v>
      </c>
      <c r="F29" s="214">
        <v>38799</v>
      </c>
      <c r="G29" s="214">
        <v>43599</v>
      </c>
      <c r="H29" s="212">
        <v>234113</v>
      </c>
      <c r="I29" s="214">
        <v>112935</v>
      </c>
      <c r="J29" s="214">
        <v>121178</v>
      </c>
    </row>
    <row r="30" spans="1:10" s="44" customFormat="1" ht="21.6" customHeight="1">
      <c r="A30" s="225" t="s">
        <v>37</v>
      </c>
      <c r="B30" s="212">
        <v>402201</v>
      </c>
      <c r="C30" s="213">
        <v>191002</v>
      </c>
      <c r="D30" s="213">
        <v>211199</v>
      </c>
      <c r="E30" s="212">
        <v>104719</v>
      </c>
      <c r="F30" s="214">
        <v>48838</v>
      </c>
      <c r="G30" s="214">
        <v>55881</v>
      </c>
      <c r="H30" s="212">
        <v>297482</v>
      </c>
      <c r="I30" s="214">
        <v>142164</v>
      </c>
      <c r="J30" s="214">
        <v>155318</v>
      </c>
    </row>
    <row r="31" spans="1:10" s="44" customFormat="1" ht="21.6" customHeight="1">
      <c r="A31" s="217" t="s">
        <v>36</v>
      </c>
      <c r="B31" s="218">
        <v>539205</v>
      </c>
      <c r="C31" s="219">
        <v>231367</v>
      </c>
      <c r="D31" s="219">
        <v>307838</v>
      </c>
      <c r="E31" s="218">
        <v>140614</v>
      </c>
      <c r="F31" s="220">
        <v>59159</v>
      </c>
      <c r="G31" s="220">
        <v>81455</v>
      </c>
      <c r="H31" s="218">
        <v>398591</v>
      </c>
      <c r="I31" s="220">
        <v>172208</v>
      </c>
      <c r="J31" s="220">
        <v>226383</v>
      </c>
    </row>
    <row r="33" spans="1:10" s="41" customFormat="1" ht="24">
      <c r="A33" s="41" t="s">
        <v>135</v>
      </c>
    </row>
    <row r="34" spans="1:10" s="39" customFormat="1" ht="18" customHeight="1"/>
    <row r="35" spans="1:10" s="41" customFormat="1" ht="24">
      <c r="A35" s="43" t="s">
        <v>53</v>
      </c>
      <c r="B35" s="252" t="s">
        <v>49</v>
      </c>
      <c r="C35" s="252"/>
      <c r="D35" s="252"/>
      <c r="E35" s="252" t="s">
        <v>52</v>
      </c>
      <c r="F35" s="252"/>
      <c r="G35" s="252"/>
      <c r="H35" s="252" t="s">
        <v>51</v>
      </c>
      <c r="I35" s="252"/>
      <c r="J35" s="252"/>
    </row>
    <row r="36" spans="1:10" s="41" customFormat="1" ht="24">
      <c r="A36" s="42" t="s">
        <v>50</v>
      </c>
      <c r="B36" s="42" t="s">
        <v>49</v>
      </c>
      <c r="C36" s="42" t="s">
        <v>48</v>
      </c>
      <c r="D36" s="42" t="s">
        <v>47</v>
      </c>
      <c r="E36" s="42" t="s">
        <v>49</v>
      </c>
      <c r="F36" s="42" t="s">
        <v>48</v>
      </c>
      <c r="G36" s="42" t="s">
        <v>47</v>
      </c>
      <c r="H36" s="42" t="s">
        <v>49</v>
      </c>
      <c r="I36" s="42" t="s">
        <v>48</v>
      </c>
      <c r="J36" s="42" t="s">
        <v>47</v>
      </c>
    </row>
    <row r="37" spans="1:10" s="41" customFormat="1" ht="24">
      <c r="A37" s="226" t="s">
        <v>46</v>
      </c>
      <c r="B37" s="222">
        <v>2496627</v>
      </c>
      <c r="C37" s="222">
        <v>1201440</v>
      </c>
      <c r="D37" s="222">
        <v>1295187</v>
      </c>
      <c r="E37" s="222">
        <v>650285</v>
      </c>
      <c r="F37" s="222">
        <v>307449</v>
      </c>
      <c r="G37" s="222">
        <v>342836</v>
      </c>
      <c r="H37" s="222">
        <v>1846342</v>
      </c>
      <c r="I37" s="222">
        <v>893991</v>
      </c>
      <c r="J37" s="222">
        <v>952351</v>
      </c>
    </row>
    <row r="38" spans="1:10" s="39" customFormat="1" ht="24">
      <c r="A38" s="227" t="s">
        <v>45</v>
      </c>
      <c r="B38" s="212">
        <v>446593</v>
      </c>
      <c r="C38" s="213">
        <v>227899</v>
      </c>
      <c r="D38" s="213">
        <v>218694</v>
      </c>
      <c r="E38" s="212">
        <v>116204</v>
      </c>
      <c r="F38" s="214">
        <v>58320</v>
      </c>
      <c r="G38" s="214">
        <v>57884</v>
      </c>
      <c r="H38" s="212">
        <v>330389</v>
      </c>
      <c r="I38" s="214">
        <v>169579</v>
      </c>
      <c r="J38" s="214">
        <v>160810</v>
      </c>
    </row>
    <row r="39" spans="1:10" s="39" customFormat="1" ht="24">
      <c r="A39" s="228" t="s">
        <v>44</v>
      </c>
      <c r="B39" s="212">
        <v>112925</v>
      </c>
      <c r="C39" s="213">
        <v>57823</v>
      </c>
      <c r="D39" s="213">
        <v>55102</v>
      </c>
      <c r="E39" s="212">
        <v>29382</v>
      </c>
      <c r="F39" s="214">
        <v>14797</v>
      </c>
      <c r="G39" s="214">
        <v>14585</v>
      </c>
      <c r="H39" s="212">
        <v>83543</v>
      </c>
      <c r="I39" s="214">
        <v>43026</v>
      </c>
      <c r="J39" s="214">
        <v>40517</v>
      </c>
    </row>
    <row r="40" spans="1:10" s="39" customFormat="1" ht="24">
      <c r="A40" s="227" t="s">
        <v>43</v>
      </c>
      <c r="B40" s="212">
        <v>78270</v>
      </c>
      <c r="C40" s="213">
        <v>40003</v>
      </c>
      <c r="D40" s="213">
        <v>38267</v>
      </c>
      <c r="E40" s="212">
        <v>20366</v>
      </c>
      <c r="F40" s="214">
        <v>10237</v>
      </c>
      <c r="G40" s="214">
        <v>10129</v>
      </c>
      <c r="H40" s="212">
        <v>57904</v>
      </c>
      <c r="I40" s="214">
        <v>29766</v>
      </c>
      <c r="J40" s="214">
        <v>28138</v>
      </c>
    </row>
    <row r="41" spans="1:10" s="39" customFormat="1" ht="24">
      <c r="A41" s="228" t="s">
        <v>42</v>
      </c>
      <c r="B41" s="212">
        <v>199490</v>
      </c>
      <c r="C41" s="213">
        <v>101299</v>
      </c>
      <c r="D41" s="213">
        <v>98191</v>
      </c>
      <c r="E41" s="212">
        <v>51913</v>
      </c>
      <c r="F41" s="214">
        <v>25923</v>
      </c>
      <c r="G41" s="214">
        <v>25990</v>
      </c>
      <c r="H41" s="212">
        <v>147577</v>
      </c>
      <c r="I41" s="214">
        <v>75376</v>
      </c>
      <c r="J41" s="214">
        <v>72201</v>
      </c>
    </row>
    <row r="42" spans="1:10" s="39" customFormat="1" ht="24">
      <c r="A42" s="229" t="s">
        <v>41</v>
      </c>
      <c r="B42" s="212">
        <v>172705</v>
      </c>
      <c r="C42" s="213">
        <v>85653</v>
      </c>
      <c r="D42" s="213">
        <v>87052</v>
      </c>
      <c r="E42" s="212">
        <v>44963</v>
      </c>
      <c r="F42" s="214">
        <v>21919</v>
      </c>
      <c r="G42" s="214">
        <v>23044</v>
      </c>
      <c r="H42" s="212">
        <v>127742</v>
      </c>
      <c r="I42" s="214">
        <v>63734</v>
      </c>
      <c r="J42" s="214">
        <v>64008</v>
      </c>
    </row>
    <row r="43" spans="1:10" s="39" customFormat="1" ht="24">
      <c r="A43" s="229" t="s">
        <v>40</v>
      </c>
      <c r="B43" s="212">
        <v>123096</v>
      </c>
      <c r="C43" s="213">
        <v>61376</v>
      </c>
      <c r="D43" s="213">
        <v>61720</v>
      </c>
      <c r="E43" s="212">
        <v>32043</v>
      </c>
      <c r="F43" s="214">
        <v>15706</v>
      </c>
      <c r="G43" s="214">
        <v>16337</v>
      </c>
      <c r="H43" s="212">
        <v>91053</v>
      </c>
      <c r="I43" s="214">
        <v>45670</v>
      </c>
      <c r="J43" s="214">
        <v>45383</v>
      </c>
    </row>
    <row r="44" spans="1:10" s="39" customFormat="1" ht="24">
      <c r="A44" s="229" t="s">
        <v>39</v>
      </c>
      <c r="B44" s="212">
        <v>105367</v>
      </c>
      <c r="C44" s="213">
        <v>53453</v>
      </c>
      <c r="D44" s="213">
        <v>51914</v>
      </c>
      <c r="E44" s="212">
        <v>27420</v>
      </c>
      <c r="F44" s="214">
        <v>13678</v>
      </c>
      <c r="G44" s="214">
        <v>13742</v>
      </c>
      <c r="H44" s="212">
        <v>77947</v>
      </c>
      <c r="I44" s="214">
        <v>39775</v>
      </c>
      <c r="J44" s="214">
        <v>38172</v>
      </c>
    </row>
    <row r="45" spans="1:10" s="39" customFormat="1" ht="24">
      <c r="A45" s="229" t="s">
        <v>38</v>
      </c>
      <c r="B45" s="212">
        <v>312328</v>
      </c>
      <c r="C45" s="213">
        <v>149848</v>
      </c>
      <c r="D45" s="213">
        <v>162480</v>
      </c>
      <c r="E45" s="212">
        <v>81353</v>
      </c>
      <c r="F45" s="214">
        <v>38344</v>
      </c>
      <c r="G45" s="214">
        <v>43009</v>
      </c>
      <c r="H45" s="212">
        <v>230975</v>
      </c>
      <c r="I45" s="214">
        <v>111504</v>
      </c>
      <c r="J45" s="214">
        <v>119471</v>
      </c>
    </row>
    <row r="46" spans="1:10" s="39" customFormat="1" ht="24">
      <c r="A46" s="257" t="s">
        <v>37</v>
      </c>
      <c r="B46" s="212">
        <v>402238</v>
      </c>
      <c r="C46" s="213">
        <v>190954</v>
      </c>
      <c r="D46" s="213">
        <v>211284</v>
      </c>
      <c r="E46" s="212">
        <v>104793</v>
      </c>
      <c r="F46" s="214">
        <v>48866</v>
      </c>
      <c r="G46" s="214">
        <v>55927</v>
      </c>
      <c r="H46" s="212">
        <v>297445</v>
      </c>
      <c r="I46" s="214">
        <v>142088</v>
      </c>
      <c r="J46" s="214">
        <v>155357</v>
      </c>
    </row>
    <row r="47" spans="1:10" s="39" customFormat="1" ht="24">
      <c r="A47" s="258" t="s">
        <v>36</v>
      </c>
      <c r="B47" s="218">
        <v>543615</v>
      </c>
      <c r="C47" s="219">
        <v>233132</v>
      </c>
      <c r="D47" s="219">
        <v>310483</v>
      </c>
      <c r="E47" s="218">
        <v>141848</v>
      </c>
      <c r="F47" s="220">
        <v>59659</v>
      </c>
      <c r="G47" s="220">
        <v>82189</v>
      </c>
      <c r="H47" s="218">
        <v>401767</v>
      </c>
      <c r="I47" s="220">
        <v>173473</v>
      </c>
      <c r="J47" s="220">
        <v>228294</v>
      </c>
    </row>
    <row r="49" spans="1:10" s="41" customFormat="1" ht="24">
      <c r="A49" s="41" t="s">
        <v>136</v>
      </c>
    </row>
    <row r="50" spans="1:10" s="39" customFormat="1" ht="19.5" customHeight="1"/>
    <row r="51" spans="1:10" s="41" customFormat="1" ht="24">
      <c r="A51" s="43" t="s">
        <v>53</v>
      </c>
      <c r="B51" s="252" t="s">
        <v>49</v>
      </c>
      <c r="C51" s="252"/>
      <c r="D51" s="252"/>
      <c r="E51" s="252" t="s">
        <v>52</v>
      </c>
      <c r="F51" s="252"/>
      <c r="G51" s="252"/>
      <c r="H51" s="252" t="s">
        <v>51</v>
      </c>
      <c r="I51" s="252"/>
      <c r="J51" s="252"/>
    </row>
    <row r="52" spans="1:10" s="41" customFormat="1" ht="24">
      <c r="A52" s="42" t="s">
        <v>50</v>
      </c>
      <c r="B52" s="42" t="s">
        <v>49</v>
      </c>
      <c r="C52" s="42" t="s">
        <v>48</v>
      </c>
      <c r="D52" s="42" t="s">
        <v>47</v>
      </c>
      <c r="E52" s="42" t="s">
        <v>49</v>
      </c>
      <c r="F52" s="42" t="s">
        <v>48</v>
      </c>
      <c r="G52" s="42" t="s">
        <v>47</v>
      </c>
      <c r="H52" s="42" t="s">
        <v>49</v>
      </c>
      <c r="I52" s="42" t="s">
        <v>48</v>
      </c>
      <c r="J52" s="42" t="s">
        <v>47</v>
      </c>
    </row>
    <row r="53" spans="1:10" s="41" customFormat="1" ht="24">
      <c r="A53" s="209" t="s">
        <v>46</v>
      </c>
      <c r="B53" s="210">
        <v>2495010</v>
      </c>
      <c r="C53" s="210">
        <v>1200362</v>
      </c>
      <c r="D53" s="210">
        <v>1294648</v>
      </c>
      <c r="E53" s="210">
        <v>649866</v>
      </c>
      <c r="F53" s="210">
        <v>307173</v>
      </c>
      <c r="G53" s="210">
        <v>342693</v>
      </c>
      <c r="H53" s="210">
        <v>1845144</v>
      </c>
      <c r="I53" s="210">
        <v>893189</v>
      </c>
      <c r="J53" s="210">
        <v>951955</v>
      </c>
    </row>
    <row r="54" spans="1:10" s="39" customFormat="1" ht="24">
      <c r="A54" s="253" t="s">
        <v>45</v>
      </c>
      <c r="B54" s="212">
        <v>444515</v>
      </c>
      <c r="C54" s="213">
        <v>226820</v>
      </c>
      <c r="D54" s="213">
        <v>217695</v>
      </c>
      <c r="E54" s="212">
        <v>115667</v>
      </c>
      <c r="F54" s="214">
        <v>58042</v>
      </c>
      <c r="G54" s="214">
        <v>57625</v>
      </c>
      <c r="H54" s="212">
        <v>328848</v>
      </c>
      <c r="I54" s="214">
        <v>168778</v>
      </c>
      <c r="J54" s="214">
        <v>160070</v>
      </c>
    </row>
    <row r="55" spans="1:10" s="39" customFormat="1" ht="24">
      <c r="A55" s="254" t="s">
        <v>44</v>
      </c>
      <c r="B55" s="212">
        <v>112374</v>
      </c>
      <c r="C55" s="213">
        <v>57551</v>
      </c>
      <c r="D55" s="213">
        <v>54823</v>
      </c>
      <c r="E55" s="212">
        <v>29239</v>
      </c>
      <c r="F55" s="214">
        <v>14728</v>
      </c>
      <c r="G55" s="214">
        <v>14511</v>
      </c>
      <c r="H55" s="212">
        <v>83135</v>
      </c>
      <c r="I55" s="214">
        <v>42823</v>
      </c>
      <c r="J55" s="214">
        <v>40312</v>
      </c>
    </row>
    <row r="56" spans="1:10" s="39" customFormat="1" ht="24">
      <c r="A56" s="253" t="s">
        <v>43</v>
      </c>
      <c r="B56" s="212">
        <v>77988</v>
      </c>
      <c r="C56" s="213">
        <v>39868</v>
      </c>
      <c r="D56" s="213">
        <v>38120</v>
      </c>
      <c r="E56" s="212">
        <v>20293</v>
      </c>
      <c r="F56" s="214">
        <v>10202</v>
      </c>
      <c r="G56" s="214">
        <v>10091</v>
      </c>
      <c r="H56" s="212">
        <v>57695</v>
      </c>
      <c r="I56" s="214">
        <v>29666</v>
      </c>
      <c r="J56" s="214">
        <v>28029</v>
      </c>
    </row>
    <row r="57" spans="1:10" s="39" customFormat="1" ht="24">
      <c r="A57" s="254" t="s">
        <v>42</v>
      </c>
      <c r="B57" s="212">
        <v>198675</v>
      </c>
      <c r="C57" s="213">
        <v>100908</v>
      </c>
      <c r="D57" s="213">
        <v>97767</v>
      </c>
      <c r="E57" s="212">
        <v>51700</v>
      </c>
      <c r="F57" s="214">
        <v>25822</v>
      </c>
      <c r="G57" s="214">
        <v>25878</v>
      </c>
      <c r="H57" s="212">
        <v>146975</v>
      </c>
      <c r="I57" s="214">
        <v>75086</v>
      </c>
      <c r="J57" s="214">
        <v>71889</v>
      </c>
    </row>
    <row r="58" spans="1:10" s="39" customFormat="1" ht="24">
      <c r="A58" s="255" t="s">
        <v>41</v>
      </c>
      <c r="B58" s="212">
        <v>173807</v>
      </c>
      <c r="C58" s="213">
        <v>86275</v>
      </c>
      <c r="D58" s="213">
        <v>87532</v>
      </c>
      <c r="E58" s="212">
        <v>45248</v>
      </c>
      <c r="F58" s="214">
        <v>22078</v>
      </c>
      <c r="G58" s="214">
        <v>23170</v>
      </c>
      <c r="H58" s="212">
        <v>128559</v>
      </c>
      <c r="I58" s="214">
        <v>64197</v>
      </c>
      <c r="J58" s="214">
        <v>64362</v>
      </c>
    </row>
    <row r="59" spans="1:10" s="39" customFormat="1" ht="24">
      <c r="A59" s="255" t="s">
        <v>40</v>
      </c>
      <c r="B59" s="212">
        <v>125138</v>
      </c>
      <c r="C59" s="213">
        <v>62310</v>
      </c>
      <c r="D59" s="213">
        <v>62828</v>
      </c>
      <c r="E59" s="212">
        <v>32575</v>
      </c>
      <c r="F59" s="214">
        <v>15944</v>
      </c>
      <c r="G59" s="214">
        <v>16631</v>
      </c>
      <c r="H59" s="212">
        <v>92563</v>
      </c>
      <c r="I59" s="214">
        <v>46366</v>
      </c>
      <c r="J59" s="214">
        <v>46197</v>
      </c>
    </row>
    <row r="60" spans="1:10" s="39" customFormat="1" ht="24">
      <c r="A60" s="255" t="s">
        <v>39</v>
      </c>
      <c r="B60" s="212">
        <v>104578</v>
      </c>
      <c r="C60" s="213">
        <v>53069</v>
      </c>
      <c r="D60" s="213">
        <v>51509</v>
      </c>
      <c r="E60" s="212">
        <v>27214</v>
      </c>
      <c r="F60" s="214">
        <v>13580</v>
      </c>
      <c r="G60" s="214">
        <v>13634</v>
      </c>
      <c r="H60" s="212">
        <v>77364</v>
      </c>
      <c r="I60" s="214">
        <v>39489</v>
      </c>
      <c r="J60" s="214">
        <v>37875</v>
      </c>
    </row>
    <row r="61" spans="1:10" s="39" customFormat="1" ht="24">
      <c r="A61" s="255" t="s">
        <v>38</v>
      </c>
      <c r="B61" s="212">
        <v>308021</v>
      </c>
      <c r="C61" s="213">
        <v>147930</v>
      </c>
      <c r="D61" s="213">
        <v>160091</v>
      </c>
      <c r="E61" s="212">
        <v>80232</v>
      </c>
      <c r="F61" s="214">
        <v>37856</v>
      </c>
      <c r="G61" s="214">
        <v>42376</v>
      </c>
      <c r="H61" s="212">
        <v>227789</v>
      </c>
      <c r="I61" s="214">
        <v>110074</v>
      </c>
      <c r="J61" s="214">
        <v>117715</v>
      </c>
    </row>
    <row r="62" spans="1:10" s="39" customFormat="1" ht="24">
      <c r="A62" s="255" t="s">
        <v>37</v>
      </c>
      <c r="B62" s="212">
        <v>401904</v>
      </c>
      <c r="C62" s="213">
        <v>190730</v>
      </c>
      <c r="D62" s="213">
        <v>211174</v>
      </c>
      <c r="E62" s="212">
        <v>104706</v>
      </c>
      <c r="F62" s="214">
        <v>48809</v>
      </c>
      <c r="G62" s="214">
        <v>55897</v>
      </c>
      <c r="H62" s="212">
        <v>297198</v>
      </c>
      <c r="I62" s="214">
        <v>141921</v>
      </c>
      <c r="J62" s="214">
        <v>155277</v>
      </c>
    </row>
    <row r="63" spans="1:10" s="39" customFormat="1" ht="24">
      <c r="A63" s="256" t="s">
        <v>36</v>
      </c>
      <c r="B63" s="218">
        <v>548010</v>
      </c>
      <c r="C63" s="219">
        <v>234901</v>
      </c>
      <c r="D63" s="219">
        <v>313109</v>
      </c>
      <c r="E63" s="218">
        <v>142992</v>
      </c>
      <c r="F63" s="220">
        <v>60112</v>
      </c>
      <c r="G63" s="220">
        <v>82880</v>
      </c>
      <c r="H63" s="218">
        <v>405018</v>
      </c>
      <c r="I63" s="220">
        <v>174789</v>
      </c>
      <c r="J63" s="220">
        <v>230229</v>
      </c>
    </row>
  </sheetData>
  <mergeCells count="6">
    <mergeCell ref="B35:D35"/>
    <mergeCell ref="E35:G35"/>
    <mergeCell ref="H35:J35"/>
    <mergeCell ref="B51:D51"/>
    <mergeCell ref="E51:G51"/>
    <mergeCell ref="H51:J5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ตาราง 1</vt:lpstr>
      <vt:lpstr>ตาราง 2</vt:lpstr>
      <vt:lpstr>ตาราง 3</vt:lpstr>
      <vt:lpstr>ตาราง 4</vt:lpstr>
      <vt:lpstr>ตาราง 5</vt:lpstr>
      <vt:lpstr>ตาราง 6</vt:lpstr>
      <vt:lpstr>ตาราง 7</vt:lpstr>
      <vt:lpstr>คาดประมาณประชากร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2022-03-02T08:58:05Z</dcterms:created>
  <dcterms:modified xsi:type="dcterms:W3CDTF">2023-02-13T02:28:41Z</dcterms:modified>
</cp:coreProperties>
</file>