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8" sheetId="35" r:id="rId1"/>
  </sheets>
  <definedNames>
    <definedName name="_xlnm.Print_Area" localSheetId="0">'T-3.8'!$A$1:$W$27</definedName>
  </definedNames>
  <calcPr calcId="125725"/>
</workbook>
</file>

<file path=xl/calcChain.xml><?xml version="1.0" encoding="utf-8"?>
<calcChain xmlns="http://schemas.openxmlformats.org/spreadsheetml/2006/main">
  <c r="K20" i="35"/>
  <c r="S19"/>
  <c r="R19"/>
  <c r="Q19" s="1"/>
  <c r="P19"/>
  <c r="O19"/>
  <c r="N19"/>
  <c r="M19"/>
  <c r="L19"/>
  <c r="K19" s="1"/>
  <c r="J19"/>
  <c r="G19" s="1"/>
  <c r="I19"/>
  <c r="H19"/>
  <c r="F19"/>
  <c r="S18"/>
  <c r="Q18" s="1"/>
  <c r="R18"/>
  <c r="P18"/>
  <c r="O18"/>
  <c r="N18" s="1"/>
  <c r="M18"/>
  <c r="K18" s="1"/>
  <c r="J18"/>
  <c r="H18" s="1"/>
  <c r="I18"/>
  <c r="F18"/>
  <c r="S17"/>
  <c r="Q17" s="1"/>
  <c r="R17"/>
  <c r="P17"/>
  <c r="O17"/>
  <c r="N17" s="1"/>
  <c r="M17"/>
  <c r="G17" s="1"/>
  <c r="L17"/>
  <c r="K17"/>
  <c r="J17"/>
  <c r="I17"/>
  <c r="H17" s="1"/>
  <c r="S16"/>
  <c r="R16"/>
  <c r="Q16" s="1"/>
  <c r="P16"/>
  <c r="N16" s="1"/>
  <c r="O16"/>
  <c r="M16"/>
  <c r="L16"/>
  <c r="F16" s="1"/>
  <c r="J16"/>
  <c r="H16" s="1"/>
  <c r="I16"/>
  <c r="S15"/>
  <c r="G15" s="1"/>
  <c r="R15"/>
  <c r="Q15"/>
  <c r="P15"/>
  <c r="O15"/>
  <c r="N15" s="1"/>
  <c r="M15"/>
  <c r="L15"/>
  <c r="K15"/>
  <c r="J15"/>
  <c r="I15"/>
  <c r="H15" s="1"/>
  <c r="E15" s="1"/>
  <c r="S14"/>
  <c r="R14"/>
  <c r="Q14" s="1"/>
  <c r="P14"/>
  <c r="N14" s="1"/>
  <c r="O14"/>
  <c r="M14"/>
  <c r="L14"/>
  <c r="K14" s="1"/>
  <c r="J14"/>
  <c r="G14" s="1"/>
  <c r="I14"/>
  <c r="H14"/>
  <c r="E14" s="1"/>
  <c r="F14"/>
  <c r="S13"/>
  <c r="R13"/>
  <c r="Q13"/>
  <c r="P13"/>
  <c r="O13"/>
  <c r="N13" s="1"/>
  <c r="M13"/>
  <c r="K13" s="1"/>
  <c r="L13"/>
  <c r="J13"/>
  <c r="I13"/>
  <c r="F13" s="1"/>
  <c r="G13"/>
  <c r="S12"/>
  <c r="R12"/>
  <c r="Q12" s="1"/>
  <c r="P12"/>
  <c r="O12"/>
  <c r="N12"/>
  <c r="M12"/>
  <c r="L12"/>
  <c r="K12" s="1"/>
  <c r="J12"/>
  <c r="G12" s="1"/>
  <c r="I12"/>
  <c r="H12"/>
  <c r="F12"/>
  <c r="S11"/>
  <c r="S10" s="1"/>
  <c r="R11"/>
  <c r="P11"/>
  <c r="O11"/>
  <c r="O10" s="1"/>
  <c r="M11"/>
  <c r="K11" s="1"/>
  <c r="L11"/>
  <c r="J11"/>
  <c r="I11"/>
  <c r="I10" s="1"/>
  <c r="L10"/>
  <c r="E12" l="1"/>
  <c r="E17"/>
  <c r="E19"/>
  <c r="E18"/>
  <c r="M10"/>
  <c r="F11"/>
  <c r="N11"/>
  <c r="N10" s="1"/>
  <c r="H13"/>
  <c r="E13" s="1"/>
  <c r="K16"/>
  <c r="E16" s="1"/>
  <c r="G11"/>
  <c r="H11"/>
  <c r="F17"/>
  <c r="G18"/>
  <c r="P10"/>
  <c r="Q11"/>
  <c r="Q10" s="1"/>
  <c r="F15"/>
  <c r="G16"/>
  <c r="J10"/>
  <c r="R10"/>
  <c r="G10" l="1"/>
  <c r="K10"/>
  <c r="F10"/>
  <c r="H10"/>
  <c r="E11"/>
  <c r="E10" l="1"/>
</calcChain>
</file>

<file path=xl/sharedStrings.xml><?xml version="1.0" encoding="utf-8"?>
<sst xmlns="http://schemas.openxmlformats.org/spreadsheetml/2006/main" count="75" uniqueCount="48">
  <si>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</si>
  <si>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</si>
  <si>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</si>
  <si>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</si>
  <si>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</si>
  <si>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</si>
  <si>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</si>
  <si>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</si>
  <si>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</si>
  <si>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</si>
  <si>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</si>
  <si>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</si>
  <si>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</si>
  <si>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</si>
  <si>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</si>
  <si>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</si>
  <si>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</si>
  <si>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</si>
  <si>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</si>
  <si>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</si>
  <si>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</si>
  <si>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</si>
  <si>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</si>
  <si>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</si>
  <si>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</si>
  <si>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</si>
  <si>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</si>
  <si>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</si>
  <si>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</si>
  <si>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</si>
  <si>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</si>
  <si>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</si>
  <si>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</si>
  <si>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</si>
  <si>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</si>
  <si>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</si>
  <si>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</si>
  <si>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</si>
  <si>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 xml:space="preserve">   3. Department of Local Administration</t>
  </si>
  <si>
    <t>ที่มา</t>
  </si>
  <si>
    <t>Source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</si>
  <si>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</si>
  <si>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</si>
  <si>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 xml:space="preserve">   3. กรมส่งเสริมการปกครองท้องถิ่น</t>
  </si>
  <si>
    <t>:  1. Sukhothai Primary Educational Service Area Office, Area 1,2</t>
  </si>
  <si>
    <t xml:space="preserve">   2. Sukhothai Seconary Educational Service Area Office, Area 38</t>
  </si>
  <si>
    <t>นักเรียน จำแนกตามระดับการศึกษา และเพศ เป็นรายอำเภอ ปีการศึกษา 2560</t>
  </si>
  <si>
    <t>Student by Level of Education, Sex and District: Academic Year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</si>
</sst>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#,##0\ 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8" xfId="0" applyFont="1" applyBorder="1"/>
    <xf numFmtId="0" fontId="4" fillId="0" borderId="0" xfId="0" quotePrefix="1" applyFont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Fill="1" applyBorder="1"/>
    <xf numFmtId="0" fontId="7" fillId="0" borderId="2" xfId="0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/>
    <xf numFmtId="0" fontId="7" fillId="0" borderId="7" xfId="0" applyFont="1" applyFill="1" applyBorder="1"/>
    <xf numFmtId="0" fontId="7" fillId="0" borderId="6" xfId="0" applyFont="1" applyFill="1" applyBorder="1"/>
    <xf numFmtId="0" fontId="7" fillId="0" borderId="8" xfId="0" applyFont="1" applyFill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6" applyFont="1" applyAlignment="1">
      <alignment horizontal="left"/>
    </xf>
    <xf numFmtId="0" fontId="7" fillId="0" borderId="0" xfId="6" applyFont="1"/>
    <xf numFmtId="189" fontId="7" fillId="0" borderId="7" xfId="0" applyNumberFormat="1" applyFont="1" applyBorder="1" applyAlignment="1">
      <alignment horizontal="right"/>
    </xf>
    <xf numFmtId="187" fontId="7" fillId="0" borderId="4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187" fontId="7" fillId="0" borderId="4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7">
    <cellStyle name="Comma 2" xfId="4"/>
    <cellStyle name="Comma 3" xfId="5"/>
    <cellStyle name="Normal 2" xfId="3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876300</xdr:colOff>
      <xdr:row>5</xdr:row>
      <xdr:rowOff>200025</xdr:rowOff>
    </xdr:from>
    <xdr:to>
      <xdr:col>22</xdr:col>
      <xdr:colOff>266700</xdr:colOff>
      <xdr:row>27</xdr:row>
      <xdr:rowOff>25401</xdr:rowOff>
    </xdr:to>
    <xdr:grpSp>
      <xdr:nvGrpSpPr>
        <xdr:cNvPr id="6" name="Group 5"/>
        <xdr:cNvGrpSpPr/>
      </xdr:nvGrpSpPr>
      <xdr:grpSpPr>
        <a:xfrm>
          <a:off x="9467850" y="1238250"/>
          <a:ext cx="600075" cy="53403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41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4"/>
  <sheetViews>
    <sheetView showGridLines="0" tabSelected="1" view="pageLayout" zoomScaleNormal="80" zoomScaleSheetLayoutView="120" workbookViewId="0">
      <selection activeCell="H34" sqref="H34"/>
    </sheetView>
  </sheetViews>
  <sheetFormatPr defaultColWidth="9.140625" defaultRowHeight="18.75"/>
  <cols>
    <col min="1" max="1" width="1.7109375" style="3" customWidth="1"/>
    <col min="2" max="2" width="5.85546875" style="3" customWidth="1"/>
    <col min="3" max="3" width="5.42578125" style="3" customWidth="1"/>
    <col min="4" max="4" width="2.28515625" style="3" customWidth="1"/>
    <col min="5" max="19" width="7.7109375" style="3" customWidth="1"/>
    <col min="20" max="20" width="15.28515625" style="3" customWidth="1"/>
    <col min="21" max="21" width="0.85546875" style="3" customWidth="1"/>
    <col min="22" max="22" width="2.140625" style="3" customWidth="1"/>
    <col min="23" max="23" width="4.28515625" style="3" customWidth="1"/>
    <col min="24" max="16384" width="9.140625" style="3"/>
  </cols>
  <sheetData>
    <row r="1" spans="1:21" s="1" customFormat="1" ht="18.600000000000001" customHeight="1">
      <c r="B1" s="1" t="s">
        <v>12</v>
      </c>
      <c r="C1" s="14">
        <v>3.8</v>
      </c>
      <c r="D1" s="1" t="s">
        <v>46</v>
      </c>
    </row>
    <row r="2" spans="1:21" s="10" customFormat="1" ht="18.600000000000001" customHeight="1">
      <c r="B2" s="1" t="s">
        <v>19</v>
      </c>
      <c r="C2" s="14">
        <v>3.8</v>
      </c>
      <c r="D2" s="1" t="s">
        <v>47</v>
      </c>
      <c r="E2" s="1"/>
    </row>
    <row r="3" spans="1:21" ht="6.75" customHeight="1"/>
    <row r="4" spans="1:21" s="4" customFormat="1" ht="21" customHeight="1">
      <c r="A4" s="40" t="s">
        <v>17</v>
      </c>
      <c r="B4" s="40"/>
      <c r="C4" s="40"/>
      <c r="D4" s="41"/>
      <c r="E4" s="16"/>
      <c r="F4" s="17"/>
      <c r="G4" s="18"/>
      <c r="H4" s="54" t="s">
        <v>13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  <c r="T4" s="64" t="s">
        <v>18</v>
      </c>
      <c r="U4" s="46"/>
    </row>
    <row r="5" spans="1:21" s="4" customFormat="1" ht="18" customHeight="1">
      <c r="A5" s="58"/>
      <c r="B5" s="58"/>
      <c r="C5" s="58"/>
      <c r="D5" s="42"/>
      <c r="E5" s="53" t="s">
        <v>0</v>
      </c>
      <c r="F5" s="48"/>
      <c r="G5" s="49"/>
      <c r="H5" s="53" t="s">
        <v>6</v>
      </c>
      <c r="I5" s="48"/>
      <c r="J5" s="49"/>
      <c r="K5" s="53" t="s">
        <v>2</v>
      </c>
      <c r="L5" s="48"/>
      <c r="M5" s="49"/>
      <c r="N5" s="64" t="s">
        <v>15</v>
      </c>
      <c r="O5" s="46"/>
      <c r="P5" s="47"/>
      <c r="Q5" s="59" t="s">
        <v>16</v>
      </c>
      <c r="R5" s="60"/>
      <c r="S5" s="61"/>
      <c r="T5" s="53"/>
      <c r="U5" s="48"/>
    </row>
    <row r="6" spans="1:21" s="4" customFormat="1" ht="19.5" customHeight="1">
      <c r="A6" s="58"/>
      <c r="B6" s="58"/>
      <c r="C6" s="58"/>
      <c r="D6" s="42"/>
      <c r="E6" s="53" t="s">
        <v>1</v>
      </c>
      <c r="F6" s="48"/>
      <c r="G6" s="49"/>
      <c r="H6" s="53" t="s">
        <v>7</v>
      </c>
      <c r="I6" s="48"/>
      <c r="J6" s="49"/>
      <c r="K6" s="53" t="s">
        <v>3</v>
      </c>
      <c r="L6" s="48"/>
      <c r="M6" s="49"/>
      <c r="N6" s="53" t="s">
        <v>4</v>
      </c>
      <c r="O6" s="48"/>
      <c r="P6" s="49"/>
      <c r="Q6" s="51" t="s">
        <v>5</v>
      </c>
      <c r="R6" s="52"/>
      <c r="S6" s="57"/>
      <c r="T6" s="53"/>
      <c r="U6" s="48"/>
    </row>
    <row r="7" spans="1:21" s="4" customFormat="1" ht="19.5" customHeight="1">
      <c r="A7" s="58"/>
      <c r="B7" s="58"/>
      <c r="C7" s="58"/>
      <c r="D7" s="42"/>
      <c r="E7" s="11" t="s">
        <v>0</v>
      </c>
      <c r="F7" s="11" t="s">
        <v>8</v>
      </c>
      <c r="G7" s="31" t="s">
        <v>9</v>
      </c>
      <c r="H7" s="11" t="s">
        <v>0</v>
      </c>
      <c r="I7" s="11" t="s">
        <v>8</v>
      </c>
      <c r="J7" s="31" t="s">
        <v>9</v>
      </c>
      <c r="K7" s="11" t="s">
        <v>0</v>
      </c>
      <c r="L7" s="11" t="s">
        <v>8</v>
      </c>
      <c r="M7" s="31" t="s">
        <v>9</v>
      </c>
      <c r="N7" s="11" t="s">
        <v>0</v>
      </c>
      <c r="O7" s="11" t="s">
        <v>8</v>
      </c>
      <c r="P7" s="31" t="s">
        <v>9</v>
      </c>
      <c r="Q7" s="11" t="s">
        <v>0</v>
      </c>
      <c r="R7" s="11" t="s">
        <v>8</v>
      </c>
      <c r="S7" s="32" t="s">
        <v>9</v>
      </c>
      <c r="T7" s="53"/>
      <c r="U7" s="48"/>
    </row>
    <row r="8" spans="1:21" s="4" customFormat="1" ht="19.5" customHeight="1">
      <c r="A8" s="43"/>
      <c r="B8" s="43"/>
      <c r="C8" s="43"/>
      <c r="D8" s="44"/>
      <c r="E8" s="19" t="s">
        <v>1</v>
      </c>
      <c r="F8" s="19" t="s">
        <v>10</v>
      </c>
      <c r="G8" s="33" t="s">
        <v>11</v>
      </c>
      <c r="H8" s="19" t="s">
        <v>1</v>
      </c>
      <c r="I8" s="19" t="s">
        <v>10</v>
      </c>
      <c r="J8" s="33" t="s">
        <v>11</v>
      </c>
      <c r="K8" s="19" t="s">
        <v>1</v>
      </c>
      <c r="L8" s="19" t="s">
        <v>10</v>
      </c>
      <c r="M8" s="33" t="s">
        <v>11</v>
      </c>
      <c r="N8" s="19" t="s">
        <v>1</v>
      </c>
      <c r="O8" s="19" t="s">
        <v>10</v>
      </c>
      <c r="P8" s="33" t="s">
        <v>11</v>
      </c>
      <c r="Q8" s="19" t="s">
        <v>1</v>
      </c>
      <c r="R8" s="19" t="s">
        <v>10</v>
      </c>
      <c r="S8" s="33" t="s">
        <v>11</v>
      </c>
      <c r="T8" s="65"/>
      <c r="U8" s="50"/>
    </row>
    <row r="9" spans="1:21" s="9" customFormat="1" ht="3" customHeight="1">
      <c r="A9" s="28"/>
      <c r="B9" s="28"/>
      <c r="C9" s="28"/>
      <c r="D9" s="29"/>
      <c r="E9" s="5"/>
      <c r="F9" s="5"/>
      <c r="G9" s="32"/>
      <c r="H9" s="5"/>
      <c r="I9" s="5"/>
      <c r="J9" s="32"/>
      <c r="K9" s="5"/>
      <c r="L9" s="5"/>
      <c r="M9" s="32"/>
      <c r="N9" s="5"/>
      <c r="O9" s="5"/>
      <c r="P9" s="5"/>
      <c r="Q9" s="5"/>
      <c r="R9" s="5"/>
      <c r="S9" s="32"/>
    </row>
    <row r="10" spans="1:21" s="8" customFormat="1" ht="24.6" customHeight="1">
      <c r="A10" s="45" t="s">
        <v>14</v>
      </c>
      <c r="B10" s="62"/>
      <c r="C10" s="62"/>
      <c r="D10" s="63"/>
      <c r="E10" s="38">
        <f>SUM(E11:E19)</f>
        <v>78018</v>
      </c>
      <c r="F10" s="38">
        <f t="shared" ref="F10:S10" si="0">SUM(F11:F19)</f>
        <v>39641</v>
      </c>
      <c r="G10" s="38">
        <f t="shared" si="0"/>
        <v>38377</v>
      </c>
      <c r="H10" s="38">
        <f t="shared" si="0"/>
        <v>13796</v>
      </c>
      <c r="I10" s="38">
        <f t="shared" si="0"/>
        <v>7123</v>
      </c>
      <c r="J10" s="38">
        <f t="shared" si="0"/>
        <v>6673</v>
      </c>
      <c r="K10" s="38">
        <f t="shared" si="0"/>
        <v>36513</v>
      </c>
      <c r="L10" s="38">
        <f t="shared" si="0"/>
        <v>19021</v>
      </c>
      <c r="M10" s="38">
        <f t="shared" si="0"/>
        <v>17492</v>
      </c>
      <c r="N10" s="38">
        <f t="shared" si="0"/>
        <v>17818</v>
      </c>
      <c r="O10" s="38">
        <f t="shared" si="0"/>
        <v>9274</v>
      </c>
      <c r="P10" s="38">
        <f t="shared" si="0"/>
        <v>8544</v>
      </c>
      <c r="Q10" s="38">
        <f t="shared" si="0"/>
        <v>9891</v>
      </c>
      <c r="R10" s="38">
        <f t="shared" si="0"/>
        <v>4223</v>
      </c>
      <c r="S10" s="38">
        <f t="shared" si="0"/>
        <v>5668</v>
      </c>
      <c r="T10" s="30" t="s">
        <v>1</v>
      </c>
    </row>
    <row r="11" spans="1:21" s="4" customFormat="1" ht="24.6" customHeight="1">
      <c r="A11" s="9"/>
      <c r="B11" s="9" t="s">
        <v>20</v>
      </c>
      <c r="C11" s="9"/>
      <c r="D11" s="12"/>
      <c r="E11" s="37">
        <f>H11+K11+N11+Q11</f>
        <v>17789</v>
      </c>
      <c r="F11" s="37">
        <f>I11+L11+O11+R11</f>
        <v>8641</v>
      </c>
      <c r="G11" s="37">
        <f>J11+M11+P11+S11</f>
        <v>9148</v>
      </c>
      <c r="H11" s="37">
        <f>SUM(I11:J11)</f>
        <v>2893</v>
      </c>
      <c r="I11" s="37">
        <f>649+287+30+39+28+32+352</f>
        <v>1417</v>
      </c>
      <c r="J11" s="37">
        <f>637+260+14+34+41+33+457</f>
        <v>1476</v>
      </c>
      <c r="K11" s="37">
        <f>SUM(L11:M11)</f>
        <v>7794</v>
      </c>
      <c r="L11" s="37">
        <f>2631+687+63+92+49+84+373</f>
        <v>3979</v>
      </c>
      <c r="M11" s="37">
        <f>2484+646+53+67+47+64+454</f>
        <v>3815</v>
      </c>
      <c r="N11" s="37">
        <f>SUM(O11:P11)</f>
        <v>4213</v>
      </c>
      <c r="O11" s="37">
        <f>283+428+31+34+1276</f>
        <v>2052</v>
      </c>
      <c r="P11" s="37">
        <f>201+274+43+28+1615</f>
        <v>2161</v>
      </c>
      <c r="Q11" s="37">
        <f>SUM(R11:S11)</f>
        <v>2889</v>
      </c>
      <c r="R11" s="39">
        <f>130+1063</f>
        <v>1193</v>
      </c>
      <c r="S11" s="39">
        <f>77+1619</f>
        <v>1696</v>
      </c>
      <c r="T11" s="23" t="s">
        <v>29</v>
      </c>
    </row>
    <row r="12" spans="1:21" s="4" customFormat="1" ht="24.6" customHeight="1">
      <c r="A12" s="9"/>
      <c r="B12" s="9" t="s">
        <v>21</v>
      </c>
      <c r="C12" s="9"/>
      <c r="D12" s="12"/>
      <c r="E12" s="37">
        <f t="shared" ref="E12:G19" si="1">H12+K12+N12+Q12</f>
        <v>6260</v>
      </c>
      <c r="F12" s="37">
        <f t="shared" si="1"/>
        <v>3166</v>
      </c>
      <c r="G12" s="37">
        <f t="shared" si="1"/>
        <v>3094</v>
      </c>
      <c r="H12" s="37">
        <f t="shared" ref="H12:H19" si="2">SUM(I12:J12)</f>
        <v>1233</v>
      </c>
      <c r="I12" s="37">
        <f>584+35+25</f>
        <v>644</v>
      </c>
      <c r="J12" s="37">
        <f>524+44+21</f>
        <v>589</v>
      </c>
      <c r="K12" s="37">
        <f t="shared" ref="K12:K20" si="3">SUM(L12:M12)</f>
        <v>3182</v>
      </c>
      <c r="L12" s="37">
        <f>1602+41</f>
        <v>1643</v>
      </c>
      <c r="M12" s="37">
        <f>1504+35</f>
        <v>1539</v>
      </c>
      <c r="N12" s="37">
        <f t="shared" ref="N12:N19" si="4">SUM(O12:P12)</f>
        <v>1342</v>
      </c>
      <c r="O12" s="37">
        <f>362+328</f>
        <v>690</v>
      </c>
      <c r="P12" s="37">
        <f>283+369</f>
        <v>652</v>
      </c>
      <c r="Q12" s="37">
        <f t="shared" ref="Q12:Q19" si="5">SUM(R12:S12)</f>
        <v>503</v>
      </c>
      <c r="R12" s="39">
        <f>189</f>
        <v>189</v>
      </c>
      <c r="S12" s="39">
        <f>314</f>
        <v>314</v>
      </c>
      <c r="T12" s="23" t="s">
        <v>30</v>
      </c>
    </row>
    <row r="13" spans="1:21" s="4" customFormat="1" ht="24.6" customHeight="1">
      <c r="A13" s="9"/>
      <c r="B13" s="9" t="s">
        <v>22</v>
      </c>
      <c r="C13" s="9"/>
      <c r="D13" s="12"/>
      <c r="E13" s="37">
        <f t="shared" si="1"/>
        <v>6430</v>
      </c>
      <c r="F13" s="37">
        <f t="shared" si="1"/>
        <v>3344</v>
      </c>
      <c r="G13" s="37">
        <f t="shared" si="1"/>
        <v>3086</v>
      </c>
      <c r="H13" s="37">
        <f t="shared" si="2"/>
        <v>1125</v>
      </c>
      <c r="I13" s="37">
        <f>535+25+7+33</f>
        <v>600</v>
      </c>
      <c r="J13" s="37">
        <f>457+31+8+29</f>
        <v>525</v>
      </c>
      <c r="K13" s="37">
        <f t="shared" si="3"/>
        <v>3261</v>
      </c>
      <c r="L13" s="37">
        <f>1504+98+23+88</f>
        <v>1713</v>
      </c>
      <c r="M13" s="37">
        <f>1363+80+19+86</f>
        <v>1548</v>
      </c>
      <c r="N13" s="37">
        <f t="shared" si="4"/>
        <v>1400</v>
      </c>
      <c r="O13" s="37">
        <f>301+35+67+354</f>
        <v>757</v>
      </c>
      <c r="P13" s="37">
        <f>230+23+56+334</f>
        <v>643</v>
      </c>
      <c r="Q13" s="37">
        <f t="shared" si="5"/>
        <v>644</v>
      </c>
      <c r="R13" s="39">
        <f>274</f>
        <v>274</v>
      </c>
      <c r="S13" s="39">
        <f>370</f>
        <v>370</v>
      </c>
      <c r="T13" s="23" t="s">
        <v>31</v>
      </c>
    </row>
    <row r="14" spans="1:21" s="4" customFormat="1" ht="24.6" customHeight="1">
      <c r="A14" s="9"/>
      <c r="B14" s="9" t="s">
        <v>23</v>
      </c>
      <c r="C14" s="9"/>
      <c r="D14" s="12"/>
      <c r="E14" s="37">
        <f t="shared" si="1"/>
        <v>6262</v>
      </c>
      <c r="F14" s="37">
        <f t="shared" si="1"/>
        <v>3372</v>
      </c>
      <c r="G14" s="37">
        <f t="shared" si="1"/>
        <v>2890</v>
      </c>
      <c r="H14" s="37">
        <f t="shared" si="2"/>
        <v>1121</v>
      </c>
      <c r="I14" s="37">
        <f>545+72</f>
        <v>617</v>
      </c>
      <c r="J14" s="37">
        <f>456+48</f>
        <v>504</v>
      </c>
      <c r="K14" s="37">
        <f t="shared" si="3"/>
        <v>3185</v>
      </c>
      <c r="L14" s="37">
        <f>1695</f>
        <v>1695</v>
      </c>
      <c r="M14" s="37">
        <f>1490</f>
        <v>1490</v>
      </c>
      <c r="N14" s="37">
        <f t="shared" si="4"/>
        <v>1305</v>
      </c>
      <c r="O14" s="37">
        <f>258+462</f>
        <v>720</v>
      </c>
      <c r="P14" s="37">
        <f>171+414</f>
        <v>585</v>
      </c>
      <c r="Q14" s="37">
        <f t="shared" si="5"/>
        <v>651</v>
      </c>
      <c r="R14" s="39">
        <f>340</f>
        <v>340</v>
      </c>
      <c r="S14" s="39">
        <f>311</f>
        <v>311</v>
      </c>
      <c r="T14" s="23" t="s">
        <v>32</v>
      </c>
    </row>
    <row r="15" spans="1:21" s="4" customFormat="1" ht="24.6" customHeight="1">
      <c r="A15" s="9"/>
      <c r="B15" s="9" t="s">
        <v>24</v>
      </c>
      <c r="C15" s="9"/>
      <c r="D15" s="12"/>
      <c r="E15" s="37">
        <f t="shared" si="1"/>
        <v>10371</v>
      </c>
      <c r="F15" s="37">
        <f t="shared" si="1"/>
        <v>5353</v>
      </c>
      <c r="G15" s="37">
        <f t="shared" si="1"/>
        <v>5018</v>
      </c>
      <c r="H15" s="37">
        <f t="shared" si="2"/>
        <v>1903</v>
      </c>
      <c r="I15" s="37">
        <f>110+59+652+171</f>
        <v>992</v>
      </c>
      <c r="J15" s="37">
        <f>90+63+638+120</f>
        <v>911</v>
      </c>
      <c r="K15" s="37">
        <f t="shared" si="3"/>
        <v>5017</v>
      </c>
      <c r="L15" s="37">
        <f>21+2624</f>
        <v>2645</v>
      </c>
      <c r="M15" s="37">
        <f>12+2360</f>
        <v>2372</v>
      </c>
      <c r="N15" s="37">
        <f t="shared" si="4"/>
        <v>2355</v>
      </c>
      <c r="O15" s="37">
        <f>535+712</f>
        <v>1247</v>
      </c>
      <c r="P15" s="37">
        <f>426+682</f>
        <v>1108</v>
      </c>
      <c r="Q15" s="37">
        <f t="shared" si="5"/>
        <v>1096</v>
      </c>
      <c r="R15" s="39">
        <f>469</f>
        <v>469</v>
      </c>
      <c r="S15" s="39">
        <f>627</f>
        <v>627</v>
      </c>
      <c r="T15" s="23" t="s">
        <v>33</v>
      </c>
    </row>
    <row r="16" spans="1:21" s="4" customFormat="1" ht="24.6" customHeight="1">
      <c r="A16" s="9"/>
      <c r="B16" s="9" t="s">
        <v>25</v>
      </c>
      <c r="C16" s="9"/>
      <c r="D16" s="12"/>
      <c r="E16" s="37">
        <f t="shared" si="1"/>
        <v>9047</v>
      </c>
      <c r="F16" s="37">
        <f t="shared" si="1"/>
        <v>4723</v>
      </c>
      <c r="G16" s="37">
        <f t="shared" si="1"/>
        <v>4324</v>
      </c>
      <c r="H16" s="37">
        <f t="shared" si="2"/>
        <v>1798</v>
      </c>
      <c r="I16" s="37">
        <f>7+33+15+519+424</f>
        <v>998</v>
      </c>
      <c r="J16" s="37">
        <f>11+27+22+489+251</f>
        <v>800</v>
      </c>
      <c r="K16" s="37">
        <f t="shared" si="3"/>
        <v>4284</v>
      </c>
      <c r="L16" s="37">
        <f>22+35+42+1949+135</f>
        <v>2183</v>
      </c>
      <c r="M16" s="37">
        <f>27+32+32+1914+96</f>
        <v>2101</v>
      </c>
      <c r="N16" s="37">
        <f t="shared" si="4"/>
        <v>1969</v>
      </c>
      <c r="O16" s="37">
        <f>19+75+214+805</f>
        <v>1113</v>
      </c>
      <c r="P16" s="37">
        <f>18+47+133+658</f>
        <v>856</v>
      </c>
      <c r="Q16" s="37">
        <f t="shared" si="5"/>
        <v>996</v>
      </c>
      <c r="R16" s="39">
        <f>429</f>
        <v>429</v>
      </c>
      <c r="S16" s="39">
        <f>567</f>
        <v>567</v>
      </c>
      <c r="T16" s="23" t="s">
        <v>34</v>
      </c>
    </row>
    <row r="17" spans="1:21" s="24" customFormat="1" ht="24.6" customHeight="1">
      <c r="A17" s="21"/>
      <c r="B17" s="21" t="s">
        <v>26</v>
      </c>
      <c r="C17" s="21"/>
      <c r="D17" s="22"/>
      <c r="E17" s="37">
        <f t="shared" si="1"/>
        <v>12824</v>
      </c>
      <c r="F17" s="37">
        <f t="shared" si="1"/>
        <v>6326</v>
      </c>
      <c r="G17" s="37">
        <f t="shared" si="1"/>
        <v>6498</v>
      </c>
      <c r="H17" s="37">
        <f t="shared" si="2"/>
        <v>2141</v>
      </c>
      <c r="I17" s="37">
        <f>475+3+49+27+358+20+131</f>
        <v>1063</v>
      </c>
      <c r="J17" s="37">
        <f>538+0+48+31+325+25+111</f>
        <v>1078</v>
      </c>
      <c r="K17" s="37">
        <f t="shared" si="3"/>
        <v>5602</v>
      </c>
      <c r="L17" s="37">
        <f>1425+4+15+37+987+39+402</f>
        <v>2909</v>
      </c>
      <c r="M17" s="37">
        <f>1343+8+21+65+838+41+377</f>
        <v>2693</v>
      </c>
      <c r="N17" s="37">
        <f t="shared" si="4"/>
        <v>3201</v>
      </c>
      <c r="O17" s="37">
        <f>599+233+684+76</f>
        <v>1592</v>
      </c>
      <c r="P17" s="37">
        <f>496+155+898+60</f>
        <v>1609</v>
      </c>
      <c r="Q17" s="37">
        <f t="shared" si="5"/>
        <v>1880</v>
      </c>
      <c r="R17" s="39">
        <f>208+554</f>
        <v>762</v>
      </c>
      <c r="S17" s="39">
        <f>334+784</f>
        <v>1118</v>
      </c>
      <c r="T17" s="23" t="s">
        <v>35</v>
      </c>
    </row>
    <row r="18" spans="1:21" s="4" customFormat="1" ht="24.6" customHeight="1">
      <c r="A18" s="9"/>
      <c r="B18" s="9" t="s">
        <v>27</v>
      </c>
      <c r="C18" s="9"/>
      <c r="D18" s="12"/>
      <c r="E18" s="37">
        <f t="shared" si="1"/>
        <v>3127</v>
      </c>
      <c r="F18" s="37">
        <f t="shared" si="1"/>
        <v>1681</v>
      </c>
      <c r="G18" s="37">
        <f t="shared" si="1"/>
        <v>1446</v>
      </c>
      <c r="H18" s="37">
        <f t="shared" si="2"/>
        <v>644</v>
      </c>
      <c r="I18" s="37">
        <f>27+58+242</f>
        <v>327</v>
      </c>
      <c r="J18" s="37">
        <f>22+65+230</f>
        <v>317</v>
      </c>
      <c r="K18" s="37">
        <f t="shared" si="3"/>
        <v>1553</v>
      </c>
      <c r="L18" s="37">
        <v>865</v>
      </c>
      <c r="M18" s="37">
        <f>688</f>
        <v>688</v>
      </c>
      <c r="N18" s="37">
        <f t="shared" si="4"/>
        <v>641</v>
      </c>
      <c r="O18" s="37">
        <f>89+274</f>
        <v>363</v>
      </c>
      <c r="P18" s="37">
        <f>59+219</f>
        <v>278</v>
      </c>
      <c r="Q18" s="37">
        <f t="shared" si="5"/>
        <v>289</v>
      </c>
      <c r="R18" s="39">
        <f>126</f>
        <v>126</v>
      </c>
      <c r="S18" s="39">
        <f>163</f>
        <v>163</v>
      </c>
      <c r="T18" s="23" t="s">
        <v>36</v>
      </c>
    </row>
    <row r="19" spans="1:21" s="4" customFormat="1" ht="24.6" customHeight="1">
      <c r="A19" s="9"/>
      <c r="B19" s="9" t="s">
        <v>28</v>
      </c>
      <c r="C19" s="9"/>
      <c r="D19" s="12"/>
      <c r="E19" s="37">
        <f t="shared" si="1"/>
        <v>5908</v>
      </c>
      <c r="F19" s="37">
        <f t="shared" si="1"/>
        <v>3035</v>
      </c>
      <c r="G19" s="37">
        <f t="shared" si="1"/>
        <v>2873</v>
      </c>
      <c r="H19" s="37">
        <f t="shared" si="2"/>
        <v>938</v>
      </c>
      <c r="I19" s="37">
        <f>8+23+434</f>
        <v>465</v>
      </c>
      <c r="J19" s="37">
        <f>8+30+435</f>
        <v>473</v>
      </c>
      <c r="K19" s="37">
        <f t="shared" si="3"/>
        <v>2635</v>
      </c>
      <c r="L19" s="37">
        <f>15+44+1330</f>
        <v>1389</v>
      </c>
      <c r="M19" s="37">
        <f>18+42+1186</f>
        <v>1246</v>
      </c>
      <c r="N19" s="37">
        <f t="shared" si="4"/>
        <v>1392</v>
      </c>
      <c r="O19" s="37">
        <f>191+549</f>
        <v>740</v>
      </c>
      <c r="P19" s="37">
        <f>145+507</f>
        <v>652</v>
      </c>
      <c r="Q19" s="37">
        <f t="shared" si="5"/>
        <v>943</v>
      </c>
      <c r="R19" s="39">
        <f>441</f>
        <v>441</v>
      </c>
      <c r="S19" s="39">
        <f>502</f>
        <v>502</v>
      </c>
      <c r="T19" s="23" t="s">
        <v>37</v>
      </c>
      <c r="U19" s="9"/>
    </row>
    <row r="20" spans="1:21" s="4" customFormat="1" ht="6.75" customHeight="1">
      <c r="A20" s="13"/>
      <c r="B20" s="13"/>
      <c r="C20" s="13"/>
      <c r="D20" s="6"/>
      <c r="E20" s="7"/>
      <c r="F20" s="7"/>
      <c r="G20" s="6"/>
      <c r="H20" s="7"/>
      <c r="I20" s="7"/>
      <c r="J20" s="6"/>
      <c r="K20" s="36">
        <f t="shared" si="3"/>
        <v>0</v>
      </c>
      <c r="L20" s="7"/>
      <c r="M20" s="6"/>
      <c r="N20" s="7"/>
      <c r="O20" s="7"/>
      <c r="P20" s="7"/>
      <c r="Q20" s="7"/>
      <c r="R20" s="25"/>
      <c r="S20" s="26"/>
      <c r="T20" s="27"/>
      <c r="U20" s="13"/>
    </row>
    <row r="21" spans="1:21" s="4" customFormat="1" ht="18.600000000000001" customHeight="1">
      <c r="A21" s="9"/>
      <c r="B21" s="20" t="s">
        <v>39</v>
      </c>
      <c r="C21" s="34" t="s">
        <v>41</v>
      </c>
      <c r="F21" s="9"/>
      <c r="G21" s="9"/>
      <c r="H21" s="9"/>
      <c r="I21" s="9"/>
      <c r="J21" s="9"/>
      <c r="K21" s="9"/>
      <c r="L21" s="9"/>
      <c r="M21" s="20" t="s">
        <v>40</v>
      </c>
      <c r="N21" s="35" t="s">
        <v>44</v>
      </c>
      <c r="O21" s="9"/>
      <c r="P21" s="9"/>
      <c r="Q21" s="9"/>
      <c r="R21" s="9"/>
      <c r="S21" s="9"/>
      <c r="T21" s="9"/>
      <c r="U21" s="9"/>
    </row>
    <row r="22" spans="1:21" s="4" customFormat="1" ht="18.600000000000001" customHeight="1">
      <c r="A22" s="9"/>
      <c r="B22" s="15"/>
      <c r="C22" s="34" t="s">
        <v>42</v>
      </c>
      <c r="F22" s="35"/>
      <c r="G22" s="9"/>
      <c r="H22" s="9"/>
      <c r="I22" s="9"/>
      <c r="J22" s="9"/>
      <c r="K22" s="9"/>
      <c r="L22" s="9"/>
      <c r="M22" s="35"/>
      <c r="N22" s="35" t="s">
        <v>45</v>
      </c>
      <c r="O22" s="9"/>
      <c r="P22" s="9"/>
      <c r="Q22" s="9"/>
      <c r="R22" s="9"/>
      <c r="S22" s="9"/>
      <c r="T22" s="9"/>
    </row>
    <row r="23" spans="1:21" s="4" customFormat="1" ht="18.600000000000001" customHeight="1">
      <c r="A23" s="2"/>
      <c r="B23" s="15"/>
      <c r="C23" s="4" t="s">
        <v>43</v>
      </c>
      <c r="D23" s="10"/>
      <c r="E23" s="34"/>
      <c r="F23" s="35"/>
      <c r="G23" s="2"/>
      <c r="H23" s="2"/>
      <c r="I23" s="2"/>
      <c r="J23" s="2"/>
      <c r="K23" s="2"/>
      <c r="L23" s="2"/>
      <c r="N23" s="4" t="s">
        <v>38</v>
      </c>
      <c r="O23" s="2"/>
      <c r="P23" s="2"/>
      <c r="Q23" s="2"/>
      <c r="R23" s="2"/>
      <c r="S23" s="2"/>
      <c r="T23" s="2"/>
    </row>
    <row r="24" spans="1:21" s="10" customFormat="1" ht="15.75" customHeight="1"/>
  </sheetData>
  <mergeCells count="14">
    <mergeCell ref="A10:D10"/>
    <mergeCell ref="A4:D8"/>
    <mergeCell ref="H4:S4"/>
    <mergeCell ref="T4:U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</mergeCells>
  <pageMargins left="0.38" right="0.11574074074074074" top="0.71759259259259256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2018-09-18T03:50:45Z</dcterms:modified>
</cp:coreProperties>
</file>