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5775" yWindow="-30" windowWidth="5115" windowHeight="6390" tabRatio="448" firstSheet="6" activeTab="6"/>
  </bookViews>
  <sheets>
    <sheet name="ตาราง 1" sheetId="92" r:id="rId1"/>
    <sheet name="ตาราง 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  7" sheetId="111" r:id="rId7"/>
    <sheet name="ตารางที่1ไตรมาส 1234 พ.ศ.2563" sheetId="98" r:id="rId8"/>
    <sheet name="ตารางที่1ไตรมาส 1234พ.ศ.2563" sheetId="99" r:id="rId9"/>
    <sheet name="ตารางที่2ไตรมาส 1234พ.ศ. 2563" sheetId="100" r:id="rId10"/>
    <sheet name="ตารางที่3ไตรมาส123 4พ.ศ. 2563" sheetId="101" r:id="rId11"/>
    <sheet name="ตารางที่4ไตรมาส 1234 พ.ศ. 2563 " sheetId="102" r:id="rId12"/>
    <sheet name="ตารางที่5ไตรมาส1234 พ.ศ.2563" sheetId="103" r:id="rId13"/>
    <sheet name="ตารางที่6ไตรมาส1234 พ.ศ.2563" sheetId="104" r:id="rId14"/>
    <sheet name="ตารางที่7ไตรมาส 1234 พ.ศ. 2563 " sheetId="105" r:id="rId15"/>
    <sheet name=" กุมภาพันธ์" sheetId="106" r:id="rId16"/>
    <sheet name="พฤษภาคม " sheetId="107" r:id="rId17"/>
    <sheet name="สิงหาคม" sheetId="108" r:id="rId18"/>
    <sheet name="พฤศจิกายน" sheetId="109" r:id="rId19"/>
  </sheets>
  <externalReferences>
    <externalReference r:id="rId20"/>
    <externalReference r:id="rId21"/>
  </externalReferences>
  <definedNames>
    <definedName name="HTML_CodePage" hidden="1">874</definedName>
    <definedName name="HTML_Control" localSheetId="6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_xlnm.Print_Area" localSheetId="7">'ตารางที่1ไตรมาส 1234 พ.ศ.2563'!$A$1:$T$33</definedName>
    <definedName name="_xlnm.Print_Area" localSheetId="8">'ตารางที่1ไตรมาส 1234พ.ศ.2563'!$A$1:$T$33</definedName>
    <definedName name="_xlnm.Print_Titles" localSheetId="15">' กุมภาพันธ์'!$1:$4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AO39" i="111" l="1"/>
  <c r="AN39" i="111"/>
  <c r="AM39" i="111"/>
  <c r="AL39" i="111"/>
  <c r="AO37" i="111"/>
  <c r="AN37" i="111"/>
  <c r="AM37" i="111"/>
  <c r="AL37" i="111"/>
  <c r="AO36" i="111"/>
  <c r="AN36" i="111"/>
  <c r="AM36" i="111"/>
  <c r="AL36" i="111"/>
  <c r="AO35" i="111"/>
  <c r="AN35" i="111"/>
  <c r="AM35" i="111"/>
  <c r="AL35" i="111"/>
  <c r="AO34" i="111"/>
  <c r="AN34" i="111"/>
  <c r="AM34" i="111"/>
  <c r="AL34" i="111"/>
  <c r="AO32" i="111"/>
  <c r="AN32" i="111"/>
  <c r="AM32" i="111"/>
  <c r="AL32" i="111"/>
  <c r="AO31" i="111"/>
  <c r="AN31" i="111"/>
  <c r="AM31" i="111"/>
  <c r="AL31" i="111"/>
  <c r="AO30" i="111"/>
  <c r="AN30" i="111"/>
  <c r="AM30" i="111"/>
  <c r="AL30" i="111"/>
  <c r="AO29" i="111"/>
  <c r="AN29" i="111"/>
  <c r="AM29" i="111"/>
  <c r="AL29" i="111"/>
  <c r="AO28" i="111"/>
  <c r="AN28" i="111"/>
  <c r="AM28" i="111"/>
  <c r="AL28" i="111"/>
  <c r="AO27" i="111"/>
  <c r="AN27" i="111"/>
  <c r="AM27" i="111"/>
  <c r="AL27" i="111"/>
  <c r="AO26" i="111"/>
  <c r="AN26" i="111"/>
  <c r="AM26" i="111"/>
  <c r="AL26" i="111"/>
  <c r="AK39" i="111"/>
  <c r="AJ39" i="111"/>
  <c r="AI39" i="111"/>
  <c r="AH39" i="111"/>
  <c r="AK37" i="111"/>
  <c r="AJ37" i="111"/>
  <c r="AI37" i="111"/>
  <c r="AH37" i="111"/>
  <c r="AK36" i="111"/>
  <c r="AJ36" i="111"/>
  <c r="AI36" i="111"/>
  <c r="AH36" i="111"/>
  <c r="AK35" i="111"/>
  <c r="AJ35" i="111"/>
  <c r="AI35" i="111"/>
  <c r="AH35" i="111"/>
  <c r="AK34" i="111"/>
  <c r="AJ34" i="111"/>
  <c r="AI34" i="111"/>
  <c r="AH34" i="111"/>
  <c r="AK32" i="111"/>
  <c r="AJ32" i="111"/>
  <c r="AI32" i="111"/>
  <c r="AH32" i="111"/>
  <c r="AK31" i="111"/>
  <c r="AJ31" i="111"/>
  <c r="AI31" i="111"/>
  <c r="AH31" i="111"/>
  <c r="AK30" i="111"/>
  <c r="AJ30" i="111"/>
  <c r="AI30" i="111"/>
  <c r="AH30" i="111"/>
  <c r="AK29" i="111"/>
  <c r="AJ29" i="111"/>
  <c r="AI29" i="111"/>
  <c r="AH29" i="111"/>
  <c r="AK28" i="111"/>
  <c r="AJ28" i="111"/>
  <c r="AI28" i="111"/>
  <c r="AH28" i="111"/>
  <c r="AK27" i="111"/>
  <c r="AJ27" i="111"/>
  <c r="AI27" i="111"/>
  <c r="AH27" i="111"/>
  <c r="AK26" i="111"/>
  <c r="AJ26" i="111"/>
  <c r="AI26" i="111"/>
  <c r="AH26" i="111"/>
  <c r="AB16" i="111"/>
  <c r="AC16" i="111"/>
  <c r="H24" i="111"/>
  <c r="I24" i="111"/>
  <c r="B26" i="111"/>
  <c r="C26" i="111"/>
  <c r="E26" i="111"/>
  <c r="F26" i="111"/>
  <c r="G26" i="111"/>
  <c r="H26" i="111"/>
  <c r="I26" i="111"/>
  <c r="J26" i="111"/>
  <c r="K26" i="111"/>
  <c r="L26" i="111"/>
  <c r="M26" i="111"/>
  <c r="N26" i="111"/>
  <c r="O26" i="111"/>
  <c r="P26" i="111"/>
  <c r="Q26" i="111"/>
  <c r="R26" i="111"/>
  <c r="S26" i="111"/>
  <c r="T26" i="111"/>
  <c r="U26" i="111"/>
  <c r="V26" i="111"/>
  <c r="W26" i="111"/>
  <c r="X26" i="111"/>
  <c r="Y26" i="111"/>
  <c r="Z26" i="111"/>
  <c r="AA26" i="111"/>
  <c r="AB26" i="111"/>
  <c r="AC26" i="111"/>
  <c r="AD26" i="111"/>
  <c r="AE26" i="111"/>
  <c r="AF26" i="111"/>
  <c r="AG26" i="111"/>
  <c r="B27" i="111"/>
  <c r="C27" i="111"/>
  <c r="E27" i="111"/>
  <c r="F27" i="111"/>
  <c r="G27" i="111"/>
  <c r="H27" i="111"/>
  <c r="I27" i="111"/>
  <c r="J27" i="111"/>
  <c r="K27" i="111"/>
  <c r="L27" i="111"/>
  <c r="M27" i="111"/>
  <c r="N27" i="111"/>
  <c r="O27" i="111"/>
  <c r="P27" i="111"/>
  <c r="Q27" i="111"/>
  <c r="R27" i="111"/>
  <c r="S27" i="111"/>
  <c r="T27" i="111"/>
  <c r="U27" i="111"/>
  <c r="V27" i="111"/>
  <c r="W27" i="111"/>
  <c r="X27" i="111"/>
  <c r="Y27" i="111"/>
  <c r="Z27" i="111"/>
  <c r="AA27" i="111"/>
  <c r="AB27" i="111"/>
  <c r="AC27" i="111"/>
  <c r="AD27" i="111"/>
  <c r="AE27" i="111"/>
  <c r="AF27" i="111"/>
  <c r="AG27" i="111"/>
  <c r="C28" i="111"/>
  <c r="E28" i="111"/>
  <c r="F28" i="111"/>
  <c r="G28" i="111"/>
  <c r="H28" i="111"/>
  <c r="J28" i="111"/>
  <c r="K28" i="111"/>
  <c r="M28" i="111"/>
  <c r="N28" i="111"/>
  <c r="O28" i="111"/>
  <c r="P28" i="111"/>
  <c r="Q28" i="111"/>
  <c r="R28" i="111"/>
  <c r="S28" i="111"/>
  <c r="T28" i="111"/>
  <c r="U28" i="111"/>
  <c r="V28" i="111"/>
  <c r="W28" i="111"/>
  <c r="X28" i="111"/>
  <c r="Y28" i="111"/>
  <c r="Z28" i="111"/>
  <c r="AA28" i="111"/>
  <c r="AB28" i="111"/>
  <c r="AC28" i="111"/>
  <c r="AD28" i="111"/>
  <c r="AE28" i="111"/>
  <c r="AF28" i="111"/>
  <c r="AG28" i="111"/>
  <c r="B29" i="111"/>
  <c r="C29" i="111"/>
  <c r="E29" i="111"/>
  <c r="F29" i="111"/>
  <c r="G29" i="111"/>
  <c r="I29" i="111"/>
  <c r="J29" i="111"/>
  <c r="K29" i="111"/>
  <c r="L29" i="111"/>
  <c r="M29" i="111"/>
  <c r="N29" i="111"/>
  <c r="O29" i="111"/>
  <c r="P29" i="111"/>
  <c r="Q29" i="111"/>
  <c r="R29" i="111"/>
  <c r="S29" i="111"/>
  <c r="T29" i="111"/>
  <c r="U29" i="111"/>
  <c r="V29" i="111"/>
  <c r="W29" i="111"/>
  <c r="X29" i="111"/>
  <c r="Y29" i="111"/>
  <c r="Z29" i="111"/>
  <c r="AA29" i="111"/>
  <c r="AB29" i="111"/>
  <c r="AC29" i="111"/>
  <c r="AD29" i="111"/>
  <c r="AE29" i="111"/>
  <c r="AF29" i="111"/>
  <c r="AG29" i="111"/>
  <c r="B30" i="111"/>
  <c r="C30" i="111"/>
  <c r="E30" i="111"/>
  <c r="F30" i="111"/>
  <c r="G30" i="111"/>
  <c r="H30" i="111"/>
  <c r="I30" i="111"/>
  <c r="K30" i="111"/>
  <c r="L30" i="111"/>
  <c r="M30" i="111"/>
  <c r="N30" i="111"/>
  <c r="O30" i="111"/>
  <c r="P30" i="111"/>
  <c r="Q30" i="111"/>
  <c r="R30" i="111"/>
  <c r="S30" i="111"/>
  <c r="T30" i="111"/>
  <c r="U30" i="111"/>
  <c r="V30" i="111"/>
  <c r="W30" i="111"/>
  <c r="X30" i="111"/>
  <c r="Y30" i="111"/>
  <c r="Z30" i="111"/>
  <c r="AA30" i="111"/>
  <c r="AB30" i="111"/>
  <c r="AC30" i="111"/>
  <c r="AD30" i="111"/>
  <c r="AE30" i="111"/>
  <c r="AF30" i="111"/>
  <c r="AG30" i="111"/>
  <c r="B31" i="111"/>
  <c r="C31" i="111"/>
  <c r="E31" i="111"/>
  <c r="F31" i="111"/>
  <c r="G31" i="111"/>
  <c r="H31" i="111"/>
  <c r="I31" i="111"/>
  <c r="J31" i="111"/>
  <c r="K31" i="111"/>
  <c r="L31" i="111"/>
  <c r="M31" i="111"/>
  <c r="N31" i="111"/>
  <c r="O31" i="111"/>
  <c r="P31" i="111"/>
  <c r="Q31" i="111"/>
  <c r="R31" i="111"/>
  <c r="S31" i="111"/>
  <c r="T31" i="111"/>
  <c r="U31" i="111"/>
  <c r="V31" i="111"/>
  <c r="W31" i="111"/>
  <c r="X31" i="111"/>
  <c r="Y31" i="111"/>
  <c r="Z31" i="111"/>
  <c r="AA31" i="111"/>
  <c r="AB31" i="111"/>
  <c r="AC31" i="111"/>
  <c r="AD31" i="111"/>
  <c r="AE31" i="111"/>
  <c r="AF31" i="111"/>
  <c r="AG31" i="111"/>
  <c r="B32" i="111"/>
  <c r="C32" i="111"/>
  <c r="E32" i="111"/>
  <c r="F32" i="111"/>
  <c r="G32" i="111"/>
  <c r="H32" i="111"/>
  <c r="I32" i="111"/>
  <c r="J32" i="111"/>
  <c r="K32" i="111"/>
  <c r="L32" i="111"/>
  <c r="M32" i="111"/>
  <c r="N32" i="111"/>
  <c r="O32" i="111"/>
  <c r="P32" i="111"/>
  <c r="Q32" i="111"/>
  <c r="R32" i="111"/>
  <c r="S32" i="111"/>
  <c r="T32" i="111"/>
  <c r="U32" i="111"/>
  <c r="V32" i="111"/>
  <c r="W32" i="111"/>
  <c r="X32" i="111"/>
  <c r="Y32" i="111"/>
  <c r="Z32" i="111"/>
  <c r="AA32" i="111"/>
  <c r="AB32" i="111"/>
  <c r="AC32" i="111"/>
  <c r="AD32" i="111"/>
  <c r="AE32" i="111"/>
  <c r="AF32" i="111"/>
  <c r="AG32" i="111"/>
  <c r="B33" i="111"/>
  <c r="C33" i="111"/>
  <c r="E33" i="111"/>
  <c r="F33" i="111"/>
  <c r="G33" i="111"/>
  <c r="H33" i="111"/>
  <c r="I33" i="111"/>
  <c r="J33" i="111"/>
  <c r="K33" i="111"/>
  <c r="L33" i="111"/>
  <c r="M33" i="111"/>
  <c r="N33" i="111"/>
  <c r="O33" i="111"/>
  <c r="P33" i="111"/>
  <c r="Q33" i="111"/>
  <c r="R33" i="111"/>
  <c r="S33" i="111"/>
  <c r="T33" i="111"/>
  <c r="U33" i="111"/>
  <c r="B34" i="111"/>
  <c r="E34" i="111"/>
  <c r="F34" i="111"/>
  <c r="G34" i="111"/>
  <c r="H34" i="111"/>
  <c r="I34" i="111"/>
  <c r="J34" i="111"/>
  <c r="K34" i="111"/>
  <c r="L34" i="111"/>
  <c r="M34" i="111"/>
  <c r="N34" i="111"/>
  <c r="O34" i="111"/>
  <c r="P34" i="111"/>
  <c r="Q34" i="111"/>
  <c r="R34" i="111"/>
  <c r="S34" i="111"/>
  <c r="T34" i="111"/>
  <c r="U34" i="111"/>
  <c r="V34" i="111"/>
  <c r="W34" i="111"/>
  <c r="X34" i="111"/>
  <c r="Y34" i="111"/>
  <c r="Z34" i="111"/>
  <c r="AA34" i="111"/>
  <c r="AB34" i="111"/>
  <c r="AC34" i="111"/>
  <c r="AD34" i="111"/>
  <c r="AE34" i="111"/>
  <c r="AF34" i="111"/>
  <c r="AG34" i="111"/>
  <c r="B35" i="111"/>
  <c r="C35" i="111"/>
  <c r="E35" i="111"/>
  <c r="F35" i="111"/>
  <c r="G35" i="111"/>
  <c r="H35" i="111"/>
  <c r="I35" i="111"/>
  <c r="J35" i="111"/>
  <c r="K35" i="111"/>
  <c r="L35" i="111"/>
  <c r="M35" i="111"/>
  <c r="N35" i="111"/>
  <c r="O35" i="111"/>
  <c r="P35" i="111"/>
  <c r="Q35" i="111"/>
  <c r="R35" i="111"/>
  <c r="S35" i="111"/>
  <c r="T35" i="111"/>
  <c r="U35" i="111"/>
  <c r="V35" i="111"/>
  <c r="W35" i="111"/>
  <c r="X35" i="111"/>
  <c r="Y35" i="111"/>
  <c r="Z35" i="111"/>
  <c r="AA35" i="111"/>
  <c r="AB35" i="111"/>
  <c r="AC35" i="111"/>
  <c r="AD35" i="111"/>
  <c r="AE35" i="111"/>
  <c r="AF35" i="111"/>
  <c r="AG35" i="111"/>
  <c r="B36" i="111"/>
  <c r="C36" i="111"/>
  <c r="E36" i="111"/>
  <c r="F36" i="111"/>
  <c r="G36" i="111"/>
  <c r="H36" i="111"/>
  <c r="I36" i="111"/>
  <c r="J36" i="111"/>
  <c r="K36" i="111"/>
  <c r="L36" i="111"/>
  <c r="M36" i="111"/>
  <c r="N36" i="111"/>
  <c r="O36" i="111"/>
  <c r="P36" i="111"/>
  <c r="Q36" i="111"/>
  <c r="R36" i="111"/>
  <c r="S36" i="111"/>
  <c r="T36" i="111"/>
  <c r="U36" i="111"/>
  <c r="V36" i="111"/>
  <c r="W36" i="111"/>
  <c r="X36" i="111"/>
  <c r="Y36" i="111"/>
  <c r="Z36" i="111"/>
  <c r="AA36" i="111"/>
  <c r="AB36" i="111"/>
  <c r="AC36" i="111"/>
  <c r="AD36" i="111"/>
  <c r="AE36" i="111"/>
  <c r="AF36" i="111"/>
  <c r="AG36" i="111"/>
  <c r="B37" i="111"/>
  <c r="C37" i="111"/>
  <c r="E37" i="111"/>
  <c r="F37" i="111"/>
  <c r="G37" i="111"/>
  <c r="H37" i="111"/>
  <c r="I37" i="111"/>
  <c r="J37" i="111"/>
  <c r="K37" i="111"/>
  <c r="L37" i="111"/>
  <c r="M37" i="111"/>
  <c r="N37" i="111"/>
  <c r="O37" i="111"/>
  <c r="P37" i="111"/>
  <c r="Q37" i="111"/>
  <c r="R37" i="111"/>
  <c r="S37" i="111"/>
  <c r="T37" i="111"/>
  <c r="U37" i="111"/>
  <c r="V37" i="111"/>
  <c r="W37" i="111"/>
  <c r="X37" i="111"/>
  <c r="Y37" i="111"/>
  <c r="Z37" i="111"/>
  <c r="AA37" i="111"/>
  <c r="AB37" i="111"/>
  <c r="AC37" i="111"/>
  <c r="AD37" i="111"/>
  <c r="AE37" i="111"/>
  <c r="AF37" i="111"/>
  <c r="AG37" i="111"/>
  <c r="B38" i="111"/>
  <c r="C38" i="111"/>
  <c r="E38" i="111"/>
  <c r="F38" i="111"/>
  <c r="G38" i="111"/>
  <c r="H38" i="111"/>
  <c r="I38" i="111"/>
  <c r="J38" i="111"/>
  <c r="K38" i="111"/>
  <c r="L38" i="111"/>
  <c r="M38" i="111"/>
  <c r="N38" i="111"/>
  <c r="O38" i="111"/>
  <c r="P38" i="111"/>
  <c r="Q38" i="111"/>
  <c r="R38" i="111"/>
  <c r="S38" i="111"/>
  <c r="T38" i="111"/>
  <c r="U38" i="111"/>
  <c r="V38" i="111"/>
  <c r="B39" i="111"/>
  <c r="C39" i="111"/>
  <c r="E39" i="111"/>
  <c r="F39" i="111"/>
  <c r="G39" i="111"/>
  <c r="H39" i="111"/>
  <c r="I39" i="111"/>
  <c r="J39" i="111"/>
  <c r="K39" i="111"/>
  <c r="L39" i="111"/>
  <c r="M39" i="111"/>
  <c r="N39" i="111"/>
  <c r="O39" i="111"/>
  <c r="P39" i="111"/>
  <c r="Q39" i="111"/>
  <c r="R39" i="111"/>
  <c r="S39" i="111"/>
  <c r="T39" i="111"/>
  <c r="U39" i="111"/>
  <c r="V39" i="111"/>
  <c r="W39" i="111"/>
  <c r="X39" i="111"/>
  <c r="Z39" i="111"/>
  <c r="AA39" i="111"/>
  <c r="AB39" i="111"/>
  <c r="AC39" i="111"/>
  <c r="AD39" i="111"/>
  <c r="AE39" i="111"/>
  <c r="AF39" i="111"/>
  <c r="AG39" i="111"/>
  <c r="AP22" i="90" l="1"/>
  <c r="AS22" i="90"/>
  <c r="AR22" i="90"/>
  <c r="AQ22" i="90"/>
  <c r="AS21" i="90"/>
  <c r="AR21" i="90"/>
  <c r="AQ21" i="90"/>
  <c r="AP21" i="90"/>
  <c r="AS20" i="90"/>
  <c r="AR20" i="90"/>
  <c r="AQ20" i="90"/>
  <c r="AP20" i="90"/>
  <c r="AS19" i="90"/>
  <c r="AR19" i="90"/>
  <c r="AQ19" i="90"/>
  <c r="AP19" i="90"/>
  <c r="AS18" i="90"/>
  <c r="AR18" i="90"/>
  <c r="AQ18" i="90"/>
  <c r="AP18" i="90"/>
  <c r="AS17" i="90"/>
  <c r="AR17" i="90"/>
  <c r="AQ17" i="90"/>
  <c r="AP17" i="90"/>
  <c r="AP15" i="90" s="1"/>
  <c r="AS15" i="90"/>
  <c r="AR15" i="90"/>
  <c r="AQ15" i="90"/>
  <c r="AS26" i="91"/>
  <c r="AR26" i="91"/>
  <c r="AQ26" i="91"/>
  <c r="AP26" i="91"/>
  <c r="AS25" i="91"/>
  <c r="AR25" i="91"/>
  <c r="AQ25" i="91"/>
  <c r="AP25" i="91"/>
  <c r="AS24" i="91"/>
  <c r="AR24" i="91"/>
  <c r="AQ24" i="91"/>
  <c r="AP24" i="91"/>
  <c r="AS23" i="91"/>
  <c r="AR23" i="91"/>
  <c r="AQ23" i="91"/>
  <c r="AP23" i="91"/>
  <c r="AS22" i="91"/>
  <c r="AR22" i="91"/>
  <c r="AQ22" i="91"/>
  <c r="AP22" i="91"/>
  <c r="AS21" i="91"/>
  <c r="AR21" i="91"/>
  <c r="AQ21" i="91"/>
  <c r="AP21" i="91"/>
  <c r="AS20" i="91"/>
  <c r="AR20" i="91"/>
  <c r="AQ20" i="91"/>
  <c r="AP20" i="91"/>
  <c r="AS19" i="91"/>
  <c r="AR19" i="91"/>
  <c r="AQ19" i="91"/>
  <c r="AP19" i="91"/>
  <c r="AQ33" i="89"/>
  <c r="AR33" i="89"/>
  <c r="AS58" i="89"/>
  <c r="AR58" i="89"/>
  <c r="AQ58" i="89"/>
  <c r="AP58" i="89"/>
  <c r="AS57" i="89"/>
  <c r="AS33" i="89" s="1"/>
  <c r="AR57" i="89"/>
  <c r="AQ57" i="89"/>
  <c r="AP57" i="89"/>
  <c r="AP33" i="89" s="1"/>
  <c r="AS56" i="89"/>
  <c r="AR56" i="89"/>
  <c r="AQ56" i="89"/>
  <c r="AP56" i="89"/>
  <c r="AS55" i="89"/>
  <c r="AR55" i="89"/>
  <c r="AQ55" i="89"/>
  <c r="AP55" i="89"/>
  <c r="AS54" i="89"/>
  <c r="AR54" i="89"/>
  <c r="AQ54" i="89"/>
  <c r="AP54" i="89"/>
  <c r="AS53" i="89"/>
  <c r="AR53" i="89"/>
  <c r="AQ53" i="89"/>
  <c r="AP53" i="89"/>
  <c r="AS52" i="89"/>
  <c r="AR52" i="89"/>
  <c r="AQ52" i="89"/>
  <c r="AP52" i="89"/>
  <c r="AS51" i="89"/>
  <c r="AR51" i="89"/>
  <c r="AQ51" i="89"/>
  <c r="AP51" i="89"/>
  <c r="AS49" i="89"/>
  <c r="AR49" i="89"/>
  <c r="AQ49" i="89"/>
  <c r="AP49" i="89"/>
  <c r="AS48" i="89"/>
  <c r="AR48" i="89"/>
  <c r="AQ48" i="89"/>
  <c r="AP48" i="89"/>
  <c r="AS47" i="89"/>
  <c r="AR47" i="89"/>
  <c r="AQ47" i="89"/>
  <c r="AP47" i="89"/>
  <c r="AS46" i="89"/>
  <c r="AR46" i="89"/>
  <c r="AQ46" i="89"/>
  <c r="AP46" i="89"/>
  <c r="AS45" i="89"/>
  <c r="AR45" i="89"/>
  <c r="AQ45" i="89"/>
  <c r="AP45" i="89"/>
  <c r="AS44" i="89"/>
  <c r="AR44" i="89"/>
  <c r="AQ44" i="89"/>
  <c r="AP44" i="89"/>
  <c r="AS43" i="89"/>
  <c r="AR43" i="89"/>
  <c r="AQ43" i="89"/>
  <c r="AP43" i="89"/>
  <c r="AS42" i="89"/>
  <c r="AR42" i="89"/>
  <c r="AQ42" i="89"/>
  <c r="AP42" i="89"/>
  <c r="AS40" i="89"/>
  <c r="AR40" i="89"/>
  <c r="AQ40" i="89"/>
  <c r="AP40" i="89"/>
  <c r="AS39" i="89"/>
  <c r="AR39" i="89"/>
  <c r="AQ39" i="89"/>
  <c r="AP39" i="89"/>
  <c r="AS38" i="89"/>
  <c r="AR38" i="89"/>
  <c r="AQ38" i="89"/>
  <c r="AP38" i="89"/>
  <c r="AS37" i="89"/>
  <c r="AR37" i="89"/>
  <c r="AQ37" i="89"/>
  <c r="AP37" i="89"/>
  <c r="AS36" i="89"/>
  <c r="AR36" i="89"/>
  <c r="AQ36" i="89"/>
  <c r="AP36" i="89"/>
  <c r="AS35" i="89"/>
  <c r="AR35" i="89"/>
  <c r="AQ35" i="89"/>
  <c r="AP35" i="89"/>
  <c r="AS41" i="88"/>
  <c r="AR41" i="88"/>
  <c r="AQ41" i="88"/>
  <c r="AP41" i="88"/>
  <c r="AS39" i="88"/>
  <c r="AR39" i="88"/>
  <c r="AQ39" i="88"/>
  <c r="AP39" i="88"/>
  <c r="AS37" i="88"/>
  <c r="AR37" i="88"/>
  <c r="AQ37" i="88"/>
  <c r="AP37" i="88"/>
  <c r="AS35" i="88"/>
  <c r="AR35" i="88"/>
  <c r="AQ35" i="88"/>
  <c r="AP35" i="88"/>
  <c r="AS33" i="88"/>
  <c r="AR33" i="88"/>
  <c r="AQ33" i="88"/>
  <c r="AP33" i="88"/>
  <c r="AS32" i="88"/>
  <c r="AR32" i="88"/>
  <c r="AQ32" i="88"/>
  <c r="AP32" i="88"/>
  <c r="AS31" i="88"/>
  <c r="AR31" i="88"/>
  <c r="AQ31" i="88"/>
  <c r="AP31" i="88"/>
  <c r="AS29" i="88"/>
  <c r="AR29" i="88"/>
  <c r="AQ29" i="88"/>
  <c r="AP29" i="88"/>
  <c r="AS28" i="88"/>
  <c r="AR28" i="88"/>
  <c r="AQ28" i="88"/>
  <c r="AP28" i="88"/>
  <c r="AS25" i="88"/>
  <c r="AR25" i="88"/>
  <c r="AQ25" i="88"/>
  <c r="AP25" i="88"/>
  <c r="AS39" i="86"/>
  <c r="AR39" i="86"/>
  <c r="AQ39" i="86"/>
  <c r="AP39" i="86"/>
  <c r="AS37" i="86"/>
  <c r="AR37" i="86"/>
  <c r="AQ37" i="86"/>
  <c r="AP37" i="86"/>
  <c r="AS36" i="86"/>
  <c r="AR36" i="86"/>
  <c r="AQ36" i="86"/>
  <c r="AP36" i="86"/>
  <c r="AS35" i="86"/>
  <c r="AR35" i="86"/>
  <c r="AQ35" i="86"/>
  <c r="AP35" i="86"/>
  <c r="AS34" i="86"/>
  <c r="AR34" i="86"/>
  <c r="AQ34" i="86"/>
  <c r="AP34" i="86"/>
  <c r="AS32" i="86"/>
  <c r="AR32" i="86"/>
  <c r="AQ32" i="86"/>
  <c r="AP32" i="86"/>
  <c r="AS31" i="86"/>
  <c r="AR31" i="86"/>
  <c r="AQ31" i="86"/>
  <c r="AP31" i="86"/>
  <c r="AS30" i="86"/>
  <c r="AR30" i="86"/>
  <c r="AQ30" i="86"/>
  <c r="AP30" i="86"/>
  <c r="AS29" i="86"/>
  <c r="AR29" i="86"/>
  <c r="AQ29" i="86"/>
  <c r="AP29" i="86"/>
  <c r="AS28" i="86"/>
  <c r="AR28" i="86"/>
  <c r="AQ28" i="86"/>
  <c r="AP28" i="86"/>
  <c r="AS27" i="86"/>
  <c r="AR27" i="86"/>
  <c r="AQ27" i="86"/>
  <c r="AP27" i="86"/>
  <c r="AS26" i="86"/>
  <c r="AR26" i="86"/>
  <c r="AQ26" i="86"/>
  <c r="AP26" i="86"/>
  <c r="AP17" i="92"/>
  <c r="AS29" i="92"/>
  <c r="AR29" i="92"/>
  <c r="AQ29" i="92"/>
  <c r="AP29" i="92"/>
  <c r="AS28" i="92"/>
  <c r="AR28" i="92"/>
  <c r="AQ28" i="92"/>
  <c r="AP28" i="92"/>
  <c r="AS27" i="92"/>
  <c r="AR27" i="92"/>
  <c r="AQ27" i="92"/>
  <c r="AP27" i="92"/>
  <c r="AS26" i="92"/>
  <c r="AR26" i="92"/>
  <c r="AQ26" i="92"/>
  <c r="AP26" i="92"/>
  <c r="AS25" i="92"/>
  <c r="AR25" i="92"/>
  <c r="AQ25" i="92"/>
  <c r="AP25" i="92"/>
  <c r="AS24" i="92"/>
  <c r="AR24" i="92"/>
  <c r="AQ24" i="92"/>
  <c r="AP24" i="92"/>
  <c r="AS23" i="92"/>
  <c r="AR23" i="92"/>
  <c r="AQ23" i="92"/>
  <c r="AP23" i="92"/>
  <c r="AS22" i="92"/>
  <c r="AR22" i="92"/>
  <c r="AQ22" i="92"/>
  <c r="AP22" i="92"/>
  <c r="AS21" i="92"/>
  <c r="AR21" i="92"/>
  <c r="AQ21" i="92"/>
  <c r="AP21" i="92"/>
  <c r="AS20" i="92"/>
  <c r="AR20" i="92"/>
  <c r="AQ20" i="92"/>
  <c r="AP20" i="92"/>
  <c r="AS19" i="92"/>
  <c r="AR19" i="92"/>
  <c r="AQ19" i="92"/>
  <c r="AP19" i="92"/>
  <c r="AS17" i="92"/>
  <c r="AS30" i="92" s="1"/>
  <c r="AR17" i="92"/>
  <c r="AR30" i="92" s="1"/>
  <c r="AQ17" i="92"/>
  <c r="AQ30" i="92" s="1"/>
  <c r="AP30" i="92"/>
  <c r="R5" i="105"/>
  <c r="S5" i="105"/>
  <c r="T5" i="105"/>
  <c r="T37" i="105" s="1"/>
  <c r="R7" i="105"/>
  <c r="R24" i="105" s="1"/>
  <c r="S7" i="105"/>
  <c r="T7" i="105"/>
  <c r="R8" i="105"/>
  <c r="R25" i="105" s="1"/>
  <c r="S8" i="105"/>
  <c r="S25" i="105" s="1"/>
  <c r="T8" i="105"/>
  <c r="R9" i="105"/>
  <c r="S9" i="105"/>
  <c r="S26" i="105" s="1"/>
  <c r="T9" i="105"/>
  <c r="T26" i="105" s="1"/>
  <c r="R10" i="105"/>
  <c r="S10" i="105"/>
  <c r="T10" i="105"/>
  <c r="T27" i="105" s="1"/>
  <c r="R11" i="105"/>
  <c r="R28" i="105" s="1"/>
  <c r="S11" i="105"/>
  <c r="T11" i="105"/>
  <c r="R12" i="105"/>
  <c r="R29" i="105" s="1"/>
  <c r="S12" i="105"/>
  <c r="S29" i="105" s="1"/>
  <c r="T12" i="105"/>
  <c r="R13" i="105"/>
  <c r="S13" i="105"/>
  <c r="S30" i="105" s="1"/>
  <c r="T13" i="105"/>
  <c r="T30" i="105" s="1"/>
  <c r="R14" i="105"/>
  <c r="S14" i="105"/>
  <c r="T14" i="105"/>
  <c r="R15" i="105"/>
  <c r="R32" i="105" s="1"/>
  <c r="S15" i="105"/>
  <c r="T15" i="105"/>
  <c r="T32" i="105" s="1"/>
  <c r="R16" i="105"/>
  <c r="R33" i="105" s="1"/>
  <c r="S16" i="105"/>
  <c r="S33" i="105" s="1"/>
  <c r="T16" i="105"/>
  <c r="R17" i="105"/>
  <c r="R34" i="105" s="1"/>
  <c r="S17" i="105"/>
  <c r="S34" i="105" s="1"/>
  <c r="T17" i="105"/>
  <c r="T34" i="105" s="1"/>
  <c r="R18" i="105"/>
  <c r="S18" i="105"/>
  <c r="S35" i="105" s="1"/>
  <c r="T18" i="105"/>
  <c r="T35" i="105" s="1"/>
  <c r="R19" i="105"/>
  <c r="S19" i="105"/>
  <c r="T19" i="105"/>
  <c r="R20" i="105"/>
  <c r="S20" i="105"/>
  <c r="T20" i="105"/>
  <c r="S24" i="105"/>
  <c r="T24" i="105"/>
  <c r="T25" i="105"/>
  <c r="R26" i="105"/>
  <c r="R27" i="105"/>
  <c r="S27" i="105"/>
  <c r="S28" i="105"/>
  <c r="T28" i="105"/>
  <c r="T29" i="105"/>
  <c r="R30" i="105"/>
  <c r="S32" i="105"/>
  <c r="T33" i="105"/>
  <c r="R35" i="105"/>
  <c r="R37" i="105"/>
  <c r="S37" i="105"/>
  <c r="R5" i="104"/>
  <c r="S5" i="104"/>
  <c r="S16" i="104" s="1"/>
  <c r="T5" i="104"/>
  <c r="R7" i="104"/>
  <c r="R18" i="104" s="1"/>
  <c r="S7" i="104"/>
  <c r="T7" i="104"/>
  <c r="T18" i="104" s="1"/>
  <c r="R8" i="104"/>
  <c r="S8" i="104"/>
  <c r="S19" i="104" s="1"/>
  <c r="T8" i="104"/>
  <c r="R9" i="104"/>
  <c r="R20" i="104" s="1"/>
  <c r="S9" i="104"/>
  <c r="T9" i="104"/>
  <c r="T20" i="104" s="1"/>
  <c r="R10" i="104"/>
  <c r="S10" i="104"/>
  <c r="S21" i="104" s="1"/>
  <c r="T10" i="104"/>
  <c r="R11" i="104"/>
  <c r="R22" i="104" s="1"/>
  <c r="S11" i="104"/>
  <c r="T11" i="104"/>
  <c r="T22" i="104" s="1"/>
  <c r="R12" i="104"/>
  <c r="S12" i="104"/>
  <c r="S23" i="104" s="1"/>
  <c r="T12" i="104"/>
  <c r="R13" i="104"/>
  <c r="R24" i="104" s="1"/>
  <c r="S13" i="104"/>
  <c r="T13" i="104"/>
  <c r="T24" i="104" s="1"/>
  <c r="R14" i="104"/>
  <c r="S14" i="104"/>
  <c r="S25" i="104" s="1"/>
  <c r="T14" i="104"/>
  <c r="R16" i="104"/>
  <c r="T16" i="104"/>
  <c r="S18" i="104"/>
  <c r="R19" i="104"/>
  <c r="T19" i="104"/>
  <c r="S20" i="104"/>
  <c r="R21" i="104"/>
  <c r="T21" i="104"/>
  <c r="S22" i="104"/>
  <c r="R23" i="104"/>
  <c r="T23" i="104"/>
  <c r="S24" i="104"/>
  <c r="R25" i="104"/>
  <c r="T25" i="104"/>
  <c r="R5" i="103"/>
  <c r="S5" i="103"/>
  <c r="S16" i="103" s="1"/>
  <c r="T5" i="103"/>
  <c r="T17" i="103" s="1"/>
  <c r="R7" i="103"/>
  <c r="S7" i="103"/>
  <c r="T7" i="103"/>
  <c r="R8" i="103"/>
  <c r="S8" i="103"/>
  <c r="T8" i="103"/>
  <c r="R9" i="103"/>
  <c r="S9" i="103"/>
  <c r="T9" i="103"/>
  <c r="R10" i="103"/>
  <c r="S10" i="103"/>
  <c r="T10" i="103"/>
  <c r="R11" i="103"/>
  <c r="S11" i="103"/>
  <c r="T11" i="103"/>
  <c r="R12" i="103"/>
  <c r="S12" i="103"/>
  <c r="T12" i="103"/>
  <c r="R14" i="103"/>
  <c r="T14" i="103"/>
  <c r="R15" i="103"/>
  <c r="T15" i="103"/>
  <c r="R16" i="103"/>
  <c r="R17" i="103"/>
  <c r="R18" i="103"/>
  <c r="T18" i="103"/>
  <c r="R19" i="103"/>
  <c r="T19" i="103"/>
  <c r="R20" i="103"/>
  <c r="R21" i="103"/>
  <c r="R5" i="102"/>
  <c r="S5" i="102"/>
  <c r="T5" i="102"/>
  <c r="R7" i="102"/>
  <c r="R31" i="102" s="1"/>
  <c r="S7" i="102"/>
  <c r="T7" i="102"/>
  <c r="R8" i="102"/>
  <c r="R32" i="102" s="1"/>
  <c r="S8" i="102"/>
  <c r="S32" i="102" s="1"/>
  <c r="T8" i="102"/>
  <c r="R9" i="102"/>
  <c r="S9" i="102"/>
  <c r="S33" i="102" s="1"/>
  <c r="T9" i="102"/>
  <c r="T33" i="102" s="1"/>
  <c r="R10" i="102"/>
  <c r="S10" i="102"/>
  <c r="T10" i="102"/>
  <c r="T34" i="102" s="1"/>
  <c r="R11" i="102"/>
  <c r="R35" i="102" s="1"/>
  <c r="S11" i="102"/>
  <c r="T11" i="102"/>
  <c r="R12" i="102"/>
  <c r="R36" i="102" s="1"/>
  <c r="S12" i="102"/>
  <c r="S36" i="102" s="1"/>
  <c r="T12" i="102"/>
  <c r="R13" i="102"/>
  <c r="S13" i="102"/>
  <c r="S37" i="102" s="1"/>
  <c r="T13" i="102"/>
  <c r="T37" i="102" s="1"/>
  <c r="R14" i="102"/>
  <c r="S14" i="102"/>
  <c r="T14" i="102"/>
  <c r="T38" i="102" s="1"/>
  <c r="R15" i="102"/>
  <c r="R39" i="102" s="1"/>
  <c r="S15" i="102"/>
  <c r="T15" i="102"/>
  <c r="R16" i="102"/>
  <c r="R40" i="102" s="1"/>
  <c r="S16" i="102"/>
  <c r="S40" i="102" s="1"/>
  <c r="T16" i="102"/>
  <c r="R17" i="102"/>
  <c r="S17" i="102"/>
  <c r="S41" i="102" s="1"/>
  <c r="T17" i="102"/>
  <c r="T41" i="102" s="1"/>
  <c r="R18" i="102"/>
  <c r="S18" i="102"/>
  <c r="T18" i="102"/>
  <c r="T42" i="102" s="1"/>
  <c r="R19" i="102"/>
  <c r="R43" i="102" s="1"/>
  <c r="S19" i="102"/>
  <c r="T19" i="102"/>
  <c r="R20" i="102"/>
  <c r="R44" i="102" s="1"/>
  <c r="S20" i="102"/>
  <c r="S44" i="102" s="1"/>
  <c r="T20" i="102"/>
  <c r="R21" i="102"/>
  <c r="S21" i="102"/>
  <c r="S45" i="102" s="1"/>
  <c r="T21" i="102"/>
  <c r="T45" i="102" s="1"/>
  <c r="R22" i="102"/>
  <c r="S22" i="102"/>
  <c r="T22" i="102"/>
  <c r="T46" i="102" s="1"/>
  <c r="R23" i="102"/>
  <c r="R47" i="102" s="1"/>
  <c r="S23" i="102"/>
  <c r="T23" i="102"/>
  <c r="R24" i="102"/>
  <c r="R48" i="102" s="1"/>
  <c r="S24" i="102"/>
  <c r="S48" i="102" s="1"/>
  <c r="T24" i="102"/>
  <c r="R25" i="102"/>
  <c r="S25" i="102"/>
  <c r="S49" i="102" s="1"/>
  <c r="T25" i="102"/>
  <c r="T49" i="102" s="1"/>
  <c r="R26" i="102"/>
  <c r="S26" i="102"/>
  <c r="T26" i="102"/>
  <c r="T50" i="102" s="1"/>
  <c r="R28" i="102"/>
  <c r="R52" i="102" s="1"/>
  <c r="S28" i="102"/>
  <c r="S31" i="102"/>
  <c r="T31" i="102"/>
  <c r="T32" i="102"/>
  <c r="R33" i="102"/>
  <c r="R34" i="102"/>
  <c r="S34" i="102"/>
  <c r="S35" i="102"/>
  <c r="T35" i="102"/>
  <c r="T36" i="102"/>
  <c r="R37" i="102"/>
  <c r="R38" i="102"/>
  <c r="S38" i="102"/>
  <c r="S39" i="102"/>
  <c r="T39" i="102"/>
  <c r="T40" i="102"/>
  <c r="R41" i="102"/>
  <c r="R42" i="102"/>
  <c r="S42" i="102"/>
  <c r="S43" i="102"/>
  <c r="T43" i="102"/>
  <c r="T44" i="102"/>
  <c r="R45" i="102"/>
  <c r="R46" i="102"/>
  <c r="S46" i="102"/>
  <c r="S47" i="102"/>
  <c r="T47" i="102"/>
  <c r="T48" i="102"/>
  <c r="R49" i="102"/>
  <c r="R50" i="102"/>
  <c r="S50" i="102"/>
  <c r="R51" i="102"/>
  <c r="S51" i="102"/>
  <c r="T51" i="102"/>
  <c r="S52" i="102"/>
  <c r="T52" i="102"/>
  <c r="S5" i="101"/>
  <c r="S30" i="101" s="1"/>
  <c r="T5" i="101"/>
  <c r="U5" i="101"/>
  <c r="U24" i="101" s="1"/>
  <c r="S8" i="101"/>
  <c r="S27" i="101" s="1"/>
  <c r="T8" i="101"/>
  <c r="T27" i="101" s="1"/>
  <c r="U8" i="101"/>
  <c r="S9" i="101"/>
  <c r="T9" i="101"/>
  <c r="U9" i="101"/>
  <c r="U28" i="101" s="1"/>
  <c r="S11" i="101"/>
  <c r="T11" i="101"/>
  <c r="U11" i="101"/>
  <c r="S12" i="101"/>
  <c r="S31" i="101" s="1"/>
  <c r="T12" i="101"/>
  <c r="U12" i="101"/>
  <c r="U31" i="101" s="1"/>
  <c r="S13" i="101"/>
  <c r="S32" i="101" s="1"/>
  <c r="T13" i="101"/>
  <c r="T32" i="101" s="1"/>
  <c r="U13" i="101"/>
  <c r="S15" i="101"/>
  <c r="T15" i="101"/>
  <c r="U15" i="101"/>
  <c r="U34" i="101" s="1"/>
  <c r="S17" i="101"/>
  <c r="T17" i="101"/>
  <c r="U17" i="101"/>
  <c r="S19" i="101"/>
  <c r="S38" i="101" s="1"/>
  <c r="T19" i="101"/>
  <c r="U19" i="101"/>
  <c r="U38" i="101" s="1"/>
  <c r="S21" i="101"/>
  <c r="S40" i="101" s="1"/>
  <c r="T21" i="101"/>
  <c r="T40" i="101" s="1"/>
  <c r="U21" i="101"/>
  <c r="S22" i="101"/>
  <c r="T22" i="101"/>
  <c r="B24" i="101"/>
  <c r="C24" i="101"/>
  <c r="D24" i="101"/>
  <c r="T24" i="101"/>
  <c r="B27" i="101"/>
  <c r="C27" i="101"/>
  <c r="D27" i="101"/>
  <c r="U27" i="101"/>
  <c r="B28" i="101"/>
  <c r="C28" i="101"/>
  <c r="D28" i="101"/>
  <c r="T28" i="101"/>
  <c r="B30" i="101"/>
  <c r="C30" i="101"/>
  <c r="D30" i="101"/>
  <c r="T30" i="101"/>
  <c r="U30" i="101"/>
  <c r="B31" i="101"/>
  <c r="C31" i="101"/>
  <c r="D31" i="101"/>
  <c r="T31" i="101"/>
  <c r="B32" i="101"/>
  <c r="C32" i="101"/>
  <c r="D32" i="101"/>
  <c r="U32" i="101"/>
  <c r="B34" i="101"/>
  <c r="C34" i="101"/>
  <c r="D34" i="101"/>
  <c r="T34" i="101"/>
  <c r="B36" i="101"/>
  <c r="C36" i="101"/>
  <c r="D36" i="101"/>
  <c r="T36" i="101"/>
  <c r="U36" i="101"/>
  <c r="B38" i="101"/>
  <c r="C38" i="101"/>
  <c r="D38" i="101"/>
  <c r="T38" i="101"/>
  <c r="B40" i="101"/>
  <c r="C40" i="101"/>
  <c r="D40" i="101"/>
  <c r="U40" i="101"/>
  <c r="B41" i="101"/>
  <c r="C41" i="101"/>
  <c r="R20" i="100"/>
  <c r="S20" i="100"/>
  <c r="T20" i="100"/>
  <c r="T37" i="100" s="1"/>
  <c r="R22" i="100"/>
  <c r="S22" i="100"/>
  <c r="T22" i="100"/>
  <c r="R24" i="100"/>
  <c r="S24" i="100"/>
  <c r="T24" i="100"/>
  <c r="R25" i="100"/>
  <c r="S25" i="100"/>
  <c r="T25" i="100"/>
  <c r="R26" i="100"/>
  <c r="S26" i="100"/>
  <c r="T26" i="100"/>
  <c r="R27" i="100"/>
  <c r="S27" i="100"/>
  <c r="T27" i="100"/>
  <c r="R28" i="100"/>
  <c r="S28" i="100"/>
  <c r="T28" i="100"/>
  <c r="R29" i="100"/>
  <c r="S29" i="100"/>
  <c r="T29" i="100"/>
  <c r="R30" i="100"/>
  <c r="S30" i="100"/>
  <c r="T30" i="100"/>
  <c r="R32" i="100"/>
  <c r="S32" i="100"/>
  <c r="T32" i="100"/>
  <c r="R33" i="100"/>
  <c r="S33" i="100"/>
  <c r="T33" i="100"/>
  <c r="R34" i="100"/>
  <c r="S34" i="100"/>
  <c r="T34" i="100"/>
  <c r="R35" i="100"/>
  <c r="S35" i="100"/>
  <c r="T35" i="100"/>
  <c r="R37" i="100"/>
  <c r="S37" i="100"/>
  <c r="R6" i="99"/>
  <c r="S6" i="99"/>
  <c r="T6" i="99"/>
  <c r="T20" i="99" s="1"/>
  <c r="R7" i="99"/>
  <c r="R20" i="99" s="1"/>
  <c r="S7" i="99"/>
  <c r="T7" i="99"/>
  <c r="R8" i="99"/>
  <c r="R21" i="99" s="1"/>
  <c r="S8" i="99"/>
  <c r="S21" i="99" s="1"/>
  <c r="T8" i="99"/>
  <c r="R9" i="99"/>
  <c r="S9" i="99"/>
  <c r="S22" i="99" s="1"/>
  <c r="T9" i="99"/>
  <c r="T22" i="99" s="1"/>
  <c r="R10" i="99"/>
  <c r="S10" i="99"/>
  <c r="T10" i="99"/>
  <c r="T23" i="99" s="1"/>
  <c r="R11" i="99"/>
  <c r="R24" i="99" s="1"/>
  <c r="S11" i="99"/>
  <c r="T11" i="99"/>
  <c r="R12" i="99"/>
  <c r="R25" i="99" s="1"/>
  <c r="S12" i="99"/>
  <c r="S25" i="99" s="1"/>
  <c r="T12" i="99"/>
  <c r="R13" i="99"/>
  <c r="S13" i="99"/>
  <c r="S26" i="99" s="1"/>
  <c r="T13" i="99"/>
  <c r="T26" i="99" s="1"/>
  <c r="R14" i="99"/>
  <c r="S14" i="99"/>
  <c r="T14" i="99"/>
  <c r="T27" i="99" s="1"/>
  <c r="R15" i="99"/>
  <c r="R28" i="99" s="1"/>
  <c r="S15" i="99"/>
  <c r="T15" i="99"/>
  <c r="S20" i="99"/>
  <c r="T21" i="99"/>
  <c r="R22" i="99"/>
  <c r="R23" i="99"/>
  <c r="S23" i="99"/>
  <c r="S24" i="99"/>
  <c r="T25" i="99"/>
  <c r="R26" i="99"/>
  <c r="R27" i="99"/>
  <c r="S27" i="99"/>
  <c r="S28" i="99"/>
  <c r="R6" i="98"/>
  <c r="S6" i="98"/>
  <c r="T6" i="98"/>
  <c r="T20" i="98" s="1"/>
  <c r="R7" i="98"/>
  <c r="R20" i="98" s="1"/>
  <c r="S7" i="98"/>
  <c r="T7" i="98"/>
  <c r="R8" i="98"/>
  <c r="R21" i="98" s="1"/>
  <c r="S8" i="98"/>
  <c r="S21" i="98" s="1"/>
  <c r="T8" i="98"/>
  <c r="R9" i="98"/>
  <c r="S9" i="98"/>
  <c r="S22" i="98" s="1"/>
  <c r="T9" i="98"/>
  <c r="T22" i="98" s="1"/>
  <c r="R10" i="98"/>
  <c r="S10" i="98"/>
  <c r="T10" i="98"/>
  <c r="T23" i="98" s="1"/>
  <c r="R11" i="98"/>
  <c r="R24" i="98" s="1"/>
  <c r="S11" i="98"/>
  <c r="T11" i="98"/>
  <c r="R12" i="98"/>
  <c r="R25" i="98" s="1"/>
  <c r="S12" i="98"/>
  <c r="S25" i="98" s="1"/>
  <c r="T12" i="98"/>
  <c r="R13" i="98"/>
  <c r="S13" i="98"/>
  <c r="S26" i="98" s="1"/>
  <c r="T13" i="98"/>
  <c r="T26" i="98" s="1"/>
  <c r="R14" i="98"/>
  <c r="S14" i="98"/>
  <c r="T14" i="98"/>
  <c r="T27" i="98" s="1"/>
  <c r="R15" i="98"/>
  <c r="R28" i="98" s="1"/>
  <c r="S15" i="98"/>
  <c r="T15" i="98"/>
  <c r="S20" i="98"/>
  <c r="T21" i="98"/>
  <c r="R22" i="98"/>
  <c r="R23" i="98"/>
  <c r="S23" i="98"/>
  <c r="S24" i="98"/>
  <c r="T25" i="98"/>
  <c r="R26" i="98"/>
  <c r="R27" i="98"/>
  <c r="S27" i="98"/>
  <c r="S28" i="98"/>
  <c r="S21" i="103" l="1"/>
  <c r="S17" i="103"/>
  <c r="S18" i="103"/>
  <c r="S14" i="103"/>
  <c r="T20" i="103"/>
  <c r="S19" i="103"/>
  <c r="T16" i="103"/>
  <c r="S15" i="103"/>
  <c r="T21" i="103"/>
  <c r="S20" i="103"/>
  <c r="S34" i="101"/>
  <c r="S28" i="101"/>
  <c r="S24" i="101"/>
  <c r="S36" i="101"/>
  <c r="T28" i="99"/>
  <c r="T24" i="99"/>
  <c r="T28" i="98"/>
  <c r="T24" i="98"/>
  <c r="AL19" i="9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G42" i="88" s="1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</calcChain>
</file>

<file path=xl/sharedStrings.xml><?xml version="1.0" encoding="utf-8"?>
<sst xmlns="http://schemas.openxmlformats.org/spreadsheetml/2006/main" count="2514" uniqueCount="208">
  <si>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</si>
  <si>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</si>
  <si>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</si>
  <si>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</si>
  <si>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</si>
  <si>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</si>
  <si>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</si>
  <si>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</si>
  <si>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</si>
  <si>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</si>
  <si>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</si>
  <si>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</si>
  <si>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</si>
  <si>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</si>
  <si>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</si>
  <si>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</si>
  <si>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</si>
  <si>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</si>
  <si>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</si>
  <si>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</si>
  <si>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</si>
  <si>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</si>
  <si>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</si>
  <si>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</si>
  <si>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</si>
  <si>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</si>
  <si>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</si>
  <si>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</si>
  <si>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</si>
  <si>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</si>
  <si>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</si>
  <si>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</si>
  <si>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</si>
  <si>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</si>
  <si>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</si>
  <si>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</si>
  <si>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</si>
  <si>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</si>
  <si>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</si>
  <si>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</si>
  <si>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</si>
  <si>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</si>
  <si>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</si>
  <si>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</si>
  <si>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</si>
  <si>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</si>
  <si>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</si>
  <si>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</si>
  <si>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</si>
  <si>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</si>
  <si>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</si>
  <si>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</si>
  <si>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</si>
  <si>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</si>
  <si>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</si>
  <si>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</si>
  <si>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</si>
  <si>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</si>
  <si>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</si>
  <si>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</si>
  <si>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</si>
  <si>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</si>
  <si>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</si>
  <si>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</si>
  <si>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</si>
  <si>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</si>
  <si>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</si>
  <si>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</si>
  <si>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</si>
  <si>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</si>
  <si>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</si>
  <si>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</si>
  <si>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</si>
  <si>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</si>
  <si>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</si>
  <si>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</si>
  <si>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</si>
  <si>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</si>
  <si>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</si>
  <si>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</si>
  <si>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</si>
  <si>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</si>
  <si>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</si>
  <si>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</si>
  <si>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</si>
  <si>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</si>
  <si>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</si>
  <si>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</si>
  <si>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</si>
  <si>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</si>
  <si>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</si>
  <si>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</si>
  <si>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</si>
  <si>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</si>
  <si>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</si>
  <si>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</si>
  <si>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</si>
  <si>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</si>
  <si>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</si>
  <si>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</si>
  <si>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</si>
  <si>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</si>
  <si>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</si>
  <si>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</si>
  <si>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</si>
  <si>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</si>
  <si>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</si>
  <si>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</si>
  <si>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</si>
  <si>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</si>
  <si>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</si>
  <si>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</si>
  <si>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</si>
  <si>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</si>
  <si>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</si>
  <si>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</si>
  <si>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</si>
  <si>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</si>
  <si>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</si>
  <si>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</si>
  <si>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</si>
  <si>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</si>
  <si>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</si>
  <si>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</si>
  <si>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</si>
  <si>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</si>
  <si>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</si>
  <si>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</si>
  <si>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</si>
  <si>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</si>
  <si>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</si>
  <si>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</si>
  <si>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</si>
  <si>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</si>
  <si>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</si>
  <si>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</si>
  <si>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</si>
  <si>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</si>
  <si>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</si>
  <si>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</si>
  <si>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</si>
  <si>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</si>
  <si>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</si>
  <si>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</si>
  <si>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</si>
  <si>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</si>
  <si>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</si>
  <si>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</si>
  <si>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</si>
  <si>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</si>
  <si>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</si>
  <si>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</si>
  <si>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</si>
  <si>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</si>
  <si>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</si>
  <si>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</si>
  <si>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</si>
  <si>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</si>
  <si>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</si>
  <si>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</si>
  <si>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</si>
  <si>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</si>
  <si>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</si>
  <si>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</si>
  <si>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</si>
  <si>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</si>
  <si>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</si>
  <si>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</si>
  <si>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</si>
  <si>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พ.ศ. 2562</t>
  </si>
  <si>
    <t>ปี พ.ศ.2563</t>
  </si>
  <si>
    <t>ไตรมาส 1 พ.ศ.2563</t>
  </si>
  <si>
    <t>ไตรมาส 2 พ.ศ.2563</t>
  </si>
  <si>
    <t>ไตรมาส 3 พ.ศ.2563</t>
  </si>
  <si>
    <t>ไตรมาส 4 พ.ศ.2563</t>
  </si>
  <si>
    <r>
      <t>ตารางที่ 1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ปีขึ้นไป จำแนกตามสถานภาพแรงงานและเพศ  </t>
    </r>
  </si>
  <si>
    <t xml:space="preserve">ตารางที่ 1  จำนวนและร้อยละของประชากรผู้มีอายุ 15 ปีขึ้นไป จำแนกตามสถานภาพแรงงานและเพศ </t>
  </si>
  <si>
    <t xml:space="preserve">ตารางที่  1  จำนวนและร้อยละของประชากรผู้มีอายุ 15  ปีขึ้นไป จำแนกตามสถานภาพแรงงานและเพศ </t>
  </si>
  <si>
    <t xml:space="preserve">  -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</si>
  <si>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 ไตรมาส 4 พ.ศ. 2563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</si>
  <si>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</si>
  <si>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</si>
  <si>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</si>
  <si>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</si>
  <si>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</si>
  <si>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</si>
  <si>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</si>
  <si>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</si>
  <si>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</si>
  <si>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</si>
  <si>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</si>
  <si>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</si>
  <si>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</si>
  <si>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</si>
  <si>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</si>
  <si>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</si>
  <si>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</si>
  <si>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</si>
  <si>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>1/   ผู้ไม่ได้ทำงานในสัปดาห์การสำรวจ แต่มีงานประจำ</t>
  </si>
  <si>
    <t>1.  0 ชั่วโมง1/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</si>
  <si>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</si>
  <si>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จำนวนประชากร ณ วันที่ 1 กุมภาพันธ์ 2563 จำแนกตามเพศ หมวดอายุ ทั่วราชอาณาจักร เขตการปกครอง และภาค</t>
  </si>
  <si>
    <t>จำนวนประชากร ณ วันที่ 1 พฤษภาคม 2563 จำแนกตามเพศ หมวดอายุ ทั่วราชอาณาจักร เขตการปกครอง และภาค</t>
  </si>
  <si>
    <t>จำนวนประชากร ณ วันที่ 1 สิงหาคม 2563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</si>
  <si>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2563 จำแนกตามเพศ หมวดอายุ ทั่วราชอาณาจักร เขตการปกครอง และภาค</t>
  </si>
  <si>
    <t>พ.ศ. 2563</t>
  </si>
  <si>
    <t xml:space="preserve"> -</t>
  </si>
  <si>
    <t>ตาราง ช  จำนวนและร้อยละของผู้มีงานทำ 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</si>
</sst>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0_-;\-* #,##0.00_-;_-* &quot;-&quot;_-;_-@_-"/>
    <numFmt numFmtId="199" formatCode="_-* #,##0.0_-;\-* #,##0.0_-;_-* &quot;-&quot;_-;_-@_-"/>
    <numFmt numFmtId="200" formatCode="#,##0.0_);\(#,##0.0\)"/>
    <numFmt numFmtId="201" formatCode="General\ \ "/>
    <numFmt numFmtId="202" formatCode="_-* #,##0.0_-;\-* #,##0.0_-;_-* &quot;-&quot;?_-;_-@_-"/>
    <numFmt numFmtId="203" formatCode="_(&quot;$&quot;* #,##0.00_);_(&quot;$&quot;* \(#,##0.00\);_(&quot;$&quot;* &quot;-&quot;??_);_(@_)"/>
  </numFmts>
  <fonts count="76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20"/>
      <name val="TH SarabunPSK"/>
      <family val="2"/>
    </font>
    <font>
      <b/>
      <sz val="20"/>
      <name val="TH SarabunPSK"/>
      <family val="2"/>
    </font>
    <font>
      <sz val="12"/>
      <color indexed="8"/>
      <name val="TH SarabunPSK"/>
      <family val="2"/>
    </font>
    <font>
      <b/>
      <sz val="36"/>
      <name val="TH SarabunPSK"/>
      <family val="2"/>
    </font>
    <font>
      <sz val="16"/>
      <color indexed="8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name val="Calibri"/>
      <family val="2"/>
    </font>
    <font>
      <b/>
      <sz val="15"/>
      <name val="Angsana New"/>
      <family val="1"/>
      <charset val="22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2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3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6" fillId="0" borderId="0"/>
    <xf numFmtId="9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13" applyNumberFormat="0" applyFill="0" applyAlignment="0" applyProtection="0"/>
    <xf numFmtId="41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188" fontId="6" fillId="0" borderId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6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26" fillId="0" borderId="0"/>
    <xf numFmtId="9" fontId="2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0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2" fillId="0" borderId="0"/>
    <xf numFmtId="0" fontId="22" fillId="0" borderId="0"/>
    <xf numFmtId="0" fontId="3" fillId="0" borderId="0"/>
    <xf numFmtId="0" fontId="29" fillId="0" borderId="0"/>
    <xf numFmtId="43" fontId="3" fillId="0" borderId="0" applyFont="0" applyFill="0" applyBorder="0" applyAlignment="0" applyProtection="0"/>
    <xf numFmtId="0" fontId="22" fillId="0" borderId="0"/>
    <xf numFmtId="43" fontId="31" fillId="0" borderId="0" applyFont="0" applyFill="0" applyBorder="0" applyAlignment="0" applyProtection="0"/>
    <xf numFmtId="0" fontId="31" fillId="0" borderId="0"/>
    <xf numFmtId="0" fontId="26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3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3" fontId="6" fillId="0" borderId="0" applyFill="0" applyBorder="0" applyAlignment="0" applyProtection="0"/>
    <xf numFmtId="43" fontId="43" fillId="0" borderId="0" applyFont="0" applyFill="0" applyBorder="0" applyAlignment="0" applyProtection="0"/>
    <xf numFmtId="203" fontId="6" fillId="0" borderId="0" applyFill="0" applyBorder="0" applyAlignment="0" applyProtection="0"/>
    <xf numFmtId="0" fontId="43" fillId="0" borderId="0"/>
    <xf numFmtId="0" fontId="59" fillId="0" borderId="0"/>
    <xf numFmtId="187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3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0" fillId="0" borderId="0"/>
    <xf numFmtId="0" fontId="50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0" fontId="6" fillId="0" borderId="0" applyFill="0" applyBorder="0" applyAlignment="0" applyProtection="0"/>
    <xf numFmtId="0" fontId="59" fillId="0" borderId="0"/>
    <xf numFmtId="187" fontId="61" fillId="0" borderId="0" applyFont="0" applyFill="0" applyBorder="0" applyAlignment="0" applyProtection="0"/>
  </cellStyleXfs>
  <cellXfs count="1231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195" fontId="20" fillId="0" borderId="0" xfId="23" applyNumberFormat="1" applyFont="1" applyFill="1" applyBorder="1" applyAlignment="1" applyProtection="1">
      <alignment horizontal="right" vertical="center"/>
    </xf>
    <xf numFmtId="0" fontId="11" fillId="0" borderId="0" xfId="0" applyFont="1" applyAlignment="1"/>
    <xf numFmtId="0" fontId="7" fillId="0" borderId="0" xfId="0" applyFont="1" applyAlignment="1"/>
    <xf numFmtId="0" fontId="20" fillId="0" borderId="1" xfId="27" applyFont="1" applyBorder="1" applyAlignment="1">
      <alignment vertical="center"/>
    </xf>
    <xf numFmtId="0" fontId="33" fillId="0" borderId="0" xfId="27" applyFont="1" applyAlignment="1">
      <alignment vertical="center"/>
    </xf>
    <xf numFmtId="0" fontId="32" fillId="0" borderId="0" xfId="27" applyFont="1" applyAlignment="1">
      <alignment vertical="center"/>
    </xf>
    <xf numFmtId="0" fontId="9" fillId="0" borderId="0" xfId="28" quotePrefix="1" applyFont="1" applyBorder="1"/>
    <xf numFmtId="192" fontId="19" fillId="0" borderId="0" xfId="1" applyNumberFormat="1" applyFont="1" applyAlignment="1">
      <alignment horizontal="right"/>
    </xf>
    <xf numFmtId="192" fontId="20" fillId="0" borderId="0" xfId="1" applyNumberFormat="1" applyFont="1" applyAlignment="1">
      <alignment horizontal="right"/>
    </xf>
    <xf numFmtId="0" fontId="19" fillId="0" borderId="0" xfId="28" applyFont="1" applyAlignment="1">
      <alignment vertical="center"/>
    </xf>
    <xf numFmtId="0" fontId="19" fillId="0" borderId="14" xfId="28" applyFont="1" applyBorder="1" applyAlignment="1">
      <alignment vertical="center"/>
    </xf>
    <xf numFmtId="196" fontId="19" fillId="0" borderId="0" xfId="28" applyNumberFormat="1" applyFont="1" applyAlignment="1">
      <alignment horizontal="right"/>
    </xf>
    <xf numFmtId="0" fontId="19" fillId="0" borderId="0" xfId="28" applyFont="1" applyBorder="1" applyAlignment="1" applyProtection="1">
      <alignment horizontal="left" vertical="center"/>
    </xf>
    <xf numFmtId="194" fontId="19" fillId="0" borderId="0" xfId="28" applyNumberFormat="1" applyFont="1" applyAlignment="1">
      <alignment horizontal="right"/>
    </xf>
    <xf numFmtId="0" fontId="19" fillId="0" borderId="0" xfId="28" applyFont="1" applyAlignment="1" applyProtection="1">
      <alignment horizontal="left" vertical="center"/>
    </xf>
    <xf numFmtId="0" fontId="20" fillId="0" borderId="0" xfId="28" applyFont="1" applyAlignment="1">
      <alignment vertical="center"/>
    </xf>
    <xf numFmtId="196" fontId="19" fillId="0" borderId="0" xfId="28" applyNumberFormat="1" applyFont="1" applyAlignment="1">
      <alignment vertical="center"/>
    </xf>
    <xf numFmtId="0" fontId="19" fillId="0" borderId="0" xfId="0" applyFont="1"/>
    <xf numFmtId="196" fontId="20" fillId="0" borderId="0" xfId="28" applyNumberFormat="1" applyFont="1" applyAlignment="1">
      <alignment horizontal="right" vertical="center"/>
    </xf>
    <xf numFmtId="194" fontId="20" fillId="0" borderId="0" xfId="28" applyNumberFormat="1" applyFont="1" applyAlignment="1">
      <alignment horizontal="right" vertical="center"/>
    </xf>
    <xf numFmtId="0" fontId="20" fillId="0" borderId="0" xfId="28" applyFont="1" applyAlignment="1">
      <alignment horizontal="center" vertical="center"/>
    </xf>
    <xf numFmtId="0" fontId="19" fillId="0" borderId="0" xfId="28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28" applyNumberFormat="1" applyFont="1" applyAlignment="1">
      <alignment horizontal="right"/>
    </xf>
    <xf numFmtId="0" fontId="19" fillId="0" borderId="0" xfId="28" applyFont="1" applyAlignment="1"/>
    <xf numFmtId="3" fontId="19" fillId="0" borderId="0" xfId="28" applyNumberFormat="1" applyFont="1" applyAlignment="1">
      <alignment vertical="center"/>
    </xf>
    <xf numFmtId="0" fontId="20" fillId="0" borderId="0" xfId="28" applyFont="1" applyAlignment="1">
      <alignment horizontal="center"/>
    </xf>
    <xf numFmtId="0" fontId="20" fillId="0" borderId="16" xfId="28" applyFont="1" applyBorder="1" applyAlignment="1">
      <alignment horizontal="right" vertical="center"/>
    </xf>
    <xf numFmtId="0" fontId="20" fillId="0" borderId="16" xfId="28" applyFont="1" applyBorder="1" applyAlignment="1">
      <alignment horizontal="center" vertical="center"/>
    </xf>
    <xf numFmtId="0" fontId="20" fillId="0" borderId="0" xfId="28" applyFont="1" applyAlignment="1"/>
    <xf numFmtId="0" fontId="19" fillId="0" borderId="0" xfId="28" applyFont="1" applyBorder="1" applyAlignment="1">
      <alignment vertical="center"/>
    </xf>
    <xf numFmtId="0" fontId="33" fillId="0" borderId="0" xfId="28" applyFont="1" applyAlignment="1">
      <alignment vertical="center"/>
    </xf>
    <xf numFmtId="0" fontId="33" fillId="0" borderId="0" xfId="28" applyFont="1" applyAlignment="1"/>
    <xf numFmtId="0" fontId="19" fillId="0" borderId="0" xfId="28" applyFont="1" applyAlignment="1">
      <alignment horizontal="left"/>
    </xf>
    <xf numFmtId="0" fontId="20" fillId="0" borderId="16" xfId="28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17" fontId="19" fillId="0" borderId="0" xfId="28" applyNumberFormat="1" applyFont="1" applyAlignment="1">
      <alignment horizontal="left"/>
    </xf>
    <xf numFmtId="0" fontId="19" fillId="0" borderId="0" xfId="28" applyFont="1" applyBorder="1" applyAlignment="1">
      <alignment horizontal="left"/>
    </xf>
    <xf numFmtId="0" fontId="19" fillId="0" borderId="14" xfId="28" applyFont="1" applyBorder="1" applyAlignment="1"/>
    <xf numFmtId="196" fontId="19" fillId="0" borderId="0" xfId="28" applyNumberFormat="1" applyFont="1" applyAlignment="1"/>
    <xf numFmtId="0" fontId="34" fillId="0" borderId="0" xfId="28" applyFont="1" applyAlignment="1"/>
    <xf numFmtId="0" fontId="34" fillId="0" borderId="0" xfId="28" applyFont="1" applyBorder="1" applyAlignment="1"/>
    <xf numFmtId="195" fontId="20" fillId="0" borderId="0" xfId="589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19" fillId="0" borderId="0" xfId="1" applyNumberFormat="1" applyFont="1" applyFill="1" applyBorder="1" applyAlignment="1" applyProtection="1">
      <alignment horizontal="right"/>
    </xf>
    <xf numFmtId="192" fontId="9" fillId="0" borderId="0" xfId="1" applyNumberFormat="1" applyFont="1" applyBorder="1" applyAlignment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41" fontId="9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0" fontId="32" fillId="0" borderId="0" xfId="0" applyFont="1" applyAlignment="1"/>
    <xf numFmtId="0" fontId="9" fillId="0" borderId="0" xfId="0" applyFont="1" applyAlignment="1"/>
    <xf numFmtId="0" fontId="33" fillId="0" borderId="0" xfId="0" applyFont="1" applyAlignment="1"/>
    <xf numFmtId="0" fontId="19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19" fillId="0" borderId="14" xfId="0" applyFont="1" applyBorder="1" applyAlignment="1">
      <alignment vertical="center"/>
    </xf>
    <xf numFmtId="0" fontId="32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2" fillId="0" borderId="14" xfId="0" applyFont="1" applyBorder="1" applyAlignment="1"/>
    <xf numFmtId="196" fontId="11" fillId="0" borderId="0" xfId="23" applyNumberFormat="1" applyFont="1" applyFill="1" applyBorder="1" applyAlignment="1" applyProtection="1">
      <alignment horizontal="right"/>
    </xf>
    <xf numFmtId="195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1" fillId="0" borderId="0" xfId="0" applyFont="1" applyBorder="1" applyAlignment="1"/>
    <xf numFmtId="196" fontId="20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2" fontId="9" fillId="0" borderId="0" xfId="0" applyNumberFormat="1" applyFont="1" applyAlignment="1"/>
    <xf numFmtId="3" fontId="11" fillId="0" borderId="0" xfId="0" applyNumberFormat="1" applyFont="1" applyAlignment="1">
      <alignment horizontal="right"/>
    </xf>
    <xf numFmtId="195" fontId="11" fillId="0" borderId="0" xfId="23" applyNumberFormat="1" applyFont="1" applyFill="1" applyBorder="1" applyAlignment="1" applyProtection="1"/>
    <xf numFmtId="195" fontId="20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>
      <alignment horizontal="right"/>
    </xf>
    <xf numFmtId="0" fontId="20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Border="1" applyAlignment="1"/>
    <xf numFmtId="0" fontId="33" fillId="0" borderId="14" xfId="0" applyFont="1" applyBorder="1" applyAlignment="1"/>
    <xf numFmtId="0" fontId="9" fillId="0" borderId="0" xfId="3950" applyFont="1" applyAlignment="1"/>
    <xf numFmtId="0" fontId="44" fillId="0" borderId="0" xfId="3950" applyFont="1" applyFill="1" applyBorder="1"/>
    <xf numFmtId="0" fontId="9" fillId="0" borderId="0" xfId="3950" applyFont="1" applyBorder="1" applyAlignment="1"/>
    <xf numFmtId="0" fontId="19" fillId="0" borderId="0" xfId="3950" applyFont="1"/>
    <xf numFmtId="0" fontId="45" fillId="0" borderId="0" xfId="3950" applyFont="1" applyBorder="1" applyAlignment="1">
      <alignment horizontal="right"/>
    </xf>
    <xf numFmtId="3" fontId="45" fillId="0" borderId="0" xfId="3950" applyNumberFormat="1" applyFont="1" applyFill="1" applyBorder="1" applyAlignment="1">
      <alignment horizontal="right" vertical="center"/>
    </xf>
    <xf numFmtId="191" fontId="46" fillId="0" borderId="0" xfId="3950" applyNumberFormat="1" applyFont="1" applyFill="1" applyBorder="1" applyAlignment="1">
      <alignment vertical="center"/>
    </xf>
    <xf numFmtId="3" fontId="45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19" fillId="0" borderId="14" xfId="3950" applyFont="1" applyBorder="1"/>
    <xf numFmtId="196" fontId="19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1" fillId="0" borderId="0" xfId="3951" applyNumberFormat="1" applyFont="1" applyFill="1" applyBorder="1" applyAlignment="1" applyProtection="1"/>
    <xf numFmtId="196" fontId="11" fillId="0" borderId="0" xfId="3951" applyNumberFormat="1" applyFont="1" applyFill="1" applyBorder="1" applyAlignment="1" applyProtection="1">
      <alignment horizontal="right"/>
    </xf>
    <xf numFmtId="0" fontId="19" fillId="0" borderId="0" xfId="3950" applyFont="1" applyBorder="1" applyAlignment="1" applyProtection="1">
      <alignment horizontal="left" vertical="center"/>
    </xf>
    <xf numFmtId="0" fontId="19" fillId="0" borderId="0" xfId="3950" applyFont="1" applyAlignment="1" applyProtection="1">
      <alignment horizontal="left" vertical="center"/>
    </xf>
    <xf numFmtId="0" fontId="19" fillId="0" borderId="0" xfId="3950" applyFont="1" applyAlignment="1" applyProtection="1">
      <alignment vertical="center"/>
    </xf>
    <xf numFmtId="0" fontId="11" fillId="0" borderId="0" xfId="3950" applyFont="1" applyAlignment="1"/>
    <xf numFmtId="195" fontId="11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47" fillId="0" borderId="0" xfId="3950" applyNumberFormat="1" applyFont="1" applyFill="1" applyBorder="1" applyAlignment="1">
      <alignment horizontal="right" vertical="center"/>
    </xf>
    <xf numFmtId="191" fontId="48" fillId="0" borderId="0" xfId="3950" applyNumberFormat="1" applyFont="1" applyFill="1" applyBorder="1" applyAlignment="1">
      <alignment horizontal="center" vertical="center"/>
    </xf>
    <xf numFmtId="0" fontId="20" fillId="0" borderId="0" xfId="3950" applyFont="1" applyBorder="1" applyAlignment="1"/>
    <xf numFmtId="195" fontId="11" fillId="0" borderId="0" xfId="3951" applyNumberFormat="1" applyFont="1" applyFill="1" applyBorder="1" applyAlignment="1" applyProtection="1">
      <alignment horizontal="right"/>
    </xf>
    <xf numFmtId="3" fontId="19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6" fillId="0" borderId="0" xfId="3950" applyFont="1" applyAlignment="1">
      <alignment horizontal="right"/>
    </xf>
    <xf numFmtId="0" fontId="11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3" fillId="0" borderId="0" xfId="3950" applyFont="1" applyAlignment="1">
      <alignment horizontal="center"/>
    </xf>
    <xf numFmtId="191" fontId="48" fillId="4" borderId="0" xfId="3950" applyNumberFormat="1" applyFont="1" applyFill="1" applyBorder="1" applyAlignment="1">
      <alignment horizontal="center" vertical="center"/>
    </xf>
    <xf numFmtId="191" fontId="44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0" fillId="0" borderId="0" xfId="3950" applyFont="1" applyBorder="1" applyAlignment="1">
      <alignment horizontal="center" vertical="center"/>
    </xf>
    <xf numFmtId="0" fontId="49" fillId="0" borderId="14" xfId="3950" applyFont="1" applyBorder="1" applyAlignment="1">
      <alignment horizontal="center"/>
    </xf>
    <xf numFmtId="0" fontId="49" fillId="0" borderId="14" xfId="3950" applyFont="1" applyBorder="1" applyAlignment="1">
      <alignment horizontal="right"/>
    </xf>
    <xf numFmtId="0" fontId="49" fillId="0" borderId="14" xfId="3950" applyFont="1" applyBorder="1" applyAlignment="1">
      <alignment horizontal="left"/>
    </xf>
    <xf numFmtId="0" fontId="49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44" fillId="4" borderId="0" xfId="3950" applyNumberFormat="1" applyFont="1" applyFill="1" applyBorder="1"/>
    <xf numFmtId="191" fontId="47" fillId="4" borderId="0" xfId="3950" applyNumberFormat="1" applyFont="1" applyFill="1" applyBorder="1"/>
    <xf numFmtId="0" fontId="19" fillId="0" borderId="0" xfId="3950" applyFont="1" applyAlignment="1">
      <alignment vertical="top"/>
    </xf>
    <xf numFmtId="0" fontId="12" fillId="0" borderId="0" xfId="3950" applyFont="1" applyAlignment="1"/>
    <xf numFmtId="0" fontId="12" fillId="0" borderId="0" xfId="3950" applyFont="1" applyBorder="1" applyAlignment="1"/>
    <xf numFmtId="0" fontId="12" fillId="0" borderId="0" xfId="3950" applyFont="1" applyAlignment="1">
      <alignment horizontal="center"/>
    </xf>
    <xf numFmtId="0" fontId="51" fillId="0" borderId="0" xfId="3950" applyFont="1" applyAlignment="1"/>
    <xf numFmtId="0" fontId="51" fillId="0" borderId="0" xfId="3950" applyFont="1" applyBorder="1" applyAlignment="1"/>
    <xf numFmtId="0" fontId="33" fillId="0" borderId="0" xfId="3950" applyFont="1"/>
    <xf numFmtId="0" fontId="52" fillId="0" borderId="0" xfId="3950" applyFont="1" applyAlignment="1"/>
    <xf numFmtId="0" fontId="9" fillId="0" borderId="0" xfId="73" applyFont="1" applyAlignment="1"/>
    <xf numFmtId="0" fontId="19" fillId="0" borderId="0" xfId="73" applyFont="1" applyAlignment="1">
      <alignment vertical="center"/>
    </xf>
    <xf numFmtId="0" fontId="19" fillId="0" borderId="0" xfId="73" applyFont="1" applyAlignment="1"/>
    <xf numFmtId="196" fontId="19" fillId="0" borderId="0" xfId="73" applyNumberFormat="1" applyFont="1" applyAlignment="1"/>
    <xf numFmtId="196" fontId="19" fillId="0" borderId="0" xfId="73" applyNumberFormat="1" applyFont="1" applyAlignment="1">
      <alignment vertical="center"/>
    </xf>
    <xf numFmtId="196" fontId="53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19" fillId="0" borderId="0" xfId="73" applyFont="1" applyBorder="1" applyAlignment="1"/>
    <xf numFmtId="196" fontId="53" fillId="0" borderId="1" xfId="3952" applyNumberFormat="1" applyFont="1" applyFill="1" applyBorder="1" applyAlignment="1" applyProtection="1">
      <alignment horizontal="right"/>
    </xf>
    <xf numFmtId="0" fontId="11" fillId="0" borderId="14" xfId="73" applyFont="1" applyBorder="1" applyAlignment="1"/>
    <xf numFmtId="0" fontId="11" fillId="0" borderId="0" xfId="73" applyFont="1" applyAlignment="1"/>
    <xf numFmtId="3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/>
    <xf numFmtId="196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 applyProtection="1">
      <alignment horizontal="left"/>
    </xf>
    <xf numFmtId="0" fontId="11" fillId="0" borderId="0" xfId="73" applyFont="1" applyAlignment="1" applyProtection="1"/>
    <xf numFmtId="0" fontId="11" fillId="0" borderId="0" xfId="73" applyFont="1" applyAlignment="1" applyProtection="1">
      <alignment horizontal="left"/>
    </xf>
    <xf numFmtId="0" fontId="49" fillId="0" borderId="0" xfId="73" applyFont="1" applyAlignment="1"/>
    <xf numFmtId="0" fontId="8" fillId="0" borderId="0" xfId="73" applyFont="1" applyAlignment="1">
      <alignment horizontal="center"/>
    </xf>
    <xf numFmtId="197" fontId="49" fillId="0" borderId="0" xfId="73" applyNumberFormat="1" applyFont="1" applyAlignment="1">
      <alignment horizontal="right"/>
    </xf>
    <xf numFmtId="0" fontId="7" fillId="0" borderId="0" xfId="73" applyFont="1" applyAlignment="1"/>
    <xf numFmtId="0" fontId="47" fillId="0" borderId="0" xfId="76" applyFont="1" applyFill="1" applyBorder="1"/>
    <xf numFmtId="3" fontId="49" fillId="0" borderId="0" xfId="73" applyNumberFormat="1" applyFont="1" applyAlignment="1"/>
    <xf numFmtId="0" fontId="9" fillId="0" borderId="0" xfId="73" applyFont="1" applyAlignment="1">
      <alignment horizontal="right"/>
    </xf>
    <xf numFmtId="195" fontId="10" fillId="0" borderId="0" xfId="3952" applyNumberFormat="1" applyFont="1" applyFill="1" applyBorder="1" applyAlignment="1" applyProtection="1">
      <alignment horizontal="right"/>
    </xf>
    <xf numFmtId="195" fontId="10" fillId="0" borderId="0" xfId="3952" applyNumberFormat="1" applyFont="1" applyAlignment="1"/>
    <xf numFmtId="195" fontId="10" fillId="0" borderId="0" xfId="3952" applyNumberFormat="1" applyFont="1" applyAlignment="1">
      <alignment horizontal="right" vertical="center"/>
    </xf>
    <xf numFmtId="195" fontId="10" fillId="0" borderId="0" xfId="3952" applyNumberFormat="1" applyFont="1" applyAlignment="1">
      <alignment horizontal="right"/>
    </xf>
    <xf numFmtId="195" fontId="10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2" fillId="0" borderId="0" xfId="3952" applyNumberFormat="1" applyFont="1" applyAlignment="1"/>
    <xf numFmtId="195" fontId="12" fillId="0" borderId="0" xfId="3952" applyNumberFormat="1" applyFont="1" applyFill="1" applyBorder="1" applyAlignment="1" applyProtection="1">
      <alignment horizontal="right"/>
    </xf>
    <xf numFmtId="0" fontId="20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54" fillId="0" borderId="14" xfId="73" applyFont="1" applyBorder="1" applyAlignment="1">
      <alignment horizontal="right"/>
    </xf>
    <xf numFmtId="0" fontId="54" fillId="0" borderId="16" xfId="73" applyFont="1" applyBorder="1" applyAlignment="1">
      <alignment horizontal="right"/>
    </xf>
    <xf numFmtId="0" fontId="19" fillId="0" borderId="0" xfId="73" applyFont="1" applyAlignment="1">
      <alignment vertical="top"/>
    </xf>
    <xf numFmtId="0" fontId="55" fillId="0" borderId="0" xfId="73" applyFont="1" applyAlignment="1"/>
    <xf numFmtId="0" fontId="33" fillId="0" borderId="0" xfId="73" applyFont="1" applyAlignment="1"/>
    <xf numFmtId="0" fontId="56" fillId="0" borderId="0" xfId="73" applyFont="1" applyAlignment="1"/>
    <xf numFmtId="0" fontId="32" fillId="0" borderId="0" xfId="3950" applyFont="1" applyAlignment="1"/>
    <xf numFmtId="196" fontId="19" fillId="0" borderId="0" xfId="3950" applyNumberFormat="1" applyFont="1"/>
    <xf numFmtId="0" fontId="32" fillId="0" borderId="14" xfId="3950" applyFont="1" applyBorder="1" applyAlignment="1"/>
    <xf numFmtId="0" fontId="34" fillId="0" borderId="14" xfId="3950" applyFont="1" applyBorder="1" applyAlignment="1"/>
    <xf numFmtId="196" fontId="11" fillId="0" borderId="0" xfId="3953" applyNumberFormat="1" applyFont="1" applyFill="1" applyBorder="1" applyAlignment="1" applyProtection="1">
      <alignment horizontal="right"/>
    </xf>
    <xf numFmtId="0" fontId="34" fillId="0" borderId="0" xfId="3950" applyFont="1" applyBorder="1" applyAlignment="1"/>
    <xf numFmtId="0" fontId="34" fillId="0" borderId="0" xfId="3950" applyFont="1" applyAlignment="1"/>
    <xf numFmtId="0" fontId="33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0" fillId="0" borderId="0" xfId="3950" applyFont="1" applyAlignment="1">
      <alignment horizontal="center"/>
    </xf>
    <xf numFmtId="196" fontId="9" fillId="0" borderId="0" xfId="3950" applyNumberFormat="1" applyFont="1" applyAlignment="1"/>
    <xf numFmtId="192" fontId="57" fillId="0" borderId="0" xfId="3954" applyNumberFormat="1" applyFont="1" applyBorder="1" applyAlignment="1">
      <alignment horizontal="right"/>
    </xf>
    <xf numFmtId="192" fontId="57" fillId="0" borderId="0" xfId="3954" applyNumberFormat="1" applyFont="1" applyBorder="1"/>
    <xf numFmtId="195" fontId="11" fillId="0" borderId="0" xfId="3953" applyNumberFormat="1" applyFont="1" applyFill="1" applyBorder="1" applyAlignment="1" applyProtection="1">
      <alignment horizontal="right"/>
    </xf>
    <xf numFmtId="195" fontId="11" fillId="0" borderId="0" xfId="3953" applyNumberFormat="1" applyFont="1" applyFill="1" applyBorder="1" applyAlignment="1" applyProtection="1"/>
    <xf numFmtId="0" fontId="33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58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2" fillId="0" borderId="0" xfId="3950" applyFont="1" applyAlignment="1">
      <alignment vertical="top"/>
    </xf>
    <xf numFmtId="0" fontId="9" fillId="0" borderId="0" xfId="3950" applyFont="1"/>
    <xf numFmtId="0" fontId="10" fillId="0" borderId="0" xfId="3950" applyFont="1"/>
    <xf numFmtId="0" fontId="32" fillId="0" borderId="1" xfId="3950" applyFont="1" applyBorder="1" applyAlignment="1"/>
    <xf numFmtId="0" fontId="19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19" fillId="0" borderId="0" xfId="3950" applyFont="1" applyBorder="1" applyAlignment="1">
      <alignment horizontal="left"/>
    </xf>
    <xf numFmtId="0" fontId="19" fillId="0" borderId="0" xfId="3950" applyFont="1" applyAlignment="1">
      <alignment horizontal="left"/>
    </xf>
    <xf numFmtId="17" fontId="19" fillId="0" borderId="0" xfId="3950" applyNumberFormat="1" applyFont="1" applyAlignment="1">
      <alignment horizontal="left"/>
    </xf>
    <xf numFmtId="0" fontId="19" fillId="0" borderId="0" xfId="3950" applyFont="1" applyAlignment="1">
      <alignment horizontal="left" vertical="center"/>
    </xf>
    <xf numFmtId="0" fontId="20" fillId="0" borderId="0" xfId="3950" applyFont="1" applyAlignment="1"/>
    <xf numFmtId="190" fontId="19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 vertical="center"/>
    </xf>
    <xf numFmtId="195" fontId="20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2" fillId="0" borderId="0" xfId="3950" applyFont="1" applyBorder="1" applyAlignment="1"/>
    <xf numFmtId="0" fontId="56" fillId="0" borderId="0" xfId="3950" applyFont="1" applyAlignment="1"/>
    <xf numFmtId="0" fontId="9" fillId="0" borderId="0" xfId="3956" applyFont="1" applyAlignment="1"/>
    <xf numFmtId="0" fontId="19" fillId="0" borderId="0" xfId="3956" applyFont="1"/>
    <xf numFmtId="0" fontId="9" fillId="0" borderId="0" xfId="28" quotePrefix="1" applyFont="1"/>
    <xf numFmtId="190" fontId="32" fillId="0" borderId="1" xfId="3956" applyNumberFormat="1" applyFont="1" applyBorder="1" applyAlignment="1">
      <alignment horizontal="right"/>
    </xf>
    <xf numFmtId="190" fontId="33" fillId="0" borderId="1" xfId="3956" applyNumberFormat="1" applyFont="1" applyBorder="1" applyAlignment="1">
      <alignment horizontal="right"/>
    </xf>
    <xf numFmtId="192" fontId="33" fillId="0" borderId="1" xfId="12" applyNumberFormat="1" applyFont="1" applyBorder="1" applyAlignment="1">
      <alignment vertical="center"/>
    </xf>
    <xf numFmtId="0" fontId="20" fillId="0" borderId="1" xfId="28" applyFont="1" applyBorder="1" applyAlignment="1">
      <alignment vertical="center"/>
    </xf>
    <xf numFmtId="190" fontId="32" fillId="0" borderId="0" xfId="3956" applyNumberFormat="1" applyFont="1" applyBorder="1" applyAlignment="1">
      <alignment horizontal="right"/>
    </xf>
    <xf numFmtId="192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3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 vertical="center"/>
    </xf>
    <xf numFmtId="0" fontId="33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6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3" fillId="0" borderId="0" xfId="3956" applyFont="1" applyBorder="1" applyAlignment="1">
      <alignment vertical="center"/>
    </xf>
    <xf numFmtId="192" fontId="32" fillId="0" borderId="0" xfId="12" applyNumberFormat="1" applyFont="1" applyBorder="1" applyAlignment="1">
      <alignment vertical="center"/>
    </xf>
    <xf numFmtId="3" fontId="19" fillId="0" borderId="0" xfId="3956" applyNumberFormat="1" applyFont="1"/>
    <xf numFmtId="0" fontId="9" fillId="0" borderId="0" xfId="3956" applyFont="1" applyBorder="1" applyAlignment="1"/>
    <xf numFmtId="192" fontId="20" fillId="0" borderId="0" xfId="12" applyNumberFormat="1" applyFont="1" applyBorder="1" applyAlignment="1">
      <alignment vertical="center"/>
    </xf>
    <xf numFmtId="0" fontId="20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0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2" fillId="0" borderId="0" xfId="3956" applyFont="1"/>
    <xf numFmtId="0" fontId="33" fillId="0" borderId="0" xfId="3956" applyFont="1" applyAlignment="1"/>
    <xf numFmtId="0" fontId="20" fillId="0" borderId="0" xfId="27" applyFont="1" applyAlignment="1">
      <alignment vertical="center"/>
    </xf>
    <xf numFmtId="0" fontId="20" fillId="0" borderId="0" xfId="30" applyFont="1" applyBorder="1" applyAlignment="1"/>
    <xf numFmtId="196" fontId="32" fillId="0" borderId="0" xfId="0" applyNumberFormat="1" applyFont="1" applyAlignment="1"/>
    <xf numFmtId="191" fontId="48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44" fillId="0" borderId="0" xfId="3950" applyFont="1" applyFill="1" applyBorder="1" applyAlignment="1">
      <alignment horizontal="right"/>
    </xf>
    <xf numFmtId="191" fontId="44" fillId="4" borderId="0" xfId="3950" applyNumberFormat="1" applyFont="1" applyFill="1" applyBorder="1" applyAlignment="1">
      <alignment horizontal="center"/>
    </xf>
    <xf numFmtId="0" fontId="20" fillId="0" borderId="0" xfId="28" applyFont="1" applyBorder="1" applyAlignment="1">
      <alignment horizontal="center" vertical="center"/>
    </xf>
    <xf numFmtId="3" fontId="9" fillId="0" borderId="0" xfId="0" applyNumberFormat="1" applyFont="1"/>
    <xf numFmtId="3" fontId="32" fillId="0" borderId="0" xfId="0" applyNumberFormat="1" applyFont="1"/>
    <xf numFmtId="0" fontId="32" fillId="0" borderId="0" xfId="0" applyFont="1" applyFill="1"/>
    <xf numFmtId="198" fontId="7" fillId="0" borderId="0" xfId="1" applyNumberFormat="1" applyFont="1" applyFill="1" applyBorder="1" applyAlignment="1" applyProtection="1">
      <alignment horizontal="right" vertical="center"/>
    </xf>
    <xf numFmtId="197" fontId="10" fillId="0" borderId="0" xfId="30" applyNumberFormat="1" applyFont="1" applyFill="1" applyBorder="1" applyAlignment="1" applyProtection="1">
      <alignment horizontal="left" vertical="center"/>
    </xf>
    <xf numFmtId="198" fontId="7" fillId="0" borderId="0" xfId="24" applyNumberFormat="1" applyFont="1" applyFill="1" applyBorder="1" applyAlignment="1" applyProtection="1">
      <alignment horizontal="right" vertical="center"/>
    </xf>
    <xf numFmtId="197" fontId="10" fillId="0" borderId="0" xfId="28" applyNumberFormat="1" applyFont="1" applyFill="1" applyBorder="1" applyAlignment="1" applyProtection="1">
      <alignment horizontal="left" vertical="center"/>
    </xf>
    <xf numFmtId="196" fontId="9" fillId="0" borderId="0" xfId="24" applyNumberFormat="1" applyFont="1" applyFill="1" applyBorder="1" applyAlignment="1" applyProtection="1">
      <alignment horizontal="right" vertical="center"/>
    </xf>
    <xf numFmtId="0" fontId="67" fillId="0" borderId="0" xfId="28" applyFont="1" applyAlignment="1">
      <alignment vertical="center"/>
    </xf>
    <xf numFmtId="0" fontId="6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96" fontId="7" fillId="5" borderId="0" xfId="1" applyNumberFormat="1" applyFont="1" applyFill="1" applyBorder="1" applyAlignment="1" applyProtection="1">
      <alignment horizontal="right" vertical="center"/>
    </xf>
    <xf numFmtId="0" fontId="10" fillId="5" borderId="0" xfId="30" applyFont="1" applyFill="1" applyBorder="1" applyAlignment="1" applyProtection="1">
      <alignment horizontal="left" vertical="center"/>
    </xf>
    <xf numFmtId="196" fontId="7" fillId="6" borderId="0" xfId="24" applyNumberFormat="1" applyFont="1" applyFill="1" applyBorder="1" applyAlignment="1" applyProtection="1">
      <alignment horizontal="right" vertical="center"/>
    </xf>
    <xf numFmtId="0" fontId="10" fillId="6" borderId="0" xfId="28" applyFont="1" applyFill="1" applyBorder="1" applyAlignment="1" applyProtection="1">
      <alignment horizontal="left" vertical="center"/>
    </xf>
    <xf numFmtId="196" fontId="9" fillId="7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Border="1" applyAlignment="1" applyProtection="1">
      <alignment horizontal="left" vertical="center"/>
    </xf>
    <xf numFmtId="196" fontId="9" fillId="8" borderId="0" xfId="24" applyNumberFormat="1" applyFont="1" applyFill="1" applyBorder="1" applyAlignment="1" applyProtection="1">
      <alignment horizontal="right" vertical="center"/>
    </xf>
    <xf numFmtId="0" fontId="32" fillId="0" borderId="1" xfId="0" applyFont="1" applyBorder="1" applyAlignment="1">
      <alignment vertical="center"/>
    </xf>
    <xf numFmtId="196" fontId="7" fillId="5" borderId="1" xfId="1" applyNumberFormat="1" applyFont="1" applyFill="1" applyBorder="1" applyAlignment="1" applyProtection="1">
      <alignment horizontal="right" vertical="center"/>
    </xf>
    <xf numFmtId="0" fontId="10" fillId="5" borderId="1" xfId="30" applyFont="1" applyFill="1" applyBorder="1" applyAlignment="1">
      <alignment vertical="center"/>
    </xf>
    <xf numFmtId="196" fontId="7" fillId="6" borderId="1" xfId="24" applyNumberFormat="1" applyFont="1" applyFill="1" applyBorder="1" applyAlignment="1" applyProtection="1">
      <alignment horizontal="right" vertical="center"/>
    </xf>
    <xf numFmtId="0" fontId="10" fillId="6" borderId="1" xfId="28" applyFont="1" applyFill="1" applyBorder="1" applyAlignment="1">
      <alignment vertical="center"/>
    </xf>
    <xf numFmtId="196" fontId="9" fillId="7" borderId="1" xfId="24" applyNumberFormat="1" applyFont="1" applyFill="1" applyBorder="1" applyAlignment="1" applyProtection="1">
      <alignment horizontal="right" vertical="center"/>
    </xf>
    <xf numFmtId="0" fontId="10" fillId="7" borderId="1" xfId="28" applyFont="1" applyFill="1" applyBorder="1" applyAlignment="1">
      <alignment vertical="center"/>
    </xf>
    <xf numFmtId="196" fontId="9" fillId="8" borderId="1" xfId="24" applyNumberFormat="1" applyFont="1" applyFill="1" applyBorder="1" applyAlignment="1" applyProtection="1">
      <alignment horizontal="right" vertical="center"/>
    </xf>
    <xf numFmtId="0" fontId="20" fillId="8" borderId="1" xfId="27" applyFont="1" applyFill="1" applyBorder="1" applyAlignment="1">
      <alignment vertical="center"/>
    </xf>
    <xf numFmtId="190" fontId="32" fillId="0" borderId="0" xfId="27" applyNumberFormat="1" applyFont="1" applyBorder="1" applyAlignment="1">
      <alignment horizontal="right" vertical="center"/>
    </xf>
    <xf numFmtId="0" fontId="10" fillId="0" borderId="0" xfId="27" applyFont="1" applyBorder="1" applyAlignment="1">
      <alignment vertical="center"/>
    </xf>
    <xf numFmtId="0" fontId="10" fillId="5" borderId="0" xfId="30" applyFont="1" applyFill="1" applyBorder="1" applyAlignment="1" applyProtection="1">
      <alignment vertical="center"/>
    </xf>
    <xf numFmtId="0" fontId="10" fillId="6" borderId="0" xfId="28" applyFont="1" applyFill="1" applyBorder="1" applyAlignment="1" applyProtection="1">
      <alignment vertical="center"/>
    </xf>
    <xf numFmtId="193" fontId="9" fillId="8" borderId="0" xfId="24" applyNumberFormat="1" applyFont="1" applyFill="1" applyBorder="1" applyAlignment="1" applyProtection="1">
      <alignment horizontal="right" vertical="center"/>
    </xf>
    <xf numFmtId="0" fontId="10" fillId="8" borderId="0" xfId="27" applyFont="1" applyFill="1" applyBorder="1" applyAlignment="1">
      <alignment vertical="center"/>
    </xf>
    <xf numFmtId="0" fontId="10" fillId="0" borderId="0" xfId="27" applyFont="1" applyAlignment="1">
      <alignment vertical="center"/>
    </xf>
    <xf numFmtId="0" fontId="10" fillId="5" borderId="0" xfId="30" applyFont="1" applyFill="1" applyAlignment="1">
      <alignment vertical="center"/>
    </xf>
    <xf numFmtId="0" fontId="10" fillId="6" borderId="0" xfId="28" applyFont="1" applyFill="1" applyAlignment="1">
      <alignment vertical="center"/>
    </xf>
    <xf numFmtId="0" fontId="10" fillId="7" borderId="0" xfId="28" applyFont="1" applyFill="1" applyAlignment="1">
      <alignment horizontal="left" vertical="center"/>
    </xf>
    <xf numFmtId="0" fontId="10" fillId="8" borderId="0" xfId="27" applyFont="1" applyFill="1" applyAlignment="1">
      <alignment vertical="center"/>
    </xf>
    <xf numFmtId="0" fontId="69" fillId="5" borderId="0" xfId="30" applyFont="1" applyFill="1" applyBorder="1" applyAlignment="1">
      <alignment vertical="center"/>
    </xf>
    <xf numFmtId="0" fontId="69" fillId="6" borderId="0" xfId="28" applyFont="1" applyFill="1" applyBorder="1" applyAlignment="1">
      <alignment vertical="center"/>
    </xf>
    <xf numFmtId="0" fontId="69" fillId="7" borderId="0" xfId="28" applyFont="1" applyFill="1" applyBorder="1" applyAlignment="1">
      <alignment horizontal="left" vertical="center"/>
    </xf>
    <xf numFmtId="0" fontId="12" fillId="5" borderId="0" xfId="30" applyFont="1" applyFill="1" applyBorder="1" applyAlignment="1">
      <alignment vertical="center"/>
    </xf>
    <xf numFmtId="0" fontId="12" fillId="6" borderId="0" xfId="28" applyFont="1" applyFill="1" applyBorder="1" applyAlignment="1">
      <alignment vertical="center"/>
    </xf>
    <xf numFmtId="196" fontId="7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Border="1" applyAlignment="1">
      <alignment horizontal="left" vertical="center"/>
    </xf>
    <xf numFmtId="193" fontId="7" fillId="8" borderId="0" xfId="24" applyNumberFormat="1" applyFont="1" applyFill="1" applyBorder="1" applyAlignment="1" applyProtection="1">
      <alignment horizontal="right" vertical="center"/>
    </xf>
    <xf numFmtId="196" fontId="7" fillId="5" borderId="0" xfId="30" applyNumberFormat="1" applyFont="1" applyFill="1" applyBorder="1" applyAlignment="1">
      <alignment horizontal="right" vertical="center"/>
    </xf>
    <xf numFmtId="196" fontId="7" fillId="6" borderId="0" xfId="28" applyNumberFormat="1" applyFont="1" applyFill="1" applyBorder="1" applyAlignment="1">
      <alignment horizontal="right" vertical="center"/>
    </xf>
    <xf numFmtId="196" fontId="7" fillId="6" borderId="0" xfId="28" applyNumberFormat="1" applyFont="1" applyFill="1" applyAlignment="1">
      <alignment horizontal="right" vertical="center"/>
    </xf>
    <xf numFmtId="196" fontId="7" fillId="7" borderId="0" xfId="28" applyNumberFormat="1" applyFont="1" applyFill="1" applyBorder="1" applyAlignment="1">
      <alignment horizontal="right" vertical="center"/>
    </xf>
    <xf numFmtId="193" fontId="7" fillId="8" borderId="0" xfId="28" applyNumberFormat="1" applyFont="1" applyFill="1" applyBorder="1" applyAlignment="1">
      <alignment horizontal="right" vertical="center"/>
    </xf>
    <xf numFmtId="196" fontId="9" fillId="5" borderId="0" xfId="30" applyNumberFormat="1" applyFont="1" applyFill="1" applyBorder="1" applyAlignment="1">
      <alignment horizontal="right" vertical="center"/>
    </xf>
    <xf numFmtId="196" fontId="9" fillId="6" borderId="0" xfId="30" applyNumberFormat="1" applyFont="1" applyFill="1" applyBorder="1" applyAlignment="1">
      <alignment horizontal="right" vertical="center"/>
    </xf>
    <xf numFmtId="196" fontId="9" fillId="6" borderId="0" xfId="24" applyNumberFormat="1" applyFont="1" applyFill="1" applyBorder="1" applyAlignment="1" applyProtection="1">
      <alignment horizontal="right" vertical="center"/>
    </xf>
    <xf numFmtId="193" fontId="9" fillId="8" borderId="0" xfId="1" applyNumberFormat="1" applyFont="1" applyFill="1" applyAlignment="1">
      <alignment horizontal="right" vertical="center"/>
    </xf>
    <xf numFmtId="196" fontId="7" fillId="6" borderId="0" xfId="3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90" fontId="7" fillId="0" borderId="0" xfId="0" applyNumberFormat="1" applyFont="1" applyBorder="1" applyAlignment="1">
      <alignment horizontal="right" vertical="center"/>
    </xf>
    <xf numFmtId="0" fontId="7" fillId="0" borderId="0" xfId="27" applyFont="1" applyAlignment="1">
      <alignment vertical="center"/>
    </xf>
    <xf numFmtId="197" fontId="9" fillId="5" borderId="0" xfId="30" applyNumberFormat="1" applyFont="1" applyFill="1" applyBorder="1" applyAlignment="1" applyProtection="1">
      <alignment vertical="center"/>
    </xf>
    <xf numFmtId="197" fontId="9" fillId="6" borderId="0" xfId="28" applyNumberFormat="1" applyFont="1" applyFill="1" applyBorder="1" applyAlignment="1" applyProtection="1">
      <alignment vertical="center"/>
    </xf>
    <xf numFmtId="197" fontId="9" fillId="7" borderId="0" xfId="28" applyNumberFormat="1" applyFont="1" applyFill="1" applyBorder="1" applyAlignment="1" applyProtection="1">
      <alignment horizontal="left" vertical="center"/>
    </xf>
    <xf numFmtId="193" fontId="7" fillId="8" borderId="0" xfId="1" applyNumberFormat="1" applyFont="1" applyFill="1" applyAlignment="1">
      <alignment horizontal="right" vertical="center"/>
    </xf>
    <xf numFmtId="0" fontId="7" fillId="8" borderId="0" xfId="27" applyFont="1" applyFill="1" applyAlignment="1">
      <alignment vertical="center"/>
    </xf>
    <xf numFmtId="0" fontId="3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195" fontId="7" fillId="5" borderId="0" xfId="1" applyNumberFormat="1" applyFont="1" applyFill="1" applyBorder="1" applyAlignment="1" applyProtection="1">
      <alignment horizontal="right" vertical="center"/>
    </xf>
    <xf numFmtId="197" fontId="10" fillId="5" borderId="0" xfId="30" applyNumberFormat="1" applyFont="1" applyFill="1" applyBorder="1" applyAlignment="1" applyProtection="1">
      <alignment horizontal="left" vertical="center"/>
    </xf>
    <xf numFmtId="195" fontId="7" fillId="6" borderId="0" xfId="24" applyNumberFormat="1" applyFont="1" applyFill="1" applyBorder="1" applyAlignment="1" applyProtection="1">
      <alignment horizontal="right" vertical="center"/>
    </xf>
    <xf numFmtId="197" fontId="10" fillId="6" borderId="0" xfId="28" applyNumberFormat="1" applyFont="1" applyFill="1" applyBorder="1" applyAlignment="1" applyProtection="1">
      <alignment horizontal="left" vertical="center"/>
    </xf>
    <xf numFmtId="195" fontId="7" fillId="7" borderId="0" xfId="24" applyNumberFormat="1" applyFont="1" applyFill="1" applyBorder="1" applyAlignment="1" applyProtection="1">
      <alignment horizontal="right" vertical="center"/>
    </xf>
    <xf numFmtId="197" fontId="10" fillId="7" borderId="0" xfId="28" applyNumberFormat="1" applyFont="1" applyFill="1" applyBorder="1" applyAlignment="1" applyProtection="1">
      <alignment horizontal="left" vertical="center"/>
    </xf>
    <xf numFmtId="192" fontId="7" fillId="8" borderId="0" xfId="1" applyNumberFormat="1" applyFont="1" applyFill="1" applyAlignment="1">
      <alignment horizontal="right" vertical="center"/>
    </xf>
    <xf numFmtId="0" fontId="12" fillId="8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vertical="center"/>
    </xf>
    <xf numFmtId="195" fontId="33" fillId="5" borderId="0" xfId="1" applyNumberFormat="1" applyFont="1" applyFill="1" applyBorder="1" applyAlignment="1" applyProtection="1">
      <alignment horizontal="right" vertical="center"/>
    </xf>
    <xf numFmtId="197" fontId="32" fillId="5" borderId="0" xfId="30" applyNumberFormat="1" applyFont="1" applyFill="1" applyBorder="1" applyAlignment="1" applyProtection="1">
      <alignment horizontal="left" vertical="center"/>
    </xf>
    <xf numFmtId="195" fontId="33" fillId="6" borderId="0" xfId="24" applyNumberFormat="1" applyFont="1" applyFill="1" applyBorder="1" applyAlignment="1" applyProtection="1">
      <alignment horizontal="right" vertical="center"/>
    </xf>
    <xf numFmtId="197" fontId="32" fillId="6" borderId="0" xfId="28" applyNumberFormat="1" applyFont="1" applyFill="1" applyBorder="1" applyAlignment="1" applyProtection="1">
      <alignment horizontal="left" vertical="center"/>
    </xf>
    <xf numFmtId="195" fontId="33" fillId="7" borderId="0" xfId="24" applyNumberFormat="1" applyFont="1" applyFill="1" applyBorder="1" applyAlignment="1" applyProtection="1">
      <alignment horizontal="right" vertical="center"/>
    </xf>
    <xf numFmtId="197" fontId="32" fillId="7" borderId="0" xfId="28" applyNumberFormat="1" applyFont="1" applyFill="1" applyBorder="1" applyAlignment="1" applyProtection="1">
      <alignment horizontal="left" vertical="center"/>
    </xf>
    <xf numFmtId="192" fontId="33" fillId="8" borderId="0" xfId="1" applyNumberFormat="1" applyFont="1" applyFill="1" applyAlignment="1">
      <alignment horizontal="right" vertical="center"/>
    </xf>
    <xf numFmtId="0" fontId="33" fillId="8" borderId="0" xfId="0" applyFont="1" applyFill="1" applyBorder="1" applyAlignment="1">
      <alignment vertical="center"/>
    </xf>
    <xf numFmtId="0" fontId="12" fillId="0" borderId="0" xfId="27" applyFont="1" applyBorder="1" applyAlignment="1">
      <alignment vertical="center"/>
    </xf>
    <xf numFmtId="0" fontId="12" fillId="8" borderId="0" xfId="27" applyFont="1" applyFill="1" applyBorder="1" applyAlignment="1">
      <alignment vertical="center"/>
    </xf>
    <xf numFmtId="3" fontId="20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195" fontId="7" fillId="5" borderId="0" xfId="30" applyNumberFormat="1" applyFont="1" applyFill="1" applyBorder="1" applyAlignment="1">
      <alignment horizontal="right" vertical="center"/>
    </xf>
    <xf numFmtId="41" fontId="7" fillId="6" borderId="0" xfId="30" applyNumberFormat="1" applyFont="1" applyFill="1" applyBorder="1" applyAlignment="1">
      <alignment horizontal="right" vertical="center"/>
    </xf>
    <xf numFmtId="41" fontId="7" fillId="7" borderId="0" xfId="24" applyNumberFormat="1" applyFont="1" applyFill="1" applyBorder="1" applyAlignment="1" applyProtection="1">
      <alignment horizontal="right" vertical="center"/>
    </xf>
    <xf numFmtId="41" fontId="7" fillId="8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41" fontId="7" fillId="6" borderId="0" xfId="24" applyNumberFormat="1" applyFont="1" applyFill="1" applyBorder="1" applyAlignment="1" applyProtection="1">
      <alignment horizontal="right" vertical="center"/>
    </xf>
    <xf numFmtId="0" fontId="10" fillId="5" borderId="0" xfId="30" applyFont="1" applyFill="1" applyAlignment="1" applyProtection="1">
      <alignment horizontal="left" vertical="center"/>
    </xf>
    <xf numFmtId="0" fontId="10" fillId="6" borderId="0" xfId="28" applyFont="1" applyFill="1" applyAlignment="1" applyProtection="1">
      <alignment horizontal="left" vertical="center"/>
    </xf>
    <xf numFmtId="0" fontId="10" fillId="7" borderId="0" xfId="28" applyFont="1" applyFill="1" applyAlignment="1" applyProtection="1">
      <alignment horizontal="left" vertical="center"/>
    </xf>
    <xf numFmtId="0" fontId="12" fillId="5" borderId="0" xfId="30" applyFont="1" applyFill="1" applyAlignment="1">
      <alignment horizontal="center" vertical="center"/>
    </xf>
    <xf numFmtId="0" fontId="12" fillId="6" borderId="0" xfId="28" applyFont="1" applyFill="1" applyAlignment="1">
      <alignment horizontal="center" vertical="center"/>
    </xf>
    <xf numFmtId="195" fontId="9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Alignment="1">
      <alignment horizontal="left" vertical="center"/>
    </xf>
    <xf numFmtId="3" fontId="33" fillId="0" borderId="0" xfId="0" applyNumberFormat="1" applyFont="1" applyAlignment="1">
      <alignment vertical="center"/>
    </xf>
    <xf numFmtId="0" fontId="12" fillId="0" borderId="0" xfId="27" applyFont="1" applyAlignment="1">
      <alignment vertical="center"/>
    </xf>
    <xf numFmtId="0" fontId="12" fillId="8" borderId="0" xfId="27" applyFont="1" applyFill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right" vertical="center"/>
    </xf>
    <xf numFmtId="0" fontId="33" fillId="6" borderId="0" xfId="0" applyFont="1" applyFill="1" applyBorder="1" applyAlignment="1">
      <alignment vertical="center"/>
    </xf>
    <xf numFmtId="0" fontId="33" fillId="6" borderId="0" xfId="0" applyFont="1" applyFill="1" applyBorder="1" applyAlignment="1">
      <alignment horizontal="right" vertical="center"/>
    </xf>
    <xf numFmtId="0" fontId="33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right" vertical="center"/>
    </xf>
    <xf numFmtId="0" fontId="33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0" fontId="33" fillId="5" borderId="10" xfId="0" applyFont="1" applyFill="1" applyBorder="1" applyAlignment="1">
      <alignment horizontal="right"/>
    </xf>
    <xf numFmtId="0" fontId="33" fillId="5" borderId="10" xfId="0" applyFont="1" applyFill="1" applyBorder="1" applyAlignment="1">
      <alignment horizontal="center"/>
    </xf>
    <xf numFmtId="0" fontId="33" fillId="6" borderId="10" xfId="0" applyFont="1" applyFill="1" applyBorder="1" applyAlignment="1">
      <alignment horizontal="right"/>
    </xf>
    <xf numFmtId="0" fontId="33" fillId="6" borderId="10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right"/>
    </xf>
    <xf numFmtId="0" fontId="33" fillId="7" borderId="10" xfId="0" applyFont="1" applyFill="1" applyBorder="1" applyAlignment="1">
      <alignment horizontal="center"/>
    </xf>
    <xf numFmtId="0" fontId="33" fillId="8" borderId="10" xfId="0" applyFont="1" applyFill="1" applyBorder="1" applyAlignment="1">
      <alignment horizontal="right"/>
    </xf>
    <xf numFmtId="0" fontId="33" fillId="8" borderId="1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3" fillId="8" borderId="0" xfId="0" applyFont="1" applyFill="1" applyAlignment="1">
      <alignment horizontal="center"/>
    </xf>
    <xf numFmtId="0" fontId="7" fillId="5" borderId="0" xfId="0" applyFont="1" applyFill="1" applyAlignment="1"/>
    <xf numFmtId="0" fontId="33" fillId="5" borderId="0" xfId="0" applyFont="1" applyFill="1" applyAlignment="1"/>
    <xf numFmtId="0" fontId="7" fillId="6" borderId="0" xfId="0" applyFont="1" applyFill="1" applyAlignment="1"/>
    <xf numFmtId="0" fontId="33" fillId="6" borderId="0" xfId="0" applyFont="1" applyFill="1" applyAlignment="1"/>
    <xf numFmtId="0" fontId="7" fillId="7" borderId="0" xfId="0" applyFont="1" applyFill="1" applyAlignment="1"/>
    <xf numFmtId="0" fontId="33" fillId="7" borderId="0" xfId="0" applyFont="1" applyFill="1" applyAlignment="1"/>
    <xf numFmtId="0" fontId="33" fillId="8" borderId="0" xfId="0" applyFont="1" applyFill="1" applyAlignment="1"/>
    <xf numFmtId="0" fontId="9" fillId="5" borderId="0" xfId="28" applyFont="1" applyFill="1" applyAlignment="1"/>
    <xf numFmtId="0" fontId="33" fillId="5" borderId="0" xfId="28" applyFont="1" applyFill="1" applyAlignment="1"/>
    <xf numFmtId="0" fontId="9" fillId="6" borderId="0" xfId="28" applyFont="1" applyFill="1" applyAlignment="1"/>
    <xf numFmtId="0" fontId="33" fillId="6" borderId="0" xfId="28" applyFont="1" applyFill="1" applyAlignment="1"/>
    <xf numFmtId="0" fontId="9" fillId="7" borderId="0" xfId="28" applyFont="1" applyFill="1" applyAlignment="1"/>
    <xf numFmtId="0" fontId="33" fillId="7" borderId="0" xfId="28" applyFont="1" applyFill="1" applyAlignment="1"/>
    <xf numFmtId="0" fontId="32" fillId="8" borderId="0" xfId="28" applyFont="1" applyFill="1" applyAlignment="1"/>
    <xf numFmtId="0" fontId="33" fillId="8" borderId="0" xfId="28" applyFont="1" applyFill="1" applyAlignment="1"/>
    <xf numFmtId="0" fontId="19" fillId="0" borderId="0" xfId="28" applyFont="1"/>
    <xf numFmtId="0" fontId="32" fillId="0" borderId="0" xfId="28" applyFont="1"/>
    <xf numFmtId="0" fontId="20" fillId="0" borderId="0" xfId="28" applyFont="1"/>
    <xf numFmtId="0" fontId="32" fillId="0" borderId="0" xfId="30" applyFont="1" applyAlignment="1">
      <alignment horizontal="right" vertical="center"/>
    </xf>
    <xf numFmtId="0" fontId="20" fillId="0" borderId="0" xfId="30" applyFont="1" applyAlignment="1">
      <alignment vertical="center"/>
    </xf>
    <xf numFmtId="0" fontId="32" fillId="0" borderId="0" xfId="28" applyFont="1" applyAlignment="1">
      <alignment horizontal="right"/>
    </xf>
    <xf numFmtId="0" fontId="33" fillId="0" borderId="0" xfId="28" applyFont="1"/>
    <xf numFmtId="0" fontId="19" fillId="0" borderId="0" xfId="30" applyFont="1" applyAlignment="1">
      <alignment vertical="center"/>
    </xf>
    <xf numFmtId="196" fontId="32" fillId="0" borderId="0" xfId="28" applyNumberFormat="1" applyFont="1" applyAlignment="1">
      <alignment horizontal="right"/>
    </xf>
    <xf numFmtId="0" fontId="70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2" fillId="0" borderId="0" xfId="28" applyFont="1" applyAlignment="1">
      <alignment vertical="center"/>
    </xf>
    <xf numFmtId="196" fontId="32" fillId="0" borderId="0" xfId="28" applyNumberFormat="1" applyFont="1" applyAlignment="1">
      <alignment horizontal="right" vertical="center"/>
    </xf>
    <xf numFmtId="0" fontId="33" fillId="0" borderId="0" xfId="27" applyFont="1" applyAlignment="1">
      <alignment horizontal="right" vertical="center"/>
    </xf>
    <xf numFmtId="195" fontId="33" fillId="0" borderId="0" xfId="4906" applyNumberFormat="1" applyFont="1" applyAlignment="1">
      <alignment horizontal="right" vertical="center"/>
    </xf>
    <xf numFmtId="195" fontId="7" fillId="0" borderId="0" xfId="4906" applyNumberFormat="1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0" fontId="9" fillId="0" borderId="0" xfId="28" quotePrefix="1" applyFont="1" applyBorder="1" applyAlignment="1">
      <alignment vertical="center"/>
    </xf>
    <xf numFmtId="0" fontId="32" fillId="5" borderId="0" xfId="30" applyFont="1" applyFill="1" applyAlignment="1">
      <alignment horizontal="right" vertical="center"/>
    </xf>
    <xf numFmtId="0" fontId="20" fillId="5" borderId="0" xfId="30" applyFont="1" applyFill="1" applyAlignment="1">
      <alignment vertical="center"/>
    </xf>
    <xf numFmtId="196" fontId="32" fillId="6" borderId="0" xfId="28" applyNumberFormat="1" applyFont="1" applyFill="1" applyAlignment="1">
      <alignment horizontal="right" vertical="center"/>
    </xf>
    <xf numFmtId="0" fontId="32" fillId="6" borderId="0" xfId="28" quotePrefix="1" applyFont="1" applyFill="1" applyBorder="1" applyAlignment="1">
      <alignment vertical="center"/>
    </xf>
    <xf numFmtId="196" fontId="32" fillId="7" borderId="0" xfId="28" applyNumberFormat="1" applyFont="1" applyFill="1" applyAlignment="1">
      <alignment horizontal="right" vertical="center"/>
    </xf>
    <xf numFmtId="0" fontId="20" fillId="7" borderId="0" xfId="28" applyFont="1" applyFill="1" applyAlignment="1">
      <alignment vertical="center"/>
    </xf>
    <xf numFmtId="196" fontId="32" fillId="8" borderId="0" xfId="28" applyNumberFormat="1" applyFont="1" applyFill="1" applyAlignment="1">
      <alignment horizontal="right" vertical="center"/>
    </xf>
    <xf numFmtId="0" fontId="9" fillId="8" borderId="0" xfId="28" quotePrefix="1" applyFont="1" applyFill="1" applyBorder="1" applyAlignment="1">
      <alignment vertical="center"/>
    </xf>
    <xf numFmtId="0" fontId="32" fillId="5" borderId="0" xfId="28" applyFont="1" applyFill="1" applyAlignment="1">
      <alignment horizontal="right" vertical="center"/>
    </xf>
    <xf numFmtId="0" fontId="9" fillId="5" borderId="0" xfId="28" quotePrefix="1" applyFont="1" applyFill="1" applyAlignment="1">
      <alignment vertical="center"/>
    </xf>
    <xf numFmtId="0" fontId="32" fillId="6" borderId="0" xfId="28" applyFont="1" applyFill="1" applyAlignment="1">
      <alignment horizontal="right" vertical="center"/>
    </xf>
    <xf numFmtId="0" fontId="20" fillId="6" borderId="0" xfId="28" applyFont="1" applyFill="1" applyAlignment="1">
      <alignment vertical="center"/>
    </xf>
    <xf numFmtId="0" fontId="32" fillId="7" borderId="0" xfId="28" applyFont="1" applyFill="1" applyAlignment="1">
      <alignment horizontal="right" vertical="center"/>
    </xf>
    <xf numFmtId="0" fontId="32" fillId="8" borderId="0" xfId="28" applyFont="1" applyFill="1" applyAlignment="1">
      <alignment horizontal="right" vertical="center"/>
    </xf>
    <xf numFmtId="0" fontId="20" fillId="8" borderId="0" xfId="28" applyFont="1" applyFill="1" applyAlignment="1">
      <alignment vertical="center"/>
    </xf>
    <xf numFmtId="0" fontId="32" fillId="0" borderId="1" xfId="28" applyFont="1" applyBorder="1" applyAlignment="1">
      <alignment vertical="center"/>
    </xf>
    <xf numFmtId="196" fontId="32" fillId="5" borderId="1" xfId="30" applyNumberFormat="1" applyFont="1" applyFill="1" applyBorder="1" applyAlignment="1">
      <alignment horizontal="right" vertical="center"/>
    </xf>
    <xf numFmtId="0" fontId="32" fillId="5" borderId="14" xfId="30" applyFont="1" applyFill="1" applyBorder="1" applyAlignment="1">
      <alignment horizontal="right" vertical="center"/>
    </xf>
    <xf numFmtId="0" fontId="19" fillId="5" borderId="14" xfId="30" applyFont="1" applyFill="1" applyBorder="1" applyAlignment="1">
      <alignment vertical="center"/>
    </xf>
    <xf numFmtId="0" fontId="32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vertical="center"/>
    </xf>
    <xf numFmtId="0" fontId="32" fillId="7" borderId="14" xfId="28" applyFont="1" applyFill="1" applyBorder="1" applyAlignment="1">
      <alignment horizontal="right" vertical="center"/>
    </xf>
    <xf numFmtId="0" fontId="32" fillId="7" borderId="14" xfId="28" applyFont="1" applyFill="1" applyBorder="1" applyAlignment="1">
      <alignment vertical="center"/>
    </xf>
    <xf numFmtId="0" fontId="32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196" fontId="32" fillId="0" borderId="0" xfId="1" applyNumberFormat="1" applyFont="1" applyFill="1" applyBorder="1" applyAlignment="1" applyProtection="1">
      <alignment horizontal="right" vertical="center"/>
    </xf>
    <xf numFmtId="196" fontId="33" fillId="5" borderId="0" xfId="1" applyNumberFormat="1" applyFont="1" applyFill="1" applyBorder="1" applyAlignment="1" applyProtection="1">
      <alignment horizontal="right" vertical="center"/>
    </xf>
    <xf numFmtId="0" fontId="19" fillId="5" borderId="0" xfId="30" applyFont="1" applyFill="1" applyBorder="1" applyAlignment="1" applyProtection="1">
      <alignment horizontal="left" vertical="center"/>
    </xf>
    <xf numFmtId="196" fontId="33" fillId="6" borderId="0" xfId="24" applyNumberFormat="1" applyFont="1" applyFill="1" applyBorder="1" applyAlignment="1" applyProtection="1">
      <alignment horizontal="right" vertical="center"/>
    </xf>
    <xf numFmtId="0" fontId="19" fillId="6" borderId="0" xfId="28" applyFont="1" applyFill="1" applyBorder="1" applyAlignment="1" applyProtection="1">
      <alignment horizontal="left" vertical="center"/>
    </xf>
    <xf numFmtId="196" fontId="32" fillId="7" borderId="0" xfId="24" applyNumberFormat="1" applyFont="1" applyFill="1" applyBorder="1" applyAlignment="1" applyProtection="1">
      <alignment horizontal="right" vertical="center"/>
    </xf>
    <xf numFmtId="0" fontId="32" fillId="7" borderId="0" xfId="28" applyFont="1" applyFill="1" applyBorder="1" applyAlignment="1" applyProtection="1">
      <alignment horizontal="left" vertical="center"/>
    </xf>
    <xf numFmtId="196" fontId="32" fillId="8" borderId="0" xfId="24" applyNumberFormat="1" applyFont="1" applyFill="1" applyBorder="1" applyAlignment="1" applyProtection="1">
      <alignment horizontal="right" vertical="center"/>
    </xf>
    <xf numFmtId="0" fontId="19" fillId="8" borderId="0" xfId="28" applyFont="1" applyFill="1" applyBorder="1" applyAlignment="1" applyProtection="1">
      <alignment horizontal="left" vertical="center"/>
    </xf>
    <xf numFmtId="196" fontId="32" fillId="0" borderId="0" xfId="30" applyNumberFormat="1" applyFont="1" applyFill="1" applyBorder="1" applyAlignment="1">
      <alignment horizontal="right" vertical="center"/>
    </xf>
    <xf numFmtId="195" fontId="33" fillId="8" borderId="0" xfId="24" applyNumberFormat="1" applyFont="1" applyFill="1" applyBorder="1" applyAlignment="1" applyProtection="1">
      <alignment horizontal="right" vertical="center"/>
    </xf>
    <xf numFmtId="196" fontId="33" fillId="8" borderId="0" xfId="24" applyNumberFormat="1" applyFont="1" applyFill="1" applyBorder="1" applyAlignment="1" applyProtection="1">
      <alignment horizontal="right" vertical="center"/>
    </xf>
    <xf numFmtId="197" fontId="19" fillId="0" borderId="0" xfId="28" applyNumberFormat="1" applyFont="1" applyBorder="1" applyAlignment="1" applyProtection="1">
      <alignment horizontal="left" vertical="center"/>
    </xf>
    <xf numFmtId="197" fontId="19" fillId="5" borderId="0" xfId="30" applyNumberFormat="1" applyFont="1" applyFill="1" applyBorder="1" applyAlignment="1" applyProtection="1">
      <alignment horizontal="left" vertical="center"/>
    </xf>
    <xf numFmtId="197" fontId="19" fillId="6" borderId="0" xfId="28" applyNumberFormat="1" applyFont="1" applyFill="1" applyBorder="1" applyAlignment="1" applyProtection="1">
      <alignment horizontal="left" vertical="center"/>
    </xf>
    <xf numFmtId="197" fontId="19" fillId="8" borderId="0" xfId="28" applyNumberFormat="1" applyFont="1" applyFill="1" applyBorder="1" applyAlignment="1" applyProtection="1">
      <alignment horizontal="left" vertical="center"/>
    </xf>
    <xf numFmtId="0" fontId="19" fillId="5" borderId="0" xfId="30" applyFont="1" applyFill="1" applyAlignment="1">
      <alignment vertical="center"/>
    </xf>
    <xf numFmtId="0" fontId="19" fillId="6" borderId="0" xfId="28" applyFont="1" applyFill="1" applyAlignment="1">
      <alignment vertical="center"/>
    </xf>
    <xf numFmtId="0" fontId="32" fillId="7" borderId="0" xfId="28" applyFont="1" applyFill="1" applyAlignment="1">
      <alignment vertical="center"/>
    </xf>
    <xf numFmtId="0" fontId="19" fillId="8" borderId="0" xfId="28" applyFont="1" applyFill="1" applyAlignment="1">
      <alignment vertical="center"/>
    </xf>
    <xf numFmtId="0" fontId="19" fillId="5" borderId="0" xfId="30" applyFont="1" applyFill="1" applyAlignment="1" applyProtection="1">
      <alignment horizontal="left" vertical="center"/>
    </xf>
    <xf numFmtId="0" fontId="19" fillId="6" borderId="0" xfId="28" applyFont="1" applyFill="1" applyAlignment="1" applyProtection="1">
      <alignment horizontal="left" vertical="center"/>
    </xf>
    <xf numFmtId="0" fontId="32" fillId="7" borderId="0" xfId="28" applyFont="1" applyFill="1" applyAlignment="1" applyProtection="1">
      <alignment horizontal="left" vertical="center"/>
    </xf>
    <xf numFmtId="0" fontId="19" fillId="8" borderId="0" xfId="28" applyFont="1" applyFill="1" applyAlignment="1" applyProtection="1">
      <alignment horizontal="left" vertical="center"/>
    </xf>
    <xf numFmtId="0" fontId="34" fillId="0" borderId="0" xfId="28" applyFont="1" applyBorder="1" applyAlignment="1">
      <alignment vertical="center"/>
    </xf>
    <xf numFmtId="0" fontId="34" fillId="5" borderId="0" xfId="30" applyFont="1" applyFill="1" applyBorder="1" applyAlignment="1">
      <alignment vertical="center"/>
    </xf>
    <xf numFmtId="0" fontId="34" fillId="6" borderId="0" xfId="28" applyFont="1" applyFill="1" applyBorder="1" applyAlignment="1">
      <alignment vertical="center"/>
    </xf>
    <xf numFmtId="0" fontId="71" fillId="7" borderId="0" xfId="28" applyFont="1" applyFill="1" applyBorder="1" applyAlignment="1">
      <alignment vertical="center"/>
    </xf>
    <xf numFmtId="0" fontId="34" fillId="8" borderId="0" xfId="28" applyFont="1" applyFill="1" applyBorder="1" applyAlignment="1">
      <alignment vertical="center"/>
    </xf>
    <xf numFmtId="196" fontId="33" fillId="0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Border="1" applyAlignment="1">
      <alignment horizontal="center" vertical="center"/>
    </xf>
    <xf numFmtId="0" fontId="20" fillId="6" borderId="0" xfId="28" applyFont="1" applyFill="1" applyBorder="1" applyAlignment="1">
      <alignment horizontal="center" vertical="center"/>
    </xf>
    <xf numFmtId="196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Border="1" applyAlignment="1">
      <alignment horizontal="center" vertical="center"/>
    </xf>
    <xf numFmtId="0" fontId="20" fillId="8" borderId="0" xfId="28" applyFont="1" applyFill="1" applyBorder="1" applyAlignment="1">
      <alignment horizontal="center" vertical="center"/>
    </xf>
    <xf numFmtId="197" fontId="19" fillId="0" borderId="0" xfId="28" applyNumberFormat="1" applyFont="1" applyAlignment="1">
      <alignment vertical="center"/>
    </xf>
    <xf numFmtId="0" fontId="19" fillId="0" borderId="0" xfId="28" applyFont="1" applyAlignment="1">
      <alignment horizontal="right" vertical="center"/>
    </xf>
    <xf numFmtId="0" fontId="33" fillId="5" borderId="0" xfId="30" applyFont="1" applyFill="1" applyBorder="1" applyAlignment="1">
      <alignment horizontal="right" vertical="center"/>
    </xf>
    <xf numFmtId="0" fontId="19" fillId="5" borderId="0" xfId="30" applyFont="1" applyFill="1" applyAlignment="1">
      <alignment horizontal="right" vertical="center"/>
    </xf>
    <xf numFmtId="0" fontId="33" fillId="6" borderId="0" xfId="28" applyFont="1" applyFill="1" applyBorder="1" applyAlignment="1">
      <alignment horizontal="right" vertical="center"/>
    </xf>
    <xf numFmtId="0" fontId="33" fillId="6" borderId="0" xfId="28" applyFont="1" applyFill="1" applyAlignment="1">
      <alignment horizontal="right" vertical="center"/>
    </xf>
    <xf numFmtId="0" fontId="19" fillId="6" borderId="0" xfId="28" applyFont="1" applyFill="1" applyAlignment="1">
      <alignment horizontal="right" vertical="center"/>
    </xf>
    <xf numFmtId="0" fontId="33" fillId="7" borderId="0" xfId="28" applyFont="1" applyFill="1" applyBorder="1" applyAlignment="1">
      <alignment horizontal="right" vertical="center"/>
    </xf>
    <xf numFmtId="0" fontId="33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right" vertical="center"/>
    </xf>
    <xf numFmtId="195" fontId="32" fillId="5" borderId="0" xfId="30" applyNumberFormat="1" applyFont="1" applyFill="1" applyBorder="1" applyAlignment="1">
      <alignment horizontal="right" vertical="center"/>
    </xf>
    <xf numFmtId="195" fontId="32" fillId="6" borderId="0" xfId="30" applyNumberFormat="1" applyFont="1" applyFill="1" applyBorder="1" applyAlignment="1">
      <alignment horizontal="right" vertical="center"/>
    </xf>
    <xf numFmtId="195" fontId="32" fillId="6" borderId="0" xfId="24" applyNumberFormat="1" applyFont="1" applyFill="1" applyBorder="1" applyAlignment="1" applyProtection="1">
      <alignment horizontal="right" vertical="center"/>
    </xf>
    <xf numFmtId="195" fontId="32" fillId="7" borderId="0" xfId="24" applyNumberFormat="1" applyFont="1" applyFill="1" applyBorder="1" applyAlignment="1" applyProtection="1">
      <alignment horizontal="right" vertical="center"/>
    </xf>
    <xf numFmtId="192" fontId="32" fillId="8" borderId="0" xfId="1" applyNumberFormat="1" applyFont="1" applyFill="1" applyAlignment="1">
      <alignment horizontal="right" vertical="center"/>
    </xf>
    <xf numFmtId="3" fontId="32" fillId="0" borderId="0" xfId="30" applyNumberFormat="1" applyFont="1" applyFill="1" applyBorder="1" applyAlignment="1">
      <alignment horizontal="right" vertical="center"/>
    </xf>
    <xf numFmtId="195" fontId="32" fillId="0" borderId="0" xfId="30" applyNumberFormat="1" applyFont="1" applyFill="1" applyBorder="1" applyAlignment="1">
      <alignment horizontal="right" vertical="center"/>
    </xf>
    <xf numFmtId="194" fontId="32" fillId="5" borderId="0" xfId="30" applyNumberFormat="1" applyFont="1" applyFill="1" applyBorder="1" applyAlignment="1">
      <alignment horizontal="right" vertical="center"/>
    </xf>
    <xf numFmtId="194" fontId="32" fillId="6" borderId="0" xfId="30" applyNumberFormat="1" applyFont="1" applyFill="1" applyBorder="1" applyAlignment="1">
      <alignment horizontal="right" vertical="center"/>
    </xf>
    <xf numFmtId="195" fontId="32" fillId="5" borderId="0" xfId="1" applyNumberFormat="1" applyFont="1" applyFill="1" applyBorder="1" applyAlignment="1" applyProtection="1">
      <alignment horizontal="right" vertical="center"/>
    </xf>
    <xf numFmtId="194" fontId="32" fillId="7" borderId="0" xfId="30" applyNumberFormat="1" applyFont="1" applyFill="1" applyBorder="1" applyAlignment="1">
      <alignment horizontal="right" vertical="center"/>
    </xf>
    <xf numFmtId="194" fontId="32" fillId="5" borderId="0" xfId="1" applyNumberFormat="1" applyFont="1" applyFill="1" applyBorder="1" applyAlignment="1" applyProtection="1">
      <alignment horizontal="right" vertical="center"/>
    </xf>
    <xf numFmtId="194" fontId="33" fillId="5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Alignment="1">
      <alignment horizontal="center" vertical="center"/>
    </xf>
    <xf numFmtId="194" fontId="32" fillId="6" borderId="0" xfId="24" applyNumberFormat="1" applyFont="1" applyFill="1" applyBorder="1" applyAlignment="1" applyProtection="1">
      <alignment horizontal="right" vertical="center"/>
    </xf>
    <xf numFmtId="194" fontId="33" fillId="6" borderId="0" xfId="24" applyNumberFormat="1" applyFont="1" applyFill="1" applyBorder="1" applyAlignment="1" applyProtection="1">
      <alignment horizontal="right" vertical="center"/>
    </xf>
    <xf numFmtId="0" fontId="20" fillId="6" borderId="0" xfId="28" applyFont="1" applyFill="1" applyAlignment="1">
      <alignment horizontal="center" vertical="center"/>
    </xf>
    <xf numFmtId="194" fontId="32" fillId="7" borderId="0" xfId="24" applyNumberFormat="1" applyFont="1" applyFill="1" applyBorder="1" applyAlignment="1" applyProtection="1">
      <alignment horizontal="right" vertical="center"/>
    </xf>
    <xf numFmtId="194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Alignment="1">
      <alignment horizontal="center" vertical="center"/>
    </xf>
    <xf numFmtId="0" fontId="20" fillId="8" borderId="0" xfId="28" applyFont="1" applyFill="1" applyAlignment="1">
      <alignment horizontal="center" vertical="center"/>
    </xf>
    <xf numFmtId="0" fontId="20" fillId="0" borderId="0" xfId="30" applyFont="1" applyAlignment="1">
      <alignment horizontal="right" vertical="center"/>
    </xf>
    <xf numFmtId="0" fontId="33" fillId="5" borderId="15" xfId="30" applyFont="1" applyFill="1" applyBorder="1" applyAlignment="1">
      <alignment horizontal="right" vertical="center"/>
    </xf>
    <xf numFmtId="0" fontId="20" fillId="5" borderId="0" xfId="30" applyFont="1" applyFill="1" applyAlignment="1">
      <alignment horizontal="right" vertical="center"/>
    </xf>
    <xf numFmtId="0" fontId="33" fillId="6" borderId="15" xfId="30" applyFont="1" applyFill="1" applyBorder="1" applyAlignment="1">
      <alignment horizontal="right" vertical="center"/>
    </xf>
    <xf numFmtId="0" fontId="33" fillId="6" borderId="0" xfId="30" applyFont="1" applyFill="1" applyAlignment="1">
      <alignment horizontal="right" vertical="center"/>
    </xf>
    <xf numFmtId="0" fontId="20" fillId="6" borderId="0" xfId="30" applyFont="1" applyFill="1" applyAlignment="1">
      <alignment horizontal="right" vertical="center"/>
    </xf>
    <xf numFmtId="0" fontId="33" fillId="7" borderId="15" xfId="30" applyFont="1" applyFill="1" applyBorder="1" applyAlignment="1">
      <alignment horizontal="right" vertical="center"/>
    </xf>
    <xf numFmtId="0" fontId="33" fillId="7" borderId="0" xfId="30" applyFont="1" applyFill="1" applyAlignment="1">
      <alignment horizontal="right" vertical="center"/>
    </xf>
    <xf numFmtId="0" fontId="33" fillId="8" borderId="15" xfId="30" applyFont="1" applyFill="1" applyBorder="1" applyAlignment="1">
      <alignment horizontal="right" vertical="center"/>
    </xf>
    <xf numFmtId="0" fontId="20" fillId="8" borderId="0" xfId="30" applyFont="1" applyFill="1" applyAlignment="1">
      <alignment horizontal="right" vertical="center"/>
    </xf>
    <xf numFmtId="0" fontId="33" fillId="0" borderId="16" xfId="30" applyFont="1" applyBorder="1" applyAlignment="1">
      <alignment horizontal="right" vertical="center"/>
    </xf>
    <xf numFmtId="0" fontId="20" fillId="0" borderId="16" xfId="30" applyFont="1" applyBorder="1" applyAlignment="1">
      <alignment horizontal="center" vertical="center"/>
    </xf>
    <xf numFmtId="0" fontId="33" fillId="5" borderId="16" xfId="30" applyFont="1" applyFill="1" applyBorder="1" applyAlignment="1">
      <alignment horizontal="right" vertical="center"/>
    </xf>
    <xf numFmtId="0" fontId="20" fillId="5" borderId="16" xfId="30" applyFont="1" applyFill="1" applyBorder="1" applyAlignment="1">
      <alignment horizontal="center" vertical="center"/>
    </xf>
    <xf numFmtId="0" fontId="33" fillId="6" borderId="16" xfId="30" applyFont="1" applyFill="1" applyBorder="1" applyAlignment="1">
      <alignment horizontal="right" vertical="center"/>
    </xf>
    <xf numFmtId="0" fontId="20" fillId="6" borderId="16" xfId="30" applyFont="1" applyFill="1" applyBorder="1" applyAlignment="1">
      <alignment horizontal="center" vertical="center"/>
    </xf>
    <xf numFmtId="0" fontId="33" fillId="7" borderId="16" xfId="30" applyFont="1" applyFill="1" applyBorder="1" applyAlignment="1">
      <alignment horizontal="right" vertical="center"/>
    </xf>
    <xf numFmtId="0" fontId="33" fillId="7" borderId="16" xfId="30" applyFont="1" applyFill="1" applyBorder="1" applyAlignment="1">
      <alignment horizontal="center" vertical="center"/>
    </xf>
    <xf numFmtId="0" fontId="33" fillId="8" borderId="16" xfId="30" applyFont="1" applyFill="1" applyBorder="1" applyAlignment="1">
      <alignment horizontal="right" vertical="center"/>
    </xf>
    <xf numFmtId="0" fontId="20" fillId="8" borderId="16" xfId="30" applyFont="1" applyFill="1" applyBorder="1" applyAlignment="1">
      <alignment horizontal="center" vertical="center"/>
    </xf>
    <xf numFmtId="195" fontId="33" fillId="5" borderId="0" xfId="1" applyNumberFormat="1" applyFont="1" applyFill="1" applyAlignment="1">
      <alignment horizontal="right" vertical="center"/>
    </xf>
    <xf numFmtId="0" fontId="20" fillId="5" borderId="0" xfId="27" applyFont="1" applyFill="1" applyAlignment="1">
      <alignment vertical="center"/>
    </xf>
    <xf numFmtId="195" fontId="33" fillId="6" borderId="0" xfId="4906" applyNumberFormat="1" applyFont="1" applyFill="1" applyAlignment="1">
      <alignment horizontal="right" vertical="center"/>
    </xf>
    <xf numFmtId="0" fontId="20" fillId="6" borderId="0" xfId="27" applyFont="1" applyFill="1" applyAlignment="1">
      <alignment vertical="center"/>
    </xf>
    <xf numFmtId="195" fontId="33" fillId="7" borderId="0" xfId="4906" applyNumberFormat="1" applyFont="1" applyFill="1" applyAlignment="1">
      <alignment horizontal="right" vertical="center"/>
    </xf>
    <xf numFmtId="0" fontId="20" fillId="7" borderId="0" xfId="27" applyFont="1" applyFill="1" applyAlignment="1">
      <alignment vertical="center"/>
    </xf>
    <xf numFmtId="3" fontId="33" fillId="8" borderId="0" xfId="0" applyNumberFormat="1" applyFont="1" applyFill="1" applyAlignment="1">
      <alignment horizontal="right" vertical="center"/>
    </xf>
    <xf numFmtId="0" fontId="20" fillId="8" borderId="0" xfId="27" applyFont="1" applyFill="1" applyAlignment="1">
      <alignment vertical="center"/>
    </xf>
    <xf numFmtId="0" fontId="33" fillId="5" borderId="0" xfId="28" applyFont="1" applyFill="1" applyAlignment="1">
      <alignment vertical="center"/>
    </xf>
    <xf numFmtId="0" fontId="33" fillId="6" borderId="0" xfId="28" applyFont="1" applyFill="1" applyAlignment="1">
      <alignment vertical="center"/>
    </xf>
    <xf numFmtId="0" fontId="33" fillId="7" borderId="0" xfId="28" applyFont="1" applyFill="1" applyAlignment="1">
      <alignment vertical="center"/>
    </xf>
    <xf numFmtId="0" fontId="33" fillId="8" borderId="0" xfId="28" applyFont="1" applyFill="1" applyAlignment="1">
      <alignment vertical="center"/>
    </xf>
    <xf numFmtId="0" fontId="68" fillId="0" borderId="0" xfId="0" applyFont="1" applyAlignment="1">
      <alignment horizontal="right" vertical="center"/>
    </xf>
    <xf numFmtId="0" fontId="19" fillId="0" borderId="0" xfId="28" applyFont="1" applyAlignment="1">
      <alignment horizontal="left" vertical="center"/>
    </xf>
    <xf numFmtId="0" fontId="19" fillId="0" borderId="1" xfId="28" applyFont="1" applyBorder="1" applyAlignment="1">
      <alignment horizontal="right" vertical="center"/>
    </xf>
    <xf numFmtId="0" fontId="19" fillId="0" borderId="14" xfId="28" applyFont="1" applyBorder="1" applyAlignment="1">
      <alignment horizontal="left" vertical="center"/>
    </xf>
    <xf numFmtId="0" fontId="19" fillId="5" borderId="14" xfId="28" applyFont="1" applyFill="1" applyBorder="1" applyAlignment="1">
      <alignment horizontal="right" vertical="center"/>
    </xf>
    <xf numFmtId="0" fontId="19" fillId="5" borderId="14" xfId="28" applyFont="1" applyFill="1" applyBorder="1" applyAlignment="1">
      <alignment horizontal="left" vertical="center"/>
    </xf>
    <xf numFmtId="0" fontId="19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horizontal="left" vertical="center"/>
    </xf>
    <xf numFmtId="0" fontId="19" fillId="7" borderId="14" xfId="28" applyFont="1" applyFill="1" applyBorder="1" applyAlignment="1">
      <alignment horizontal="right" vertical="center"/>
    </xf>
    <xf numFmtId="0" fontId="19" fillId="7" borderId="14" xfId="28" applyFont="1" applyFill="1" applyBorder="1" applyAlignment="1">
      <alignment horizontal="left" vertical="center"/>
    </xf>
    <xf numFmtId="0" fontId="19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horizontal="left" vertical="center"/>
    </xf>
    <xf numFmtId="196" fontId="19" fillId="5" borderId="0" xfId="28" applyNumberFormat="1" applyFont="1" applyFill="1" applyAlignment="1">
      <alignment horizontal="right"/>
    </xf>
    <xf numFmtId="0" fontId="19" fillId="5" borderId="0" xfId="28" applyFont="1" applyFill="1" applyBorder="1" applyAlignment="1" applyProtection="1">
      <alignment horizontal="left" vertical="center"/>
    </xf>
    <xf numFmtId="196" fontId="19" fillId="6" borderId="0" xfId="28" applyNumberFormat="1" applyFont="1" applyFill="1" applyAlignment="1">
      <alignment horizontal="right"/>
    </xf>
    <xf numFmtId="196" fontId="19" fillId="7" borderId="0" xfId="28" applyNumberFormat="1" applyFont="1" applyFill="1" applyAlignment="1">
      <alignment horizontal="right"/>
    </xf>
    <xf numFmtId="0" fontId="19" fillId="7" borderId="0" xfId="28" applyFont="1" applyFill="1" applyBorder="1" applyAlignment="1" applyProtection="1">
      <alignment horizontal="left" vertical="center"/>
    </xf>
    <xf numFmtId="196" fontId="19" fillId="8" borderId="0" xfId="28" applyNumberFormat="1" applyFont="1" applyFill="1" applyAlignment="1">
      <alignment horizontal="right"/>
    </xf>
    <xf numFmtId="0" fontId="20" fillId="0" borderId="0" xfId="0" applyFont="1" applyAlignment="1">
      <alignment horizontal="left"/>
    </xf>
    <xf numFmtId="196" fontId="19" fillId="0" borderId="0" xfId="4907" applyNumberFormat="1" applyFont="1" applyFill="1" applyBorder="1" applyAlignment="1" applyProtection="1">
      <alignment horizontal="right" vertical="center"/>
    </xf>
    <xf numFmtId="196" fontId="20" fillId="5" borderId="0" xfId="4907" applyNumberFormat="1" applyFont="1" applyFill="1" applyBorder="1" applyAlignment="1" applyProtection="1">
      <alignment horizontal="right" vertical="center"/>
    </xf>
    <xf numFmtId="0" fontId="19" fillId="5" borderId="0" xfId="28" applyFont="1" applyFill="1" applyAlignment="1" applyProtection="1">
      <alignment horizontal="left" vertical="center"/>
    </xf>
    <xf numFmtId="196" fontId="20" fillId="6" borderId="0" xfId="4907" applyNumberFormat="1" applyFont="1" applyFill="1" applyBorder="1" applyAlignment="1" applyProtection="1">
      <alignment horizontal="right" vertical="center"/>
    </xf>
    <xf numFmtId="196" fontId="20" fillId="7" borderId="0" xfId="4907" applyNumberFormat="1" applyFont="1" applyFill="1" applyBorder="1" applyAlignment="1" applyProtection="1">
      <alignment horizontal="right" vertical="center"/>
    </xf>
    <xf numFmtId="0" fontId="19" fillId="7" borderId="0" xfId="28" applyFont="1" applyFill="1" applyAlignment="1" applyProtection="1">
      <alignment horizontal="left" vertical="center"/>
    </xf>
    <xf numFmtId="196" fontId="19" fillId="8" borderId="0" xfId="4907" applyNumberFormat="1" applyFont="1" applyFill="1" applyBorder="1" applyAlignment="1" applyProtection="1">
      <alignment horizontal="right" vertical="center"/>
    </xf>
    <xf numFmtId="0" fontId="36" fillId="0" borderId="0" xfId="0" applyFont="1" applyAlignment="1">
      <alignment horizontal="left"/>
    </xf>
    <xf numFmtId="196" fontId="36" fillId="0" borderId="0" xfId="0" applyNumberFormat="1" applyFont="1" applyAlignment="1">
      <alignment horizontal="right"/>
    </xf>
    <xf numFmtId="196" fontId="19" fillId="0" borderId="0" xfId="28" applyNumberFormat="1" applyFont="1" applyAlignment="1">
      <alignment horizontal="right" vertical="center"/>
    </xf>
    <xf numFmtId="194" fontId="19" fillId="0" borderId="0" xfId="28" applyNumberFormat="1" applyFont="1" applyAlignment="1">
      <alignment horizontal="right" vertical="center"/>
    </xf>
    <xf numFmtId="196" fontId="19" fillId="5" borderId="0" xfId="28" applyNumberFormat="1" applyFont="1" applyFill="1" applyAlignment="1">
      <alignment horizontal="right" vertical="center"/>
    </xf>
    <xf numFmtId="196" fontId="19" fillId="6" borderId="0" xfId="28" applyNumberFormat="1" applyFont="1" applyFill="1" applyAlignment="1">
      <alignment horizontal="right" vertical="center"/>
    </xf>
    <xf numFmtId="196" fontId="19" fillId="7" borderId="0" xfId="28" applyNumberFormat="1" applyFont="1" applyFill="1" applyAlignment="1">
      <alignment horizontal="right" vertical="center"/>
    </xf>
    <xf numFmtId="196" fontId="19" fillId="8" borderId="0" xfId="28" applyNumberFormat="1" applyFont="1" applyFill="1" applyAlignment="1">
      <alignment horizontal="right" vertical="center"/>
    </xf>
    <xf numFmtId="0" fontId="20" fillId="0" borderId="0" xfId="28" applyFont="1" applyAlignment="1">
      <alignment horizontal="left" vertical="center"/>
    </xf>
    <xf numFmtId="2" fontId="20" fillId="0" borderId="0" xfId="28" applyNumberFormat="1" applyFont="1" applyAlignment="1">
      <alignment horizontal="left" vertical="center"/>
    </xf>
    <xf numFmtId="196" fontId="20" fillId="5" borderId="0" xfId="28" applyNumberFormat="1" applyFont="1" applyFill="1" applyAlignment="1">
      <alignment horizontal="right" vertical="center"/>
    </xf>
    <xf numFmtId="2" fontId="20" fillId="5" borderId="0" xfId="28" applyNumberFormat="1" applyFont="1" applyFill="1" applyAlignment="1">
      <alignment horizontal="left" vertical="center"/>
    </xf>
    <xf numFmtId="196" fontId="20" fillId="6" borderId="0" xfId="28" applyNumberFormat="1" applyFont="1" applyFill="1" applyAlignment="1">
      <alignment horizontal="right" vertical="center"/>
    </xf>
    <xf numFmtId="2" fontId="20" fillId="6" borderId="0" xfId="28" applyNumberFormat="1" applyFont="1" applyFill="1" applyAlignment="1">
      <alignment horizontal="left" vertical="center"/>
    </xf>
    <xf numFmtId="196" fontId="20" fillId="7" borderId="0" xfId="28" applyNumberFormat="1" applyFont="1" applyFill="1" applyAlignment="1">
      <alignment horizontal="right" vertical="center"/>
    </xf>
    <xf numFmtId="2" fontId="20" fillId="7" borderId="0" xfId="28" applyNumberFormat="1" applyFont="1" applyFill="1" applyAlignment="1">
      <alignment horizontal="left" vertical="center"/>
    </xf>
    <xf numFmtId="196" fontId="20" fillId="8" borderId="0" xfId="28" applyNumberFormat="1" applyFont="1" applyFill="1" applyAlignment="1">
      <alignment horizontal="right" vertical="center"/>
    </xf>
    <xf numFmtId="2" fontId="20" fillId="8" borderId="0" xfId="28" applyNumberFormat="1" applyFont="1" applyFill="1" applyAlignment="1">
      <alignment horizontal="left" vertical="center"/>
    </xf>
    <xf numFmtId="196" fontId="20" fillId="0" borderId="0" xfId="4907" applyNumberFormat="1" applyFont="1" applyFill="1" applyBorder="1" applyAlignment="1" applyProtection="1">
      <alignment horizontal="right" vertical="center"/>
    </xf>
    <xf numFmtId="194" fontId="20" fillId="0" borderId="0" xfId="4907" applyNumberFormat="1" applyFont="1" applyFill="1" applyBorder="1" applyAlignment="1" applyProtection="1">
      <alignment horizontal="right" vertical="center"/>
    </xf>
    <xf numFmtId="0" fontId="20" fillId="5" borderId="0" xfId="28" applyFont="1" applyFill="1" applyAlignment="1">
      <alignment horizontal="left" vertical="center"/>
    </xf>
    <xf numFmtId="0" fontId="20" fillId="6" borderId="0" xfId="28" applyFont="1" applyFill="1" applyAlignment="1">
      <alignment horizontal="left" vertical="center"/>
    </xf>
    <xf numFmtId="0" fontId="20" fillId="7" borderId="0" xfId="28" applyFont="1" applyFill="1" applyAlignment="1">
      <alignment horizontal="left" vertical="center"/>
    </xf>
    <xf numFmtId="196" fontId="20" fillId="8" borderId="0" xfId="4907" applyNumberFormat="1" applyFont="1" applyFill="1" applyBorder="1" applyAlignment="1" applyProtection="1">
      <alignment horizontal="right" vertical="center"/>
    </xf>
    <xf numFmtId="0" fontId="20" fillId="8" borderId="0" xfId="28" applyFont="1" applyFill="1" applyAlignment="1">
      <alignment horizontal="left" vertical="center"/>
    </xf>
    <xf numFmtId="0" fontId="20" fillId="5" borderId="0" xfId="28" applyFont="1" applyFill="1" applyBorder="1" applyAlignment="1">
      <alignment horizontal="right" vertical="center"/>
    </xf>
    <xf numFmtId="0" fontId="19" fillId="5" borderId="0" xfId="28" applyFont="1" applyFill="1" applyAlignment="1">
      <alignment horizontal="left" vertical="center"/>
    </xf>
    <xf numFmtId="0" fontId="20" fillId="6" borderId="0" xfId="28" applyFont="1" applyFill="1" applyBorder="1" applyAlignment="1">
      <alignment horizontal="right" vertical="center"/>
    </xf>
    <xf numFmtId="0" fontId="19" fillId="6" borderId="0" xfId="28" applyFont="1" applyFill="1" applyAlignment="1">
      <alignment horizontal="left" vertical="center"/>
    </xf>
    <xf numFmtId="0" fontId="20" fillId="7" borderId="0" xfId="28" applyFont="1" applyFill="1" applyBorder="1" applyAlignment="1">
      <alignment horizontal="right" vertical="center"/>
    </xf>
    <xf numFmtId="0" fontId="19" fillId="7" borderId="0" xfId="28" applyFont="1" applyFill="1" applyAlignment="1">
      <alignment horizontal="left" vertical="center"/>
    </xf>
    <xf numFmtId="0" fontId="20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left" vertical="center"/>
    </xf>
    <xf numFmtId="3" fontId="20" fillId="0" borderId="0" xfId="28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2" fillId="0" borderId="0" xfId="28" applyFont="1" applyBorder="1" applyAlignment="1" applyProtection="1">
      <alignment horizontal="left" vertical="center"/>
    </xf>
    <xf numFmtId="0" fontId="19" fillId="5" borderId="0" xfId="28" applyFont="1" applyFill="1" applyAlignment="1">
      <alignment horizontal="right"/>
    </xf>
    <xf numFmtId="0" fontId="19" fillId="6" borderId="0" xfId="28" applyFont="1" applyFill="1" applyAlignment="1">
      <alignment horizontal="right"/>
    </xf>
    <xf numFmtId="0" fontId="19" fillId="7" borderId="0" xfId="28" applyFont="1" applyFill="1" applyAlignment="1">
      <alignment horizontal="right"/>
    </xf>
    <xf numFmtId="0" fontId="19" fillId="8" borderId="0" xfId="28" applyFont="1" applyFill="1" applyAlignment="1">
      <alignment horizontal="right"/>
    </xf>
    <xf numFmtId="3" fontId="19" fillId="0" borderId="0" xfId="28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0" fontId="72" fillId="0" borderId="0" xfId="28" applyFont="1" applyAlignment="1" applyProtection="1">
      <alignment horizontal="left" vertical="center"/>
    </xf>
    <xf numFmtId="3" fontId="19" fillId="5" borderId="0" xfId="28" applyNumberFormat="1" applyFont="1" applyFill="1" applyAlignment="1">
      <alignment horizontal="right"/>
    </xf>
    <xf numFmtId="3" fontId="19" fillId="6" borderId="0" xfId="28" applyNumberFormat="1" applyFont="1" applyFill="1" applyAlignment="1">
      <alignment horizontal="right"/>
    </xf>
    <xf numFmtId="3" fontId="19" fillId="7" borderId="0" xfId="28" applyNumberFormat="1" applyFont="1" applyFill="1" applyAlignment="1">
      <alignment horizontal="right"/>
    </xf>
    <xf numFmtId="3" fontId="19" fillId="8" borderId="0" xfId="28" applyNumberFormat="1" applyFont="1" applyFill="1" applyAlignment="1">
      <alignment horizontal="right"/>
    </xf>
    <xf numFmtId="0" fontId="36" fillId="5" borderId="0" xfId="28" applyFont="1" applyFill="1" applyAlignment="1">
      <alignment horizontal="right"/>
    </xf>
    <xf numFmtId="0" fontId="36" fillId="6" borderId="0" xfId="28" applyFont="1" applyFill="1" applyAlignment="1">
      <alignment horizontal="right"/>
    </xf>
    <xf numFmtId="0" fontId="36" fillId="7" borderId="0" xfId="28" applyFont="1" applyFill="1" applyAlignment="1">
      <alignment horizontal="right"/>
    </xf>
    <xf numFmtId="0" fontId="36" fillId="8" borderId="0" xfId="28" applyFont="1" applyFill="1" applyAlignment="1">
      <alignment horizontal="right"/>
    </xf>
    <xf numFmtId="0" fontId="36" fillId="0" borderId="0" xfId="0" applyFont="1" applyAlignment="1">
      <alignment horizontal="left" vertical="center"/>
    </xf>
    <xf numFmtId="3" fontId="20" fillId="0" borderId="0" xfId="28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5" borderId="0" xfId="28" applyFont="1" applyFill="1" applyAlignment="1">
      <alignment horizontal="center" vertical="center"/>
    </xf>
    <xf numFmtId="0" fontId="20" fillId="7" borderId="0" xfId="28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3" fontId="20" fillId="5" borderId="0" xfId="28" applyNumberFormat="1" applyFont="1" applyFill="1" applyAlignment="1">
      <alignment horizontal="right"/>
    </xf>
    <xf numFmtId="3" fontId="20" fillId="6" borderId="0" xfId="28" applyNumberFormat="1" applyFont="1" applyFill="1" applyAlignment="1">
      <alignment horizontal="right"/>
    </xf>
    <xf numFmtId="3" fontId="20" fillId="7" borderId="0" xfId="28" applyNumberFormat="1" applyFont="1" applyFill="1" applyAlignment="1">
      <alignment horizontal="right"/>
    </xf>
    <xf numFmtId="3" fontId="20" fillId="8" borderId="0" xfId="28" applyNumberFormat="1" applyFont="1" applyFill="1" applyAlignment="1">
      <alignment horizontal="right"/>
    </xf>
    <xf numFmtId="0" fontId="20" fillId="0" borderId="0" xfId="28" applyFont="1" applyAlignment="1">
      <alignment horizontal="right" vertical="center"/>
    </xf>
    <xf numFmtId="197" fontId="20" fillId="0" borderId="0" xfId="28" applyNumberFormat="1" applyFont="1" applyAlignment="1">
      <alignment horizontal="right" vertical="center"/>
    </xf>
    <xf numFmtId="0" fontId="20" fillId="0" borderId="0" xfId="28" applyFont="1" applyBorder="1" applyAlignment="1">
      <alignment horizontal="right" vertical="center"/>
    </xf>
    <xf numFmtId="0" fontId="20" fillId="0" borderId="0" xfId="28" applyFont="1" applyAlignment="1">
      <alignment horizontal="right"/>
    </xf>
    <xf numFmtId="0" fontId="20" fillId="5" borderId="15" xfId="28" applyFont="1" applyFill="1" applyBorder="1" applyAlignment="1">
      <alignment horizontal="right" vertical="center"/>
    </xf>
    <xf numFmtId="0" fontId="20" fillId="6" borderId="15" xfId="28" applyFont="1" applyFill="1" applyBorder="1" applyAlignment="1">
      <alignment horizontal="right" vertical="center"/>
    </xf>
    <xf numFmtId="0" fontId="20" fillId="7" borderId="15" xfId="28" applyFont="1" applyFill="1" applyBorder="1" applyAlignment="1">
      <alignment horizontal="right" vertical="center"/>
    </xf>
    <xf numFmtId="0" fontId="20" fillId="8" borderId="15" xfId="28" applyFont="1" applyFill="1" applyBorder="1" applyAlignment="1">
      <alignment horizontal="right" vertical="center"/>
    </xf>
    <xf numFmtId="1" fontId="20" fillId="0" borderId="0" xfId="28" applyNumberFormat="1" applyFont="1" applyAlignment="1">
      <alignment vertical="center"/>
    </xf>
    <xf numFmtId="0" fontId="20" fillId="5" borderId="16" xfId="28" applyFont="1" applyFill="1" applyBorder="1" applyAlignment="1">
      <alignment horizontal="right" vertical="center"/>
    </xf>
    <xf numFmtId="0" fontId="20" fillId="5" borderId="16" xfId="28" applyFont="1" applyFill="1" applyBorder="1" applyAlignment="1">
      <alignment horizontal="center" vertical="center"/>
    </xf>
    <xf numFmtId="0" fontId="20" fillId="6" borderId="16" xfId="28" applyFont="1" applyFill="1" applyBorder="1" applyAlignment="1">
      <alignment horizontal="right" vertical="center"/>
    </xf>
    <xf numFmtId="0" fontId="20" fillId="6" borderId="16" xfId="28" applyFont="1" applyFill="1" applyBorder="1" applyAlignment="1">
      <alignment horizontal="center" vertical="center"/>
    </xf>
    <xf numFmtId="0" fontId="20" fillId="7" borderId="16" xfId="28" applyFont="1" applyFill="1" applyBorder="1" applyAlignment="1">
      <alignment horizontal="right" vertical="center"/>
    </xf>
    <xf numFmtId="0" fontId="20" fillId="7" borderId="16" xfId="28" applyFont="1" applyFill="1" applyBorder="1" applyAlignment="1">
      <alignment horizontal="center" vertical="center"/>
    </xf>
    <xf numFmtId="0" fontId="20" fillId="8" borderId="16" xfId="28" applyFont="1" applyFill="1" applyBorder="1" applyAlignment="1">
      <alignment horizontal="right" vertical="center"/>
    </xf>
    <xf numFmtId="0" fontId="20" fillId="8" borderId="16" xfId="28" applyFont="1" applyFill="1" applyBorder="1" applyAlignment="1">
      <alignment horizontal="center" vertical="center"/>
    </xf>
    <xf numFmtId="0" fontId="20" fillId="0" borderId="0" xfId="27" applyFont="1" applyAlignment="1">
      <alignment horizontal="right" vertical="center"/>
    </xf>
    <xf numFmtId="195" fontId="7" fillId="5" borderId="0" xfId="1" applyNumberFormat="1" applyFont="1" applyFill="1" applyAlignment="1">
      <alignment horizontal="right"/>
    </xf>
    <xf numFmtId="195" fontId="7" fillId="6" borderId="0" xfId="4906" applyNumberFormat="1" applyFont="1" applyFill="1" applyAlignment="1">
      <alignment horizontal="right"/>
    </xf>
    <xf numFmtId="195" fontId="7" fillId="7" borderId="0" xfId="4906" applyNumberFormat="1" applyFont="1" applyFill="1" applyAlignment="1">
      <alignment horizontal="right"/>
    </xf>
    <xf numFmtId="3" fontId="20" fillId="8" borderId="0" xfId="0" applyNumberFormat="1" applyFont="1" applyFill="1" applyAlignment="1">
      <alignment horizontal="right"/>
    </xf>
    <xf numFmtId="0" fontId="33" fillId="0" borderId="0" xfId="28" applyFont="1" applyAlignment="1">
      <alignment horizontal="right"/>
    </xf>
    <xf numFmtId="0" fontId="32" fillId="5" borderId="0" xfId="28" applyFont="1" applyFill="1" applyAlignment="1">
      <alignment horizontal="right"/>
    </xf>
    <xf numFmtId="0" fontId="33" fillId="5" borderId="0" xfId="28" applyFont="1" applyFill="1"/>
    <xf numFmtId="0" fontId="32" fillId="6" borderId="0" xfId="28" applyFont="1" applyFill="1" applyAlignment="1">
      <alignment horizontal="right"/>
    </xf>
    <xf numFmtId="0" fontId="33" fillId="6" borderId="0" xfId="28" applyFont="1" applyFill="1"/>
    <xf numFmtId="0" fontId="32" fillId="7" borderId="0" xfId="28" applyFont="1" applyFill="1" applyAlignment="1">
      <alignment horizontal="right"/>
    </xf>
    <xf numFmtId="0" fontId="33" fillId="7" borderId="0" xfId="28" applyFont="1" applyFill="1"/>
    <xf numFmtId="0" fontId="32" fillId="8" borderId="0" xfId="28" applyFont="1" applyFill="1" applyAlignment="1">
      <alignment horizontal="right"/>
    </xf>
    <xf numFmtId="0" fontId="33" fillId="8" borderId="0" xfId="28" applyFont="1" applyFill="1"/>
    <xf numFmtId="0" fontId="32" fillId="0" borderId="0" xfId="28" applyFont="1" applyAlignment="1">
      <alignment horizontal="left" vertical="center"/>
    </xf>
    <xf numFmtId="0" fontId="52" fillId="0" borderId="0" xfId="0" applyFont="1" applyAlignment="1">
      <alignment horizontal="right"/>
    </xf>
    <xf numFmtId="3" fontId="19" fillId="0" borderId="0" xfId="28" applyNumberFormat="1" applyFont="1" applyAlignment="1">
      <alignment horizontal="right" vertical="center"/>
    </xf>
    <xf numFmtId="3" fontId="19" fillId="5" borderId="0" xfId="0" applyNumberFormat="1" applyFont="1" applyFill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9" fillId="5" borderId="0" xfId="28" quotePrefix="1" applyFont="1" applyFill="1" applyBorder="1" applyAlignment="1">
      <alignment horizontal="right" vertical="center"/>
    </xf>
    <xf numFmtId="3" fontId="19" fillId="6" borderId="0" xfId="28" applyNumberFormat="1" applyFont="1" applyFill="1" applyAlignment="1">
      <alignment horizontal="right" vertical="center"/>
    </xf>
    <xf numFmtId="0" fontId="9" fillId="6" borderId="0" xfId="28" quotePrefix="1" applyFont="1" applyFill="1" applyBorder="1" applyAlignment="1">
      <alignment horizontal="right" vertical="center"/>
    </xf>
    <xf numFmtId="3" fontId="19" fillId="7" borderId="0" xfId="28" applyNumberFormat="1" applyFont="1" applyFill="1" applyAlignment="1">
      <alignment horizontal="right" vertical="center"/>
    </xf>
    <xf numFmtId="0" fontId="19" fillId="7" borderId="0" xfId="28" applyFont="1" applyFill="1" applyAlignment="1">
      <alignment horizontal="right" vertical="center"/>
    </xf>
    <xf numFmtId="0" fontId="9" fillId="7" borderId="0" xfId="28" quotePrefix="1" applyFont="1" applyFill="1" applyBorder="1" applyAlignment="1">
      <alignment horizontal="right" vertical="center"/>
    </xf>
    <xf numFmtId="3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horizontal="right" vertical="center"/>
    </xf>
    <xf numFmtId="0" fontId="9" fillId="0" borderId="0" xfId="28" quotePrefix="1" applyFont="1" applyBorder="1" applyAlignment="1">
      <alignment horizontal="right" vertical="center"/>
    </xf>
    <xf numFmtId="199" fontId="19" fillId="6" borderId="0" xfId="28" applyNumberFormat="1" applyFont="1" applyFill="1" applyAlignment="1">
      <alignment horizontal="right" vertical="center"/>
    </xf>
    <xf numFmtId="199" fontId="19" fillId="7" borderId="0" xfId="28" applyNumberFormat="1" applyFont="1" applyFill="1" applyAlignment="1">
      <alignment horizontal="right" vertical="center"/>
    </xf>
    <xf numFmtId="199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196" fontId="32" fillId="0" borderId="1" xfId="1" applyNumberFormat="1" applyFont="1" applyFill="1" applyBorder="1" applyAlignment="1" applyProtection="1">
      <alignment horizontal="right" vertical="center"/>
    </xf>
    <xf numFmtId="196" fontId="32" fillId="0" borderId="1" xfId="0" applyNumberFormat="1" applyFont="1" applyBorder="1" applyAlignment="1">
      <alignment horizontal="right" vertical="center"/>
    </xf>
    <xf numFmtId="196" fontId="32" fillId="5" borderId="14" xfId="0" applyNumberFormat="1" applyFont="1" applyFill="1" applyBorder="1" applyAlignment="1">
      <alignment horizontal="right" vertical="center"/>
    </xf>
    <xf numFmtId="196" fontId="32" fillId="6" borderId="14" xfId="28" applyNumberFormat="1" applyFont="1" applyFill="1" applyBorder="1" applyAlignment="1">
      <alignment horizontal="right" vertical="center"/>
    </xf>
    <xf numFmtId="196" fontId="32" fillId="7" borderId="14" xfId="28" applyNumberFormat="1" applyFont="1" applyFill="1" applyBorder="1" applyAlignment="1">
      <alignment horizontal="right" vertical="center"/>
    </xf>
    <xf numFmtId="196" fontId="32" fillId="8" borderId="14" xfId="0" applyNumberFormat="1" applyFont="1" applyFill="1" applyBorder="1" applyAlignment="1">
      <alignment horizontal="right" vertical="center"/>
    </xf>
    <xf numFmtId="0" fontId="19" fillId="8" borderId="14" xfId="0" applyFont="1" applyFill="1" applyBorder="1" applyAlignment="1">
      <alignment vertical="center"/>
    </xf>
    <xf numFmtId="0" fontId="19" fillId="0" borderId="0" xfId="28" applyFont="1" applyBorder="1" applyAlignment="1">
      <alignment horizontal="right" vertical="center"/>
    </xf>
    <xf numFmtId="196" fontId="32" fillId="0" borderId="0" xfId="0" applyNumberFormat="1" applyFont="1" applyBorder="1" applyAlignment="1">
      <alignment horizontal="right" vertical="center"/>
    </xf>
    <xf numFmtId="196" fontId="32" fillId="5" borderId="0" xfId="0" applyNumberFormat="1" applyFont="1" applyFill="1" applyBorder="1" applyAlignment="1">
      <alignment horizontal="right" vertical="center"/>
    </xf>
    <xf numFmtId="196" fontId="32" fillId="6" borderId="0" xfId="4908" applyNumberFormat="1" applyFont="1" applyFill="1" applyBorder="1" applyAlignment="1" applyProtection="1">
      <alignment horizontal="right" vertical="center"/>
    </xf>
    <xf numFmtId="196" fontId="32" fillId="6" borderId="0" xfId="28" applyNumberFormat="1" applyFont="1" applyFill="1" applyBorder="1" applyAlignment="1">
      <alignment horizontal="right" vertical="center"/>
    </xf>
    <xf numFmtId="196" fontId="32" fillId="7" borderId="0" xfId="4908" applyNumberFormat="1" applyFont="1" applyFill="1" applyBorder="1" applyAlignment="1" applyProtection="1">
      <alignment horizontal="right" vertical="center"/>
    </xf>
    <xf numFmtId="196" fontId="32" fillId="7" borderId="0" xfId="28" applyNumberFormat="1" applyFont="1" applyFill="1" applyBorder="1" applyAlignment="1">
      <alignment horizontal="right" vertical="center"/>
    </xf>
    <xf numFmtId="196" fontId="32" fillId="8" borderId="0" xfId="4908" applyNumberFormat="1" applyFont="1" applyFill="1" applyBorder="1" applyAlignment="1" applyProtection="1">
      <alignment horizontal="right" vertical="center"/>
    </xf>
    <xf numFmtId="0" fontId="37" fillId="8" borderId="0" xfId="0" applyFont="1" applyFill="1" applyBorder="1" applyAlignment="1">
      <alignment vertical="center"/>
    </xf>
    <xf numFmtId="196" fontId="32" fillId="0" borderId="0" xfId="1" applyNumberFormat="1" applyFont="1" applyFill="1" applyBorder="1" applyAlignment="1" applyProtection="1">
      <alignment vertical="center"/>
    </xf>
    <xf numFmtId="196" fontId="32" fillId="0" borderId="0" xfId="0" applyNumberFormat="1" applyFont="1" applyBorder="1" applyAlignment="1">
      <alignment vertical="center"/>
    </xf>
    <xf numFmtId="196" fontId="32" fillId="5" borderId="0" xfId="1" applyNumberFormat="1" applyFont="1" applyFill="1" applyBorder="1" applyAlignment="1" applyProtection="1">
      <alignment vertical="center"/>
    </xf>
    <xf numFmtId="196" fontId="32" fillId="5" borderId="0" xfId="0" applyNumberFormat="1" applyFont="1" applyFill="1" applyBorder="1" applyAlignment="1">
      <alignment vertical="center"/>
    </xf>
    <xf numFmtId="196" fontId="32" fillId="6" borderId="0" xfId="4908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>
      <alignment vertical="center"/>
    </xf>
    <xf numFmtId="196" fontId="32" fillId="7" borderId="0" xfId="490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>
      <alignment vertical="center"/>
    </xf>
    <xf numFmtId="196" fontId="32" fillId="8" borderId="0" xfId="4908" applyNumberFormat="1" applyFont="1" applyFill="1" applyBorder="1" applyAlignment="1" applyProtection="1">
      <alignment vertical="center"/>
    </xf>
    <xf numFmtId="196" fontId="32" fillId="0" borderId="0" xfId="0" applyNumberFormat="1" applyFont="1" applyAlignment="1">
      <alignment vertical="center"/>
    </xf>
    <xf numFmtId="196" fontId="32" fillId="5" borderId="0" xfId="0" applyNumberFormat="1" applyFont="1" applyFill="1" applyAlignment="1">
      <alignment vertical="center"/>
    </xf>
    <xf numFmtId="196" fontId="32" fillId="6" borderId="0" xfId="28" applyNumberFormat="1" applyFont="1" applyFill="1" applyAlignment="1">
      <alignment vertical="center"/>
    </xf>
    <xf numFmtId="196" fontId="32" fillId="7" borderId="0" xfId="28" applyNumberFormat="1" applyFont="1" applyFill="1" applyAlignment="1">
      <alignment vertical="center"/>
    </xf>
    <xf numFmtId="0" fontId="37" fillId="8" borderId="0" xfId="0" applyFont="1" applyFill="1" applyAlignment="1">
      <alignment vertical="center"/>
    </xf>
    <xf numFmtId="196" fontId="32" fillId="0" borderId="0" xfId="0" applyNumberFormat="1" applyFont="1" applyBorder="1" applyAlignment="1" applyProtection="1">
      <alignment vertical="center"/>
    </xf>
    <xf numFmtId="196" fontId="32" fillId="5" borderId="0" xfId="0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 applyProtection="1">
      <alignment vertical="center"/>
    </xf>
    <xf numFmtId="0" fontId="37" fillId="8" borderId="0" xfId="0" applyFont="1" applyFill="1" applyBorder="1" applyAlignment="1" applyProtection="1">
      <alignment vertical="center"/>
    </xf>
    <xf numFmtId="196" fontId="32" fillId="0" borderId="0" xfId="0" applyNumberFormat="1" applyFont="1" applyAlignment="1" applyProtection="1">
      <alignment vertical="center"/>
    </xf>
    <xf numFmtId="196" fontId="32" fillId="5" borderId="0" xfId="0" applyNumberFormat="1" applyFont="1" applyFill="1" applyAlignment="1" applyProtection="1">
      <alignment vertical="center"/>
    </xf>
    <xf numFmtId="196" fontId="32" fillId="6" borderId="0" xfId="28" applyNumberFormat="1" applyFont="1" applyFill="1" applyAlignment="1" applyProtection="1">
      <alignment vertical="center"/>
    </xf>
    <xf numFmtId="196" fontId="32" fillId="7" borderId="0" xfId="28" applyNumberFormat="1" applyFont="1" applyFill="1" applyAlignment="1" applyProtection="1">
      <alignment vertical="center"/>
    </xf>
    <xf numFmtId="0" fontId="37" fillId="8" borderId="0" xfId="0" applyFont="1" applyFill="1" applyAlignment="1" applyProtection="1">
      <alignment vertical="center"/>
    </xf>
    <xf numFmtId="196" fontId="32" fillId="8" borderId="0" xfId="0" applyNumberFormat="1" applyFont="1" applyFill="1" applyAlignment="1">
      <alignment vertical="center"/>
    </xf>
    <xf numFmtId="0" fontId="20" fillId="0" borderId="0" xfId="0" applyFont="1" applyAlignment="1">
      <alignment horizontal="right" vertical="center"/>
    </xf>
    <xf numFmtId="196" fontId="33" fillId="0" borderId="0" xfId="1" applyNumberFormat="1" applyFont="1" applyFill="1" applyBorder="1" applyAlignment="1" applyProtection="1">
      <alignment vertical="center"/>
    </xf>
    <xf numFmtId="196" fontId="33" fillId="0" borderId="0" xfId="0" applyNumberFormat="1" applyFont="1" applyBorder="1" applyAlignment="1">
      <alignment vertical="center"/>
    </xf>
    <xf numFmtId="196" fontId="33" fillId="5" borderId="0" xfId="1" applyNumberFormat="1" applyFont="1" applyFill="1" applyBorder="1" applyAlignment="1" applyProtection="1">
      <alignment vertical="center"/>
    </xf>
    <xf numFmtId="196" fontId="33" fillId="5" borderId="0" xfId="0" applyNumberFormat="1" applyFont="1" applyFill="1" applyBorder="1" applyAlignment="1">
      <alignment vertical="center"/>
    </xf>
    <xf numFmtId="196" fontId="33" fillId="6" borderId="0" xfId="4908" applyNumberFormat="1" applyFont="1" applyFill="1" applyBorder="1" applyAlignment="1" applyProtection="1">
      <alignment vertical="center"/>
    </xf>
    <xf numFmtId="196" fontId="33" fillId="6" borderId="0" xfId="28" applyNumberFormat="1" applyFont="1" applyFill="1" applyBorder="1" applyAlignment="1">
      <alignment vertical="center"/>
    </xf>
    <xf numFmtId="196" fontId="33" fillId="7" borderId="0" xfId="4908" applyNumberFormat="1" applyFont="1" applyFill="1" applyBorder="1" applyAlignment="1" applyProtection="1">
      <alignment vertical="center"/>
    </xf>
    <xf numFmtId="196" fontId="33" fillId="7" borderId="0" xfId="28" applyNumberFormat="1" applyFont="1" applyFill="1" applyBorder="1" applyAlignment="1">
      <alignment vertical="center"/>
    </xf>
    <xf numFmtId="196" fontId="33" fillId="8" borderId="0" xfId="4908" applyNumberFormat="1" applyFont="1" applyFill="1" applyBorder="1" applyAlignment="1" applyProtection="1">
      <alignment vertical="center"/>
    </xf>
    <xf numFmtId="0" fontId="20" fillId="8" borderId="0" xfId="0" applyFont="1" applyFill="1" applyBorder="1" applyAlignment="1">
      <alignment horizontal="center"/>
    </xf>
    <xf numFmtId="195" fontId="33" fillId="0" borderId="0" xfId="0" applyNumberFormat="1" applyFont="1" applyAlignment="1">
      <alignment horizontal="right"/>
    </xf>
    <xf numFmtId="41" fontId="33" fillId="5" borderId="0" xfId="0" applyNumberFormat="1" applyFont="1" applyFill="1" applyBorder="1" applyAlignment="1">
      <alignment horizontal="right"/>
    </xf>
    <xf numFmtId="195" fontId="33" fillId="5" borderId="0" xfId="0" applyNumberFormat="1" applyFont="1" applyFill="1" applyAlignment="1">
      <alignment horizontal="right"/>
    </xf>
    <xf numFmtId="41" fontId="33" fillId="6" borderId="0" xfId="28" applyNumberFormat="1" applyFont="1" applyFill="1" applyBorder="1" applyAlignment="1">
      <alignment horizontal="right"/>
    </xf>
    <xf numFmtId="195" fontId="33" fillId="6" borderId="0" xfId="28" applyNumberFormat="1" applyFont="1" applyFill="1" applyAlignment="1">
      <alignment horizontal="right"/>
    </xf>
    <xf numFmtId="41" fontId="33" fillId="7" borderId="0" xfId="28" applyNumberFormat="1" applyFont="1" applyFill="1" applyBorder="1" applyAlignment="1">
      <alignment horizontal="right"/>
    </xf>
    <xf numFmtId="195" fontId="33" fillId="7" borderId="0" xfId="28" applyNumberFormat="1" applyFont="1" applyFill="1" applyAlignment="1">
      <alignment horizontal="right"/>
    </xf>
    <xf numFmtId="41" fontId="33" fillId="8" borderId="0" xfId="0" applyNumberFormat="1" applyFont="1" applyFill="1" applyBorder="1" applyAlignment="1">
      <alignment horizontal="right"/>
    </xf>
    <xf numFmtId="195" fontId="20" fillId="8" borderId="0" xfId="0" applyNumberFormat="1" applyFont="1" applyFill="1" applyAlignment="1">
      <alignment horizontal="left" vertical="center"/>
    </xf>
    <xf numFmtId="192" fontId="33" fillId="0" borderId="0" xfId="28" applyNumberFormat="1" applyFont="1" applyAlignment="1">
      <alignment horizontal="right"/>
    </xf>
    <xf numFmtId="0" fontId="32" fillId="0" borderId="0" xfId="0" applyFont="1" applyAlignment="1">
      <alignment horizontal="right"/>
    </xf>
    <xf numFmtId="41" fontId="32" fillId="5" borderId="0" xfId="1" applyNumberFormat="1" applyFont="1" applyFill="1" applyBorder="1" applyAlignment="1" applyProtection="1">
      <alignment horizontal="right"/>
    </xf>
    <xf numFmtId="0" fontId="32" fillId="5" borderId="0" xfId="0" applyFont="1" applyFill="1" applyAlignment="1">
      <alignment horizontal="right"/>
    </xf>
    <xf numFmtId="41" fontId="32" fillId="6" borderId="0" xfId="28" applyNumberFormat="1" applyFont="1" applyFill="1" applyAlignment="1">
      <alignment horizontal="right"/>
    </xf>
    <xf numFmtId="41" fontId="32" fillId="6" borderId="0" xfId="4908" applyNumberFormat="1" applyFont="1" applyFill="1" applyBorder="1" applyAlignment="1" applyProtection="1">
      <alignment horizontal="right"/>
    </xf>
    <xf numFmtId="41" fontId="32" fillId="7" borderId="0" xfId="28" applyNumberFormat="1" applyFont="1" applyFill="1" applyAlignment="1">
      <alignment horizontal="right"/>
    </xf>
    <xf numFmtId="41" fontId="32" fillId="7" borderId="0" xfId="4908" applyNumberFormat="1" applyFont="1" applyFill="1" applyBorder="1" applyAlignment="1" applyProtection="1">
      <alignment horizontal="right"/>
    </xf>
    <xf numFmtId="41" fontId="32" fillId="8" borderId="0" xfId="0" applyNumberFormat="1" applyFont="1" applyFill="1" applyAlignment="1">
      <alignment horizontal="right"/>
    </xf>
    <xf numFmtId="41" fontId="32" fillId="8" borderId="0" xfId="4908" applyNumberFormat="1" applyFont="1" applyFill="1" applyBorder="1" applyAlignment="1" applyProtection="1">
      <alignment horizontal="right"/>
    </xf>
    <xf numFmtId="0" fontId="3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right"/>
    </xf>
    <xf numFmtId="0" fontId="32" fillId="8" borderId="0" xfId="0" applyFont="1" applyFill="1" applyAlignment="1">
      <alignment horizontal="right"/>
    </xf>
    <xf numFmtId="3" fontId="20" fillId="0" borderId="0" xfId="28" applyNumberFormat="1" applyFont="1" applyAlignment="1">
      <alignment horizontal="right" vertical="center"/>
    </xf>
    <xf numFmtId="192" fontId="32" fillId="0" borderId="0" xfId="1" applyNumberFormat="1" applyFont="1" applyAlignment="1"/>
    <xf numFmtId="192" fontId="32" fillId="0" borderId="0" xfId="1" applyNumberFormat="1" applyFont="1" applyBorder="1" applyAlignment="1"/>
    <xf numFmtId="192" fontId="32" fillId="5" borderId="0" xfId="1" applyNumberFormat="1" applyFont="1" applyFill="1" applyAlignment="1"/>
    <xf numFmtId="192" fontId="32" fillId="5" borderId="0" xfId="1" applyNumberFormat="1" applyFont="1" applyFill="1" applyBorder="1" applyAlignment="1"/>
    <xf numFmtId="192" fontId="32" fillId="6" borderId="0" xfId="1" applyNumberFormat="1" applyFont="1" applyFill="1" applyAlignment="1"/>
    <xf numFmtId="192" fontId="32" fillId="6" borderId="0" xfId="1" applyNumberFormat="1" applyFont="1" applyFill="1" applyBorder="1" applyAlignment="1"/>
    <xf numFmtId="192" fontId="32" fillId="7" borderId="0" xfId="1" applyNumberFormat="1" applyFont="1" applyFill="1" applyAlignment="1"/>
    <xf numFmtId="192" fontId="32" fillId="7" borderId="0" xfId="1" applyNumberFormat="1" applyFont="1" applyFill="1" applyBorder="1" applyAlignment="1"/>
    <xf numFmtId="192" fontId="73" fillId="8" borderId="0" xfId="1" applyNumberFormat="1" applyFont="1" applyFill="1" applyAlignment="1"/>
    <xf numFmtId="0" fontId="37" fillId="8" borderId="0" xfId="0" applyFont="1" applyFill="1" applyBorder="1" applyAlignment="1">
      <alignment horizontal="left" vertical="center"/>
    </xf>
    <xf numFmtId="192" fontId="32" fillId="8" borderId="0" xfId="1" applyNumberFormat="1" applyFont="1" applyFill="1" applyAlignment="1"/>
    <xf numFmtId="192" fontId="32" fillId="0" borderId="0" xfId="1" applyNumberFormat="1" applyFont="1" applyBorder="1" applyAlignment="1" applyProtection="1"/>
    <xf numFmtId="192" fontId="32" fillId="5" borderId="0" xfId="1" applyNumberFormat="1" applyFont="1" applyFill="1" applyBorder="1" applyAlignment="1" applyProtection="1"/>
    <xf numFmtId="192" fontId="32" fillId="6" borderId="0" xfId="1" applyNumberFormat="1" applyFont="1" applyFill="1" applyBorder="1" applyAlignment="1" applyProtection="1"/>
    <xf numFmtId="192" fontId="32" fillId="7" borderId="0" xfId="1" applyNumberFormat="1" applyFont="1" applyFill="1" applyBorder="1" applyAlignment="1" applyProtection="1"/>
    <xf numFmtId="0" fontId="37" fillId="8" borderId="0" xfId="0" applyFont="1" applyFill="1" applyBorder="1" applyAlignment="1" applyProtection="1">
      <alignment horizontal="left" vertical="center"/>
    </xf>
    <xf numFmtId="192" fontId="32" fillId="0" borderId="0" xfId="1" applyNumberFormat="1" applyFont="1" applyAlignment="1" applyProtection="1"/>
    <xf numFmtId="192" fontId="32" fillId="5" borderId="0" xfId="1" applyNumberFormat="1" applyFont="1" applyFill="1" applyAlignment="1" applyProtection="1"/>
    <xf numFmtId="192" fontId="32" fillId="6" borderId="0" xfId="1" applyNumberFormat="1" applyFont="1" applyFill="1" applyAlignment="1" applyProtection="1"/>
    <xf numFmtId="192" fontId="32" fillId="7" borderId="0" xfId="1" applyNumberFormat="1" applyFont="1" applyFill="1" applyAlignment="1" applyProtection="1"/>
    <xf numFmtId="0" fontId="37" fillId="8" borderId="0" xfId="0" applyFont="1" applyFill="1" applyAlignment="1" applyProtection="1">
      <alignment horizontal="left" vertical="center"/>
    </xf>
    <xf numFmtId="192" fontId="33" fillId="0" borderId="0" xfId="1" applyNumberFormat="1" applyFont="1" applyAlignment="1"/>
    <xf numFmtId="192" fontId="33" fillId="5" borderId="0" xfId="1" applyNumberFormat="1" applyFont="1" applyFill="1" applyAlignment="1"/>
    <xf numFmtId="192" fontId="33" fillId="6" borderId="0" xfId="1" applyNumberFormat="1" applyFont="1" applyFill="1" applyAlignment="1"/>
    <xf numFmtId="192" fontId="33" fillId="7" borderId="0" xfId="1" applyNumberFormat="1" applyFont="1" applyFill="1" applyAlignment="1"/>
    <xf numFmtId="0" fontId="20" fillId="8" borderId="0" xfId="0" applyFont="1" applyFill="1" applyAlignment="1">
      <alignment horizontal="left" vertical="center"/>
    </xf>
    <xf numFmtId="192" fontId="33" fillId="8" borderId="0" xfId="1" applyNumberFormat="1" applyFont="1" applyFill="1" applyAlignment="1"/>
    <xf numFmtId="0" fontId="20" fillId="8" borderId="0" xfId="0" applyFont="1" applyFill="1" applyAlignment="1">
      <alignment horizontal="center"/>
    </xf>
    <xf numFmtId="1" fontId="20" fillId="0" borderId="0" xfId="28" applyNumberFormat="1" applyFont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5" borderId="15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horizontal="right" vertical="center"/>
    </xf>
    <xf numFmtId="0" fontId="20" fillId="8" borderId="15" xfId="0" applyFont="1" applyFill="1" applyBorder="1" applyAlignment="1">
      <alignment horizontal="right" vertical="center"/>
    </xf>
    <xf numFmtId="0" fontId="20" fillId="8" borderId="0" xfId="0" applyFont="1" applyFill="1" applyBorder="1" applyAlignment="1">
      <alignment horizontal="left" vertical="center"/>
    </xf>
    <xf numFmtId="0" fontId="20" fillId="0" borderId="16" xfId="28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3" fontId="20" fillId="5" borderId="16" xfId="1" applyNumberFormat="1" applyFont="1" applyFill="1" applyBorder="1" applyAlignment="1" applyProtection="1">
      <alignment vertical="center"/>
    </xf>
    <xf numFmtId="195" fontId="20" fillId="5" borderId="16" xfId="1" applyNumberFormat="1" applyFont="1" applyFill="1" applyBorder="1" applyAlignment="1" applyProtection="1">
      <alignment vertical="center"/>
    </xf>
    <xf numFmtId="0" fontId="20" fillId="5" borderId="16" xfId="0" applyFont="1" applyFill="1" applyBorder="1" applyAlignment="1">
      <alignment vertical="center"/>
    </xf>
    <xf numFmtId="3" fontId="20" fillId="6" borderId="16" xfId="4908" applyNumberFormat="1" applyFont="1" applyFill="1" applyBorder="1" applyAlignment="1" applyProtection="1">
      <alignment vertical="center"/>
    </xf>
    <xf numFmtId="195" fontId="20" fillId="6" borderId="16" xfId="4908" applyNumberFormat="1" applyFont="1" applyFill="1" applyBorder="1" applyAlignment="1" applyProtection="1">
      <alignment vertical="center"/>
    </xf>
    <xf numFmtId="0" fontId="20" fillId="6" borderId="16" xfId="28" applyFont="1" applyFill="1" applyBorder="1" applyAlignment="1">
      <alignment vertical="center"/>
    </xf>
    <xf numFmtId="3" fontId="20" fillId="7" borderId="16" xfId="4908" applyNumberFormat="1" applyFont="1" applyFill="1" applyBorder="1" applyAlignment="1" applyProtection="1">
      <alignment vertical="center"/>
    </xf>
    <xf numFmtId="195" fontId="20" fillId="7" borderId="16" xfId="4908" applyNumberFormat="1" applyFont="1" applyFill="1" applyBorder="1" applyAlignment="1" applyProtection="1">
      <alignment vertical="center"/>
    </xf>
    <xf numFmtId="0" fontId="20" fillId="7" borderId="16" xfId="28" applyFont="1" applyFill="1" applyBorder="1" applyAlignment="1">
      <alignment vertical="center"/>
    </xf>
    <xf numFmtId="3" fontId="20" fillId="8" borderId="16" xfId="4908" applyNumberFormat="1" applyFont="1" applyFill="1" applyBorder="1" applyAlignment="1" applyProtection="1">
      <alignment vertical="center"/>
    </xf>
    <xf numFmtId="195" fontId="20" fillId="8" borderId="16" xfId="4908" applyNumberFormat="1" applyFont="1" applyFill="1" applyBorder="1" applyAlignment="1" applyProtection="1">
      <alignment vertical="center"/>
    </xf>
    <xf numFmtId="0" fontId="20" fillId="8" borderId="16" xfId="0" applyFont="1" applyFill="1" applyBorder="1" applyAlignment="1">
      <alignment horizontal="left" vertical="center"/>
    </xf>
    <xf numFmtId="195" fontId="7" fillId="5" borderId="0" xfId="1" applyNumberFormat="1" applyFont="1" applyFill="1" applyAlignment="1">
      <alignment vertical="center"/>
    </xf>
    <xf numFmtId="195" fontId="7" fillId="6" borderId="0" xfId="4906" applyNumberFormat="1" applyFont="1" applyFill="1" applyAlignment="1">
      <alignment vertical="center"/>
    </xf>
    <xf numFmtId="195" fontId="7" fillId="7" borderId="0" xfId="4906" applyNumberFormat="1" applyFont="1" applyFill="1" applyAlignment="1">
      <alignment vertical="center"/>
    </xf>
    <xf numFmtId="3" fontId="20" fillId="8" borderId="0" xfId="0" applyNumberFormat="1" applyFont="1" applyFill="1" applyAlignment="1">
      <alignment vertical="center"/>
    </xf>
    <xf numFmtId="0" fontId="32" fillId="8" borderId="0" xfId="28" applyFont="1" applyFill="1" applyAlignment="1">
      <alignment vertical="center"/>
    </xf>
    <xf numFmtId="0" fontId="20" fillId="8" borderId="0" xfId="27" applyFont="1" applyFill="1" applyAlignment="1">
      <alignment horizontal="left" vertical="center"/>
    </xf>
    <xf numFmtId="0" fontId="32" fillId="5" borderId="0" xfId="28" applyFont="1" applyFill="1" applyAlignment="1">
      <alignment vertical="center"/>
    </xf>
    <xf numFmtId="0" fontId="32" fillId="6" borderId="0" xfId="28" applyFont="1" applyFill="1" applyAlignment="1">
      <alignment vertical="center"/>
    </xf>
    <xf numFmtId="0" fontId="33" fillId="8" borderId="0" xfId="28" applyFont="1" applyFill="1" applyAlignment="1">
      <alignment horizontal="left" vertical="center"/>
    </xf>
    <xf numFmtId="196" fontId="19" fillId="0" borderId="0" xfId="28" applyNumberFormat="1" applyFont="1"/>
    <xf numFmtId="0" fontId="68" fillId="0" borderId="0" xfId="0" applyFont="1" applyAlignment="1"/>
    <xf numFmtId="0" fontId="19" fillId="0" borderId="1" xfId="28" applyFont="1" applyBorder="1"/>
    <xf numFmtId="0" fontId="34" fillId="0" borderId="14" xfId="28" applyFont="1" applyBorder="1" applyAlignment="1">
      <alignment vertical="center"/>
    </xf>
    <xf numFmtId="190" fontId="19" fillId="5" borderId="14" xfId="28" applyNumberFormat="1" applyFont="1" applyFill="1" applyBorder="1" applyAlignment="1">
      <alignment horizontal="right" vertical="center"/>
    </xf>
    <xf numFmtId="0" fontId="34" fillId="5" borderId="14" xfId="28" applyFont="1" applyFill="1" applyBorder="1" applyAlignment="1">
      <alignment vertical="center"/>
    </xf>
    <xf numFmtId="190" fontId="19" fillId="6" borderId="14" xfId="28" applyNumberFormat="1" applyFont="1" applyFill="1" applyBorder="1" applyAlignment="1">
      <alignment horizontal="right" vertical="center"/>
    </xf>
    <xf numFmtId="0" fontId="34" fillId="6" borderId="14" xfId="28" applyFont="1" applyFill="1" applyBorder="1" applyAlignment="1">
      <alignment vertical="center"/>
    </xf>
    <xf numFmtId="190" fontId="19" fillId="7" borderId="14" xfId="28" applyNumberFormat="1" applyFont="1" applyFill="1" applyBorder="1" applyAlignment="1">
      <alignment horizontal="right" vertical="center"/>
    </xf>
    <xf numFmtId="0" fontId="34" fillId="7" borderId="14" xfId="28" applyFont="1" applyFill="1" applyBorder="1" applyAlignment="1">
      <alignment vertical="center"/>
    </xf>
    <xf numFmtId="190" fontId="19" fillId="8" borderId="14" xfId="28" applyNumberFormat="1" applyFont="1" applyFill="1" applyBorder="1" applyAlignment="1">
      <alignment horizontal="right" vertical="center"/>
    </xf>
    <xf numFmtId="0" fontId="34" fillId="8" borderId="14" xfId="28" applyFont="1" applyFill="1" applyBorder="1" applyAlignment="1">
      <alignment vertical="center"/>
    </xf>
    <xf numFmtId="0" fontId="20" fillId="0" borderId="0" xfId="0" applyFont="1" applyAlignment="1">
      <alignment horizontal="right"/>
    </xf>
    <xf numFmtId="196" fontId="20" fillId="0" borderId="0" xfId="4909" applyNumberFormat="1" applyFont="1" applyFill="1" applyBorder="1" applyAlignment="1" applyProtection="1">
      <alignment horizontal="right"/>
    </xf>
    <xf numFmtId="196" fontId="20" fillId="5" borderId="0" xfId="4909" applyNumberFormat="1" applyFont="1" applyFill="1" applyBorder="1" applyAlignment="1" applyProtection="1">
      <alignment horizontal="right"/>
    </xf>
    <xf numFmtId="0" fontId="34" fillId="5" borderId="0" xfId="28" applyFont="1" applyFill="1" applyBorder="1" applyAlignment="1"/>
    <xf numFmtId="196" fontId="20" fillId="6" borderId="0" xfId="4909" applyNumberFormat="1" applyFont="1" applyFill="1" applyBorder="1" applyAlignment="1" applyProtection="1">
      <alignment horizontal="right"/>
    </xf>
    <xf numFmtId="0" fontId="34" fillId="6" borderId="0" xfId="28" applyFont="1" applyFill="1" applyBorder="1" applyAlignment="1"/>
    <xf numFmtId="196" fontId="20" fillId="7" borderId="0" xfId="4909" applyNumberFormat="1" applyFont="1" applyFill="1" applyBorder="1" applyAlignment="1" applyProtection="1">
      <alignment horizontal="right"/>
    </xf>
    <xf numFmtId="0" fontId="34" fillId="7" borderId="0" xfId="28" applyFont="1" applyFill="1" applyBorder="1" applyAlignment="1"/>
    <xf numFmtId="199" fontId="19" fillId="8" borderId="0" xfId="28" applyNumberFormat="1" applyFont="1" applyFill="1" applyAlignment="1">
      <alignment horizontal="right"/>
    </xf>
    <xf numFmtId="41" fontId="19" fillId="8" borderId="0" xfId="28" applyNumberFormat="1" applyFont="1" applyFill="1" applyAlignment="1">
      <alignment horizontal="right"/>
    </xf>
    <xf numFmtId="0" fontId="34" fillId="8" borderId="0" xfId="28" applyFont="1" applyFill="1" applyBorder="1" applyAlignment="1"/>
    <xf numFmtId="0" fontId="34" fillId="5" borderId="0" xfId="28" applyFont="1" applyFill="1" applyAlignment="1"/>
    <xf numFmtId="0" fontId="34" fillId="6" borderId="0" xfId="28" applyFont="1" applyFill="1" applyAlignment="1"/>
    <xf numFmtId="0" fontId="34" fillId="7" borderId="0" xfId="28" applyFont="1" applyFill="1" applyAlignment="1"/>
    <xf numFmtId="196" fontId="19" fillId="8" borderId="0" xfId="4909" applyNumberFormat="1" applyFont="1" applyFill="1" applyBorder="1" applyAlignment="1" applyProtection="1">
      <alignment horizontal="right"/>
    </xf>
    <xf numFmtId="0" fontId="34" fillId="8" borderId="0" xfId="28" applyFont="1" applyFill="1" applyAlignment="1"/>
    <xf numFmtId="196" fontId="20" fillId="5" borderId="0" xfId="1" applyNumberFormat="1" applyFont="1" applyFill="1" applyBorder="1" applyAlignment="1" applyProtection="1">
      <alignment horizontal="right" vertical="center"/>
    </xf>
    <xf numFmtId="196" fontId="20" fillId="6" borderId="0" xfId="4909" applyNumberFormat="1" applyFont="1" applyFill="1" applyBorder="1" applyAlignment="1" applyProtection="1">
      <alignment horizontal="right" vertical="center"/>
    </xf>
    <xf numFmtId="196" fontId="20" fillId="7" borderId="0" xfId="4909" applyNumberFormat="1" applyFont="1" applyFill="1" applyBorder="1" applyAlignment="1" applyProtection="1">
      <alignment horizontal="right" vertical="center"/>
    </xf>
    <xf numFmtId="196" fontId="20" fillId="8" borderId="0" xfId="4909" applyNumberFormat="1" applyFont="1" applyFill="1" applyBorder="1" applyAlignment="1" applyProtection="1">
      <alignment horizontal="right" vertical="center"/>
    </xf>
    <xf numFmtId="190" fontId="20" fillId="0" borderId="0" xfId="0" applyNumberFormat="1" applyFont="1" applyAlignment="1">
      <alignment horizontal="right"/>
    </xf>
    <xf numFmtId="0" fontId="20" fillId="5" borderId="0" xfId="28" applyFont="1" applyFill="1" applyAlignment="1">
      <alignment horizontal="center"/>
    </xf>
    <xf numFmtId="0" fontId="20" fillId="6" borderId="0" xfId="28" applyFont="1" applyFill="1" applyAlignment="1">
      <alignment horizontal="center"/>
    </xf>
    <xf numFmtId="0" fontId="20" fillId="7" borderId="0" xfId="28" applyFont="1" applyFill="1" applyAlignment="1">
      <alignment horizontal="center"/>
    </xf>
    <xf numFmtId="196" fontId="20" fillId="8" borderId="0" xfId="4909" applyNumberFormat="1" applyFont="1" applyFill="1" applyBorder="1" applyAlignment="1" applyProtection="1">
      <alignment horizontal="right"/>
    </xf>
    <xf numFmtId="0" fontId="20" fillId="8" borderId="0" xfId="28" applyFont="1" applyFill="1" applyAlignment="1">
      <alignment horizontal="center"/>
    </xf>
    <xf numFmtId="0" fontId="20" fillId="5" borderId="0" xfId="28" applyFont="1" applyFill="1" applyBorder="1" applyAlignment="1">
      <alignment horizontal="right"/>
    </xf>
    <xf numFmtId="0" fontId="20" fillId="6" borderId="0" xfId="28" applyFont="1" applyFill="1" applyBorder="1" applyAlignment="1">
      <alignment horizontal="right"/>
    </xf>
    <xf numFmtId="0" fontId="20" fillId="7" borderId="0" xfId="28" applyFont="1" applyFill="1" applyBorder="1" applyAlignment="1">
      <alignment horizontal="right"/>
    </xf>
    <xf numFmtId="0" fontId="20" fillId="8" borderId="0" xfId="28" applyFont="1" applyFill="1" applyBorder="1" applyAlignment="1">
      <alignment horizontal="right"/>
    </xf>
    <xf numFmtId="3" fontId="20" fillId="0" borderId="0" xfId="28" applyNumberFormat="1" applyFont="1" applyAlignment="1">
      <alignment vertical="center"/>
    </xf>
    <xf numFmtId="3" fontId="19" fillId="5" borderId="0" xfId="1" applyNumberFormat="1" applyFont="1" applyFill="1" applyBorder="1" applyAlignment="1">
      <alignment horizontal="right" vertical="center"/>
    </xf>
    <xf numFmtId="3" fontId="19" fillId="5" borderId="0" xfId="28" applyNumberFormat="1" applyFont="1" applyFill="1" applyAlignment="1">
      <alignment horizontal="right" vertical="center"/>
    </xf>
    <xf numFmtId="0" fontId="34" fillId="5" borderId="0" xfId="28" applyFont="1" applyFill="1" applyBorder="1" applyAlignment="1">
      <alignment vertical="center"/>
    </xf>
    <xf numFmtId="192" fontId="19" fillId="6" borderId="0" xfId="1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vertical="center"/>
    </xf>
    <xf numFmtId="0" fontId="34" fillId="7" borderId="0" xfId="28" applyFont="1" applyFill="1" applyBorder="1" applyAlignment="1">
      <alignment vertical="center"/>
    </xf>
    <xf numFmtId="192" fontId="19" fillId="8" borderId="0" xfId="1" applyNumberFormat="1" applyFont="1" applyFill="1" applyAlignment="1">
      <alignment horizontal="right" vertical="center"/>
    </xf>
    <xf numFmtId="0" fontId="34" fillId="0" borderId="0" xfId="28" applyFont="1" applyAlignment="1">
      <alignment vertical="center"/>
    </xf>
    <xf numFmtId="3" fontId="19" fillId="5" borderId="0" xfId="28" applyNumberFormat="1" applyFont="1" applyFill="1" applyAlignment="1">
      <alignment vertical="center"/>
    </xf>
    <xf numFmtId="0" fontId="34" fillId="5" borderId="0" xfId="28" applyFont="1" applyFill="1" applyAlignment="1">
      <alignment vertical="center"/>
    </xf>
    <xf numFmtId="3" fontId="19" fillId="6" borderId="0" xfId="28" applyNumberFormat="1" applyFont="1" applyFill="1" applyAlignment="1">
      <alignment vertical="center"/>
    </xf>
    <xf numFmtId="0" fontId="34" fillId="6" borderId="0" xfId="28" applyFont="1" applyFill="1" applyAlignment="1">
      <alignment vertical="center"/>
    </xf>
    <xf numFmtId="3" fontId="19" fillId="7" borderId="0" xfId="28" applyNumberFormat="1" applyFont="1" applyFill="1" applyAlignment="1">
      <alignment vertical="center"/>
    </xf>
    <xf numFmtId="0" fontId="34" fillId="7" borderId="0" xfId="28" applyFont="1" applyFill="1" applyAlignment="1">
      <alignment vertical="center"/>
    </xf>
    <xf numFmtId="192" fontId="19" fillId="8" borderId="0" xfId="1" applyNumberFormat="1" applyFont="1" applyFill="1" applyAlignment="1">
      <alignment vertical="center"/>
    </xf>
    <xf numFmtId="0" fontId="34" fillId="8" borderId="0" xfId="28" applyFont="1" applyFill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6" borderId="0" xfId="28" applyNumberFormat="1" applyFont="1" applyFill="1" applyAlignment="1">
      <alignment vertical="center"/>
    </xf>
    <xf numFmtId="3" fontId="36" fillId="7" borderId="0" xfId="28" applyNumberFormat="1" applyFont="1" applyFill="1" applyAlignment="1">
      <alignment vertical="center"/>
    </xf>
    <xf numFmtId="192" fontId="36" fillId="8" borderId="0" xfId="1" applyNumberFormat="1" applyFont="1" applyFill="1" applyAlignment="1">
      <alignment vertical="center"/>
    </xf>
    <xf numFmtId="3" fontId="20" fillId="5" borderId="0" xfId="28" applyNumberFormat="1" applyFont="1" applyFill="1" applyAlignment="1">
      <alignment vertical="center"/>
    </xf>
    <xf numFmtId="3" fontId="20" fillId="6" borderId="0" xfId="28" applyNumberFormat="1" applyFont="1" applyFill="1" applyAlignment="1">
      <alignment vertical="center"/>
    </xf>
    <xf numFmtId="3" fontId="20" fillId="7" borderId="0" xfId="28" applyNumberFormat="1" applyFont="1" applyFill="1" applyAlignment="1">
      <alignment vertical="center"/>
    </xf>
    <xf numFmtId="192" fontId="20" fillId="8" borderId="0" xfId="1" applyNumberFormat="1" applyFont="1" applyFill="1" applyAlignment="1">
      <alignment vertical="center"/>
    </xf>
    <xf numFmtId="0" fontId="19" fillId="5" borderId="0" xfId="28" applyFont="1" applyFill="1"/>
    <xf numFmtId="0" fontId="20" fillId="5" borderId="0" xfId="28" applyFont="1" applyFill="1"/>
    <xf numFmtId="0" fontId="19" fillId="6" borderId="0" xfId="28" applyFont="1" applyFill="1"/>
    <xf numFmtId="0" fontId="20" fillId="6" borderId="0" xfId="28" applyFont="1" applyFill="1"/>
    <xf numFmtId="0" fontId="19" fillId="7" borderId="0" xfId="28" applyFont="1" applyFill="1"/>
    <xf numFmtId="0" fontId="20" fillId="7" borderId="0" xfId="28" applyFont="1" applyFill="1"/>
    <xf numFmtId="0" fontId="19" fillId="8" borderId="0" xfId="28" applyFont="1" applyFill="1"/>
    <xf numFmtId="0" fontId="20" fillId="8" borderId="0" xfId="28" applyFont="1" applyFill="1"/>
    <xf numFmtId="0" fontId="32" fillId="5" borderId="0" xfId="28" applyFont="1" applyFill="1"/>
    <xf numFmtId="0" fontId="32" fillId="6" borderId="0" xfId="28" applyFont="1" applyFill="1"/>
    <xf numFmtId="0" fontId="32" fillId="7" borderId="0" xfId="28" applyFont="1" applyFill="1"/>
    <xf numFmtId="0" fontId="32" fillId="8" borderId="0" xfId="28" applyFont="1" applyFill="1"/>
    <xf numFmtId="0" fontId="70" fillId="0" borderId="0" xfId="0" applyFont="1" applyAlignment="1"/>
    <xf numFmtId="0" fontId="67" fillId="0" borderId="0" xfId="28" applyFont="1" applyAlignment="1"/>
    <xf numFmtId="0" fontId="39" fillId="0" borderId="0" xfId="28" applyFont="1" applyFill="1" applyBorder="1" applyAlignment="1"/>
    <xf numFmtId="3" fontId="19" fillId="5" borderId="0" xfId="28" applyNumberFormat="1" applyFont="1" applyFill="1" applyAlignment="1"/>
    <xf numFmtId="0" fontId="19" fillId="5" borderId="0" xfId="28" applyFont="1" applyFill="1" applyAlignment="1"/>
    <xf numFmtId="0" fontId="39" fillId="5" borderId="0" xfId="28" applyFont="1" applyFill="1" applyBorder="1" applyAlignment="1"/>
    <xf numFmtId="3" fontId="19" fillId="6" borderId="0" xfId="28" applyNumberFormat="1" applyFont="1" applyFill="1" applyAlignment="1"/>
    <xf numFmtId="0" fontId="19" fillId="6" borderId="0" xfId="28" applyFont="1" applyFill="1" applyAlignment="1"/>
    <xf numFmtId="0" fontId="39" fillId="6" borderId="0" xfId="28" applyFont="1" applyFill="1" applyBorder="1" applyAlignment="1"/>
    <xf numFmtId="3" fontId="19" fillId="7" borderId="0" xfId="28" applyNumberFormat="1" applyFont="1" applyFill="1" applyAlignment="1"/>
    <xf numFmtId="0" fontId="19" fillId="7" borderId="0" xfId="28" applyFont="1" applyFill="1" applyAlignment="1"/>
    <xf numFmtId="0" fontId="39" fillId="7" borderId="0" xfId="28" applyFont="1" applyFill="1" applyBorder="1" applyAlignment="1"/>
    <xf numFmtId="3" fontId="19" fillId="8" borderId="0" xfId="28" applyNumberFormat="1" applyFont="1" applyFill="1" applyAlignment="1"/>
    <xf numFmtId="43" fontId="19" fillId="8" borderId="0" xfId="1" applyFont="1" applyFill="1" applyAlignment="1"/>
    <xf numFmtId="0" fontId="39" fillId="8" borderId="0" xfId="28" applyFont="1" applyFill="1" applyBorder="1" applyAlignment="1"/>
    <xf numFmtId="0" fontId="19" fillId="8" borderId="0" xfId="28" applyFont="1" applyFill="1" applyAlignment="1"/>
    <xf numFmtId="0" fontId="19" fillId="0" borderId="1" xfId="28" applyFont="1" applyBorder="1" applyAlignment="1"/>
    <xf numFmtId="0" fontId="19" fillId="5" borderId="14" xfId="28" applyFont="1" applyFill="1" applyBorder="1" applyAlignment="1"/>
    <xf numFmtId="0" fontId="19" fillId="6" borderId="14" xfId="28" applyFont="1" applyFill="1" applyBorder="1" applyAlignment="1"/>
    <xf numFmtId="0" fontId="19" fillId="7" borderId="14" xfId="28" applyFont="1" applyFill="1" applyBorder="1" applyAlignment="1"/>
    <xf numFmtId="0" fontId="19" fillId="8" borderId="14" xfId="28" applyFont="1" applyFill="1" applyBorder="1" applyAlignment="1"/>
    <xf numFmtId="196" fontId="19" fillId="0" borderId="0" xfId="1" applyNumberFormat="1" applyFont="1" applyFill="1" applyBorder="1" applyAlignment="1" applyProtection="1">
      <alignment horizontal="right"/>
    </xf>
    <xf numFmtId="196" fontId="19" fillId="5" borderId="0" xfId="1" applyNumberFormat="1" applyFont="1" applyFill="1" applyBorder="1" applyAlignment="1" applyProtection="1">
      <alignment horizontal="right"/>
    </xf>
    <xf numFmtId="0" fontId="10" fillId="5" borderId="0" xfId="28" applyFont="1" applyFill="1" applyBorder="1" applyAlignment="1">
      <alignment horizontal="left"/>
    </xf>
    <xf numFmtId="196" fontId="19" fillId="6" borderId="0" xfId="650" applyNumberFormat="1" applyFont="1" applyFill="1" applyBorder="1" applyAlignment="1" applyProtection="1">
      <alignment horizontal="right"/>
    </xf>
    <xf numFmtId="0" fontId="10" fillId="6" borderId="0" xfId="28" applyFont="1" applyFill="1" applyBorder="1" applyAlignment="1">
      <alignment horizontal="left"/>
    </xf>
    <xf numFmtId="196" fontId="19" fillId="7" borderId="0" xfId="650" applyNumberFormat="1" applyFont="1" applyFill="1" applyBorder="1" applyAlignment="1" applyProtection="1">
      <alignment horizontal="right"/>
    </xf>
    <xf numFmtId="0" fontId="10" fillId="7" borderId="0" xfId="28" applyFont="1" applyFill="1" applyBorder="1" applyAlignment="1">
      <alignment horizontal="left"/>
    </xf>
    <xf numFmtId="196" fontId="32" fillId="8" borderId="0" xfId="650" applyNumberFormat="1" applyFont="1" applyFill="1" applyBorder="1" applyAlignment="1" applyProtection="1">
      <alignment horizontal="right"/>
    </xf>
    <xf numFmtId="0" fontId="19" fillId="8" borderId="0" xfId="28" applyFont="1" applyFill="1" applyBorder="1" applyAlignment="1">
      <alignment horizontal="left"/>
    </xf>
    <xf numFmtId="0" fontId="10" fillId="5" borderId="0" xfId="28" applyFont="1" applyFill="1" applyAlignment="1">
      <alignment horizontal="left"/>
    </xf>
    <xf numFmtId="0" fontId="10" fillId="6" borderId="0" xfId="28" applyFont="1" applyFill="1" applyAlignment="1">
      <alignment horizontal="left"/>
    </xf>
    <xf numFmtId="0" fontId="10" fillId="7" borderId="0" xfId="28" applyFont="1" applyFill="1" applyAlignment="1">
      <alignment horizontal="left"/>
    </xf>
    <xf numFmtId="0" fontId="19" fillId="8" borderId="0" xfId="28" applyFont="1" applyFill="1" applyAlignment="1">
      <alignment horizontal="left"/>
    </xf>
    <xf numFmtId="17" fontId="10" fillId="5" borderId="0" xfId="28" applyNumberFormat="1" applyFont="1" applyFill="1" applyAlignment="1">
      <alignment horizontal="left"/>
    </xf>
    <xf numFmtId="17" fontId="10" fillId="6" borderId="0" xfId="28" applyNumberFormat="1" applyFont="1" applyFill="1" applyAlignment="1">
      <alignment horizontal="left"/>
    </xf>
    <xf numFmtId="17" fontId="10" fillId="7" borderId="0" xfId="28" applyNumberFormat="1" applyFont="1" applyFill="1" applyAlignment="1">
      <alignment horizontal="left"/>
    </xf>
    <xf numFmtId="17" fontId="19" fillId="8" borderId="0" xfId="28" applyNumberFormat="1" applyFont="1" applyFill="1" applyAlignment="1">
      <alignment horizontal="left"/>
    </xf>
    <xf numFmtId="196" fontId="20" fillId="5" borderId="0" xfId="1" applyNumberFormat="1" applyFont="1" applyFill="1" applyBorder="1" applyAlignment="1" applyProtection="1">
      <alignment horizontal="right"/>
    </xf>
    <xf numFmtId="196" fontId="20" fillId="6" borderId="0" xfId="650" applyNumberFormat="1" applyFont="1" applyFill="1" applyBorder="1" applyAlignment="1" applyProtection="1">
      <alignment horizontal="right"/>
    </xf>
    <xf numFmtId="196" fontId="20" fillId="7" borderId="0" xfId="650" applyNumberFormat="1" applyFont="1" applyFill="1" applyBorder="1" applyAlignment="1" applyProtection="1">
      <alignment horizontal="right"/>
    </xf>
    <xf numFmtId="196" fontId="33" fillId="8" borderId="0" xfId="650" applyNumberFormat="1" applyFont="1" applyFill="1" applyBorder="1" applyAlignment="1" applyProtection="1">
      <alignment horizontal="right"/>
    </xf>
    <xf numFmtId="196" fontId="33" fillId="0" borderId="0" xfId="1" applyNumberFormat="1" applyFont="1" applyFill="1" applyBorder="1" applyAlignment="1" applyProtection="1">
      <alignment horizontal="right"/>
    </xf>
    <xf numFmtId="0" fontId="33" fillId="0" borderId="0" xfId="28" applyFont="1" applyAlignment="1">
      <alignment horizontal="center"/>
    </xf>
    <xf numFmtId="196" fontId="33" fillId="5" borderId="0" xfId="1" applyNumberFormat="1" applyFont="1" applyFill="1" applyBorder="1" applyAlignment="1" applyProtection="1">
      <alignment horizontal="right"/>
    </xf>
    <xf numFmtId="0" fontId="33" fillId="5" borderId="0" xfId="28" applyFont="1" applyFill="1" applyAlignment="1">
      <alignment horizontal="center"/>
    </xf>
    <xf numFmtId="196" fontId="33" fillId="6" borderId="0" xfId="650" applyNumberFormat="1" applyFont="1" applyFill="1" applyBorder="1" applyAlignment="1" applyProtection="1">
      <alignment horizontal="right"/>
    </xf>
    <xf numFmtId="0" fontId="33" fillId="6" borderId="0" xfId="28" applyFont="1" applyFill="1" applyAlignment="1">
      <alignment horizontal="center"/>
    </xf>
    <xf numFmtId="196" fontId="33" fillId="7" borderId="0" xfId="650" applyNumberFormat="1" applyFont="1" applyFill="1" applyBorder="1" applyAlignment="1" applyProtection="1">
      <alignment horizontal="right"/>
    </xf>
    <xf numFmtId="0" fontId="33" fillId="7" borderId="0" xfId="28" applyFont="1" applyFill="1" applyAlignment="1">
      <alignment horizontal="center"/>
    </xf>
    <xf numFmtId="0" fontId="33" fillId="8" borderId="0" xfId="28" applyFont="1" applyFill="1" applyAlignment="1">
      <alignment horizontal="center"/>
    </xf>
    <xf numFmtId="0" fontId="33" fillId="5" borderId="0" xfId="28" applyFont="1" applyFill="1" applyBorder="1" applyAlignment="1">
      <alignment horizontal="right"/>
    </xf>
    <xf numFmtId="0" fontId="33" fillId="6" borderId="0" xfId="28" applyFont="1" applyFill="1" applyBorder="1" applyAlignment="1">
      <alignment horizontal="right"/>
    </xf>
    <xf numFmtId="0" fontId="33" fillId="7" borderId="0" xfId="28" applyFont="1" applyFill="1" applyBorder="1" applyAlignment="1">
      <alignment horizontal="right"/>
    </xf>
    <xf numFmtId="0" fontId="33" fillId="8" borderId="0" xfId="28" applyFont="1" applyFill="1" applyBorder="1" applyAlignment="1">
      <alignment horizontal="right"/>
    </xf>
    <xf numFmtId="195" fontId="19" fillId="5" borderId="0" xfId="1" applyNumberFormat="1" applyFont="1" applyFill="1" applyBorder="1" applyAlignment="1" applyProtection="1">
      <alignment horizontal="right"/>
    </xf>
    <xf numFmtId="195" fontId="19" fillId="6" borderId="0" xfId="650" applyNumberFormat="1" applyFont="1" applyFill="1" applyBorder="1" applyAlignment="1" applyProtection="1">
      <alignment horizontal="right"/>
    </xf>
    <xf numFmtId="195" fontId="19" fillId="7" borderId="0" xfId="650" applyNumberFormat="1" applyFont="1" applyFill="1" applyBorder="1" applyAlignment="1" applyProtection="1">
      <alignment horizontal="right"/>
    </xf>
    <xf numFmtId="3" fontId="32" fillId="8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/>
    </xf>
    <xf numFmtId="195" fontId="20" fillId="5" borderId="0" xfId="1" applyNumberFormat="1" applyFont="1" applyFill="1" applyBorder="1" applyAlignment="1" applyProtection="1">
      <alignment horizontal="right"/>
    </xf>
    <xf numFmtId="195" fontId="20" fillId="5" borderId="0" xfId="1" applyNumberFormat="1" applyFont="1" applyFill="1" applyBorder="1" applyAlignment="1" applyProtection="1"/>
    <xf numFmtId="195" fontId="20" fillId="6" borderId="0" xfId="650" applyNumberFormat="1" applyFont="1" applyFill="1" applyBorder="1" applyAlignment="1" applyProtection="1">
      <alignment horizontal="right"/>
    </xf>
    <xf numFmtId="195" fontId="20" fillId="6" borderId="0" xfId="650" applyNumberFormat="1" applyFont="1" applyFill="1" applyBorder="1" applyAlignment="1" applyProtection="1"/>
    <xf numFmtId="195" fontId="20" fillId="7" borderId="0" xfId="650" applyNumberFormat="1" applyFont="1" applyFill="1" applyBorder="1" applyAlignment="1" applyProtection="1">
      <alignment horizontal="right"/>
    </xf>
    <xf numFmtId="195" fontId="20" fillId="7" borderId="0" xfId="650" applyNumberFormat="1" applyFont="1" applyFill="1" applyBorder="1" applyAlignment="1" applyProtection="1"/>
    <xf numFmtId="3" fontId="74" fillId="8" borderId="0" xfId="0" applyNumberFormat="1" applyFont="1" applyFill="1" applyAlignment="1">
      <alignment horizontal="right"/>
    </xf>
    <xf numFmtId="195" fontId="12" fillId="7" borderId="0" xfId="650" applyNumberFormat="1" applyFont="1" applyFill="1" applyBorder="1" applyAlignment="1" applyProtection="1">
      <alignment horizontal="right"/>
    </xf>
    <xf numFmtId="3" fontId="33" fillId="8" borderId="0" xfId="0" applyNumberFormat="1" applyFont="1" applyFill="1" applyAlignment="1">
      <alignment horizontal="right"/>
    </xf>
    <xf numFmtId="0" fontId="33" fillId="0" borderId="0" xfId="28" applyFont="1" applyBorder="1" applyAlignment="1">
      <alignment horizontal="right"/>
    </xf>
    <xf numFmtId="0" fontId="33" fillId="5" borderId="15" xfId="28" applyFont="1" applyFill="1" applyBorder="1" applyAlignment="1">
      <alignment horizontal="right"/>
    </xf>
    <xf numFmtId="0" fontId="33" fillId="6" borderId="15" xfId="28" applyFont="1" applyFill="1" applyBorder="1" applyAlignment="1">
      <alignment horizontal="right"/>
    </xf>
    <xf numFmtId="0" fontId="33" fillId="7" borderId="15" xfId="28" applyFont="1" applyFill="1" applyBorder="1" applyAlignment="1">
      <alignment horizontal="right"/>
    </xf>
    <xf numFmtId="0" fontId="33" fillId="8" borderId="15" xfId="28" applyFont="1" applyFill="1" applyBorder="1" applyAlignment="1">
      <alignment horizontal="right"/>
    </xf>
    <xf numFmtId="0" fontId="18" fillId="0" borderId="16" xfId="28" applyFont="1" applyBorder="1" applyAlignment="1">
      <alignment horizontal="center"/>
    </xf>
    <xf numFmtId="0" fontId="20" fillId="5" borderId="16" xfId="28" applyFont="1" applyFill="1" applyBorder="1" applyAlignment="1">
      <alignment horizontal="right"/>
    </xf>
    <xf numFmtId="0" fontId="18" fillId="5" borderId="16" xfId="28" applyFont="1" applyFill="1" applyBorder="1" applyAlignment="1">
      <alignment horizontal="center"/>
    </xf>
    <xf numFmtId="0" fontId="20" fillId="6" borderId="16" xfId="28" applyFont="1" applyFill="1" applyBorder="1" applyAlignment="1">
      <alignment horizontal="right"/>
    </xf>
    <xf numFmtId="0" fontId="18" fillId="6" borderId="16" xfId="28" applyFont="1" applyFill="1" applyBorder="1" applyAlignment="1">
      <alignment horizontal="center"/>
    </xf>
    <xf numFmtId="0" fontId="20" fillId="7" borderId="16" xfId="28" applyFont="1" applyFill="1" applyBorder="1" applyAlignment="1">
      <alignment horizontal="right"/>
    </xf>
    <xf numFmtId="0" fontId="18" fillId="7" borderId="16" xfId="28" applyFont="1" applyFill="1" applyBorder="1" applyAlignment="1">
      <alignment horizontal="center"/>
    </xf>
    <xf numFmtId="0" fontId="20" fillId="8" borderId="16" xfId="28" applyFont="1" applyFill="1" applyBorder="1" applyAlignment="1">
      <alignment horizontal="right"/>
    </xf>
    <xf numFmtId="0" fontId="18" fillId="8" borderId="16" xfId="28" applyFont="1" applyFill="1" applyBorder="1" applyAlignment="1">
      <alignment horizontal="center"/>
    </xf>
    <xf numFmtId="0" fontId="20" fillId="5" borderId="0" xfId="28" applyFont="1" applyFill="1" applyAlignment="1"/>
    <xf numFmtId="0" fontId="20" fillId="6" borderId="0" xfId="28" applyFont="1" applyFill="1" applyAlignment="1"/>
    <xf numFmtId="0" fontId="20" fillId="7" borderId="0" xfId="28" applyFont="1" applyFill="1" applyAlignment="1"/>
    <xf numFmtId="0" fontId="20" fillId="8" borderId="0" xfId="28" applyFont="1" applyFill="1" applyAlignment="1"/>
    <xf numFmtId="0" fontId="32" fillId="5" borderId="0" xfId="28" applyFont="1" applyFill="1" applyAlignment="1"/>
    <xf numFmtId="0" fontId="32" fillId="6" borderId="0" xfId="28" applyFont="1" applyFill="1" applyAlignment="1"/>
    <xf numFmtId="0" fontId="32" fillId="7" borderId="0" xfId="28" applyFont="1" applyFill="1" applyAlignment="1"/>
    <xf numFmtId="0" fontId="9" fillId="0" borderId="0" xfId="30" applyFont="1" applyAlignment="1">
      <alignment horizontal="right" vertical="center"/>
    </xf>
    <xf numFmtId="0" fontId="9" fillId="0" borderId="0" xfId="28" applyFont="1" applyAlignment="1">
      <alignment horizontal="right"/>
    </xf>
    <xf numFmtId="196" fontId="9" fillId="0" borderId="0" xfId="28" applyNumberFormat="1" applyFont="1" applyAlignment="1">
      <alignment horizontal="right"/>
    </xf>
    <xf numFmtId="0" fontId="9" fillId="5" borderId="0" xfId="30" applyFont="1" applyFill="1" applyAlignment="1">
      <alignment horizontal="right" vertical="center"/>
    </xf>
    <xf numFmtId="196" fontId="9" fillId="6" borderId="0" xfId="28" applyNumberFormat="1" applyFont="1" applyFill="1" applyAlignment="1">
      <alignment horizontal="right" vertical="center"/>
    </xf>
    <xf numFmtId="196" fontId="9" fillId="7" borderId="0" xfId="28" applyNumberFormat="1" applyFont="1" applyFill="1" applyAlignment="1">
      <alignment horizontal="right" vertical="center"/>
    </xf>
    <xf numFmtId="196" fontId="9" fillId="8" borderId="0" xfId="28" applyNumberFormat="1" applyFont="1" applyFill="1" applyAlignment="1">
      <alignment horizontal="right" vertical="center"/>
    </xf>
    <xf numFmtId="0" fontId="9" fillId="5" borderId="0" xfId="28" applyFont="1" applyFill="1" applyAlignment="1">
      <alignment horizontal="right" vertical="center"/>
    </xf>
    <xf numFmtId="0" fontId="9" fillId="6" borderId="0" xfId="28" applyFont="1" applyFill="1" applyAlignment="1">
      <alignment horizontal="right" vertical="center"/>
    </xf>
    <xf numFmtId="0" fontId="9" fillId="7" borderId="0" xfId="28" applyFont="1" applyFill="1" applyAlignment="1">
      <alignment horizontal="right" vertical="center"/>
    </xf>
    <xf numFmtId="0" fontId="9" fillId="8" borderId="0" xfId="28" applyFont="1" applyFill="1" applyAlignment="1">
      <alignment horizontal="right" vertical="center"/>
    </xf>
    <xf numFmtId="196" fontId="9" fillId="5" borderId="1" xfId="30" applyNumberFormat="1" applyFont="1" applyFill="1" applyBorder="1" applyAlignment="1">
      <alignment horizontal="right" vertical="center"/>
    </xf>
    <xf numFmtId="0" fontId="9" fillId="5" borderId="14" xfId="30" applyFont="1" applyFill="1" applyBorder="1" applyAlignment="1">
      <alignment horizontal="right" vertical="center"/>
    </xf>
    <xf numFmtId="0" fontId="9" fillId="6" borderId="14" xfId="28" applyFont="1" applyFill="1" applyBorder="1" applyAlignment="1">
      <alignment horizontal="right" vertical="center"/>
    </xf>
    <xf numFmtId="0" fontId="9" fillId="7" borderId="14" xfId="28" applyFont="1" applyFill="1" applyBorder="1" applyAlignment="1">
      <alignment horizontal="right" vertical="center"/>
    </xf>
    <xf numFmtId="0" fontId="9" fillId="8" borderId="14" xfId="28" applyFont="1" applyFill="1" applyBorder="1" applyAlignment="1">
      <alignment horizontal="right" vertical="center"/>
    </xf>
    <xf numFmtId="198" fontId="7" fillId="6" borderId="0" xfId="24" applyNumberFormat="1" applyFont="1" applyFill="1" applyBorder="1" applyAlignment="1" applyProtection="1">
      <alignment horizontal="right" vertical="center"/>
    </xf>
    <xf numFmtId="198" fontId="7" fillId="5" borderId="0" xfId="1" applyNumberFormat="1" applyFont="1" applyFill="1" applyBorder="1" applyAlignment="1" applyProtection="1">
      <alignment horizontal="right" vertical="center"/>
    </xf>
    <xf numFmtId="198" fontId="7" fillId="8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Alignment="1">
      <alignment vertical="center"/>
    </xf>
    <xf numFmtId="0" fontId="69" fillId="7" borderId="0" xfId="28" applyFont="1" applyFill="1" applyBorder="1" applyAlignment="1">
      <alignment vertical="center"/>
    </xf>
    <xf numFmtId="196" fontId="7" fillId="8" borderId="0" xfId="24" applyNumberFormat="1" applyFont="1" applyFill="1" applyBorder="1" applyAlignment="1" applyProtection="1">
      <alignment horizontal="right" vertical="center"/>
    </xf>
    <xf numFmtId="0" fontId="7" fillId="5" borderId="0" xfId="30" applyFont="1" applyFill="1" applyBorder="1" applyAlignment="1">
      <alignment horizontal="right" vertical="center"/>
    </xf>
    <xf numFmtId="0" fontId="7" fillId="6" borderId="0" xfId="28" applyFont="1" applyFill="1" applyBorder="1" applyAlignment="1">
      <alignment horizontal="right" vertical="center"/>
    </xf>
    <xf numFmtId="0" fontId="7" fillId="6" borderId="0" xfId="28" applyFont="1" applyFill="1" applyAlignment="1">
      <alignment horizontal="right" vertical="center"/>
    </xf>
    <xf numFmtId="0" fontId="7" fillId="7" borderId="0" xfId="28" applyFont="1" applyFill="1" applyBorder="1" applyAlignment="1">
      <alignment horizontal="right" vertical="center"/>
    </xf>
    <xf numFmtId="0" fontId="7" fillId="8" borderId="0" xfId="28" applyFont="1" applyFill="1" applyBorder="1" applyAlignment="1">
      <alignment horizontal="right" vertical="center"/>
    </xf>
    <xf numFmtId="195" fontId="9" fillId="5" borderId="0" xfId="30" applyNumberFormat="1" applyFont="1" applyFill="1" applyBorder="1" applyAlignment="1">
      <alignment horizontal="right" vertical="center"/>
    </xf>
    <xf numFmtId="198" fontId="9" fillId="6" borderId="0" xfId="30" applyNumberFormat="1" applyFont="1" applyFill="1" applyBorder="1" applyAlignment="1">
      <alignment horizontal="right" vertical="center"/>
    </xf>
    <xf numFmtId="198" fontId="9" fillId="6" borderId="0" xfId="24" applyNumberFormat="1" applyFont="1" applyFill="1" applyBorder="1" applyAlignment="1" applyProtection="1">
      <alignment horizontal="right" vertical="center"/>
    </xf>
    <xf numFmtId="198" fontId="9" fillId="7" borderId="0" xfId="24" applyNumberFormat="1" applyFont="1" applyFill="1" applyBorder="1" applyAlignment="1" applyProtection="1">
      <alignment horizontal="right" vertical="center"/>
    </xf>
    <xf numFmtId="192" fontId="9" fillId="8" borderId="0" xfId="1" applyNumberFormat="1" applyFont="1" applyFill="1" applyAlignment="1">
      <alignment horizontal="right" vertical="center"/>
    </xf>
    <xf numFmtId="198" fontId="19" fillId="0" borderId="0" xfId="0" applyNumberFormat="1" applyFont="1" applyAlignment="1">
      <alignment horizontal="right"/>
    </xf>
    <xf numFmtId="198" fontId="7" fillId="5" borderId="0" xfId="30" applyNumberFormat="1" applyFont="1" applyFill="1" applyBorder="1" applyAlignment="1">
      <alignment horizontal="right" vertical="center"/>
    </xf>
    <xf numFmtId="198" fontId="7" fillId="6" borderId="0" xfId="30" applyNumberFormat="1" applyFont="1" applyFill="1" applyBorder="1" applyAlignment="1">
      <alignment horizontal="right" vertical="center"/>
    </xf>
    <xf numFmtId="198" fontId="9" fillId="8" borderId="0" xfId="1" applyNumberFormat="1" applyFont="1" applyFill="1" applyAlignment="1">
      <alignment horizontal="right" vertical="center"/>
    </xf>
    <xf numFmtId="198" fontId="7" fillId="7" borderId="0" xfId="24" applyNumberFormat="1" applyFont="1" applyFill="1" applyBorder="1" applyAlignment="1" applyProtection="1">
      <alignment horizontal="right" vertical="center"/>
    </xf>
    <xf numFmtId="198" fontId="7" fillId="8" borderId="0" xfId="1" applyNumberFormat="1" applyFont="1" applyFill="1" applyAlignment="1">
      <alignment horizontal="right" vertical="center"/>
    </xf>
    <xf numFmtId="194" fontId="9" fillId="5" borderId="0" xfId="1" applyNumberFormat="1" applyFont="1" applyFill="1" applyBorder="1" applyAlignment="1" applyProtection="1">
      <alignment horizontal="right" vertical="center"/>
    </xf>
    <xf numFmtId="194" fontId="7" fillId="5" borderId="0" xfId="1" applyNumberFormat="1" applyFont="1" applyFill="1" applyBorder="1" applyAlignment="1" applyProtection="1">
      <alignment horizontal="right" vertical="center"/>
    </xf>
    <xf numFmtId="194" fontId="9" fillId="6" borderId="0" xfId="24" applyNumberFormat="1" applyFont="1" applyFill="1" applyBorder="1" applyAlignment="1" applyProtection="1">
      <alignment horizontal="right" vertical="center"/>
    </xf>
    <xf numFmtId="194" fontId="7" fillId="6" borderId="0" xfId="24" applyNumberFormat="1" applyFont="1" applyFill="1" applyBorder="1" applyAlignment="1" applyProtection="1">
      <alignment horizontal="right" vertical="center"/>
    </xf>
    <xf numFmtId="194" fontId="9" fillId="7" borderId="0" xfId="24" applyNumberFormat="1" applyFont="1" applyFill="1" applyBorder="1" applyAlignment="1" applyProtection="1">
      <alignment horizontal="right" vertical="center"/>
    </xf>
    <xf numFmtId="194" fontId="7" fillId="7" borderId="0" xfId="24" applyNumberFormat="1" applyFont="1" applyFill="1" applyBorder="1" applyAlignment="1" applyProtection="1">
      <alignment horizontal="right" vertical="center"/>
    </xf>
    <xf numFmtId="0" fontId="33" fillId="0" borderId="0" xfId="30" applyFont="1" applyAlignment="1">
      <alignment horizontal="right" vertical="center"/>
    </xf>
    <xf numFmtId="0" fontId="33" fillId="5" borderId="0" xfId="30" applyFont="1" applyFill="1" applyAlignment="1">
      <alignment horizontal="right" vertical="center"/>
    </xf>
    <xf numFmtId="0" fontId="33" fillId="8" borderId="0" xfId="30" applyFont="1" applyFill="1" applyAlignment="1">
      <alignment horizontal="right" vertical="center"/>
    </xf>
    <xf numFmtId="0" fontId="12" fillId="0" borderId="16" xfId="30" applyFont="1" applyBorder="1" applyAlignment="1">
      <alignment horizontal="center" vertical="center"/>
    </xf>
    <xf numFmtId="0" fontId="12" fillId="5" borderId="16" xfId="30" applyFont="1" applyFill="1" applyBorder="1" applyAlignment="1">
      <alignment horizontal="center" vertical="center"/>
    </xf>
    <xf numFmtId="0" fontId="12" fillId="6" borderId="16" xfId="30" applyFont="1" applyFill="1" applyBorder="1" applyAlignment="1">
      <alignment horizontal="center" vertical="center"/>
    </xf>
    <xf numFmtId="0" fontId="12" fillId="7" borderId="16" xfId="30" applyFont="1" applyFill="1" applyBorder="1" applyAlignment="1">
      <alignment horizontal="center" vertical="center"/>
    </xf>
    <xf numFmtId="195" fontId="7" fillId="5" borderId="0" xfId="1" applyNumberFormat="1" applyFont="1" applyFill="1" applyAlignment="1">
      <alignment horizontal="right" vertical="center"/>
    </xf>
    <xf numFmtId="195" fontId="7" fillId="6" borderId="0" xfId="4906" applyNumberFormat="1" applyFont="1" applyFill="1" applyAlignment="1">
      <alignment horizontal="right" vertical="center"/>
    </xf>
    <xf numFmtId="195" fontId="7" fillId="7" borderId="0" xfId="4906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9" fillId="0" borderId="0" xfId="4910" applyFont="1"/>
    <xf numFmtId="188" fontId="9" fillId="0" borderId="0" xfId="4911" applyNumberFormat="1" applyFont="1"/>
    <xf numFmtId="3" fontId="9" fillId="0" borderId="0" xfId="4910" applyNumberFormat="1" applyFont="1" applyAlignment="1">
      <alignment horizontal="center"/>
    </xf>
    <xf numFmtId="3" fontId="7" fillId="0" borderId="0" xfId="4910" applyNumberFormat="1" applyFont="1" applyFill="1" applyAlignment="1">
      <alignment horizontal="left"/>
    </xf>
    <xf numFmtId="3" fontId="7" fillId="0" borderId="0" xfId="4910" applyNumberFormat="1" applyFont="1" applyAlignment="1">
      <alignment horizontal="left"/>
    </xf>
    <xf numFmtId="3" fontId="7" fillId="0" borderId="0" xfId="4910" quotePrefix="1" applyNumberFormat="1" applyFont="1" applyAlignment="1">
      <alignment horizontal="left"/>
    </xf>
    <xf numFmtId="188" fontId="9" fillId="0" borderId="0" xfId="4911" applyNumberFormat="1" applyFont="1" applyBorder="1"/>
    <xf numFmtId="200" fontId="9" fillId="0" borderId="0" xfId="4910" applyNumberFormat="1" applyFont="1" applyBorder="1" applyAlignment="1" applyProtection="1">
      <alignment horizontal="center"/>
    </xf>
    <xf numFmtId="188" fontId="9" fillId="0" borderId="1" xfId="4911" applyNumberFormat="1" applyFont="1" applyBorder="1"/>
    <xf numFmtId="188" fontId="9" fillId="0" borderId="5" xfId="4911" applyNumberFormat="1" applyFont="1" applyBorder="1"/>
    <xf numFmtId="188" fontId="9" fillId="0" borderId="4" xfId="4911" applyNumberFormat="1" applyFont="1" applyBorder="1"/>
    <xf numFmtId="200" fontId="9" fillId="0" borderId="1" xfId="4910" applyNumberFormat="1" applyFont="1" applyBorder="1" applyAlignment="1" applyProtection="1">
      <alignment horizontal="center"/>
    </xf>
    <xf numFmtId="188" fontId="9" fillId="0" borderId="2" xfId="4911" applyNumberFormat="1" applyFont="1" applyBorder="1"/>
    <xf numFmtId="188" fontId="9" fillId="0" borderId="3" xfId="4911" applyNumberFormat="1" applyFont="1" applyBorder="1"/>
    <xf numFmtId="200" fontId="9" fillId="0" borderId="0" xfId="4910" applyNumberFormat="1" applyFont="1" applyAlignment="1" applyProtection="1">
      <alignment horizontal="center"/>
    </xf>
    <xf numFmtId="201" fontId="9" fillId="0" borderId="0" xfId="4910" quotePrefix="1" applyNumberFormat="1" applyFont="1" applyAlignment="1" applyProtection="1">
      <alignment horizontal="center"/>
    </xf>
    <xf numFmtId="201" fontId="9" fillId="0" borderId="0" xfId="4910" applyNumberFormat="1" applyFont="1" applyAlignment="1" applyProtection="1">
      <alignment horizontal="center"/>
    </xf>
    <xf numFmtId="0" fontId="7" fillId="0" borderId="0" xfId="4910" applyFont="1"/>
    <xf numFmtId="188" fontId="7" fillId="0" borderId="6" xfId="4911" applyNumberFormat="1" applyFont="1" applyBorder="1"/>
    <xf numFmtId="188" fontId="7" fillId="0" borderId="3" xfId="4911" applyNumberFormat="1" applyFont="1" applyBorder="1"/>
    <xf numFmtId="0" fontId="7" fillId="0" borderId="0" xfId="4910" applyFont="1" applyAlignment="1">
      <alignment horizontal="center"/>
    </xf>
    <xf numFmtId="188" fontId="7" fillId="0" borderId="10" xfId="4911" applyNumberFormat="1" applyFont="1" applyBorder="1" applyAlignment="1">
      <alignment horizontal="center"/>
    </xf>
    <xf numFmtId="188" fontId="7" fillId="0" borderId="11" xfId="4911" applyNumberFormat="1" applyFont="1" applyBorder="1" applyAlignment="1">
      <alignment horizontal="center"/>
    </xf>
    <xf numFmtId="188" fontId="7" fillId="0" borderId="17" xfId="4911" applyNumberFormat="1" applyFont="1" applyBorder="1" applyAlignment="1">
      <alignment horizontal="center"/>
    </xf>
    <xf numFmtId="0" fontId="7" fillId="0" borderId="1" xfId="4910" applyFont="1" applyBorder="1" applyAlignment="1">
      <alignment horizontal="center"/>
    </xf>
    <xf numFmtId="188" fontId="7" fillId="0" borderId="7" xfId="4911" applyNumberFormat="1" applyFont="1" applyBorder="1" applyAlignment="1">
      <alignment horizontal="centerContinuous"/>
    </xf>
    <xf numFmtId="188" fontId="9" fillId="0" borderId="7" xfId="4911" applyNumberFormat="1" applyFont="1" applyBorder="1" applyAlignment="1">
      <alignment horizontal="centerContinuous"/>
    </xf>
    <xf numFmtId="188" fontId="7" fillId="0" borderId="9" xfId="4911" applyNumberFormat="1" applyFont="1" applyBorder="1" applyAlignment="1">
      <alignment horizontal="centerContinuous"/>
    </xf>
    <xf numFmtId="188" fontId="7" fillId="0" borderId="8" xfId="4911" applyNumberFormat="1" applyFont="1" applyBorder="1" applyAlignment="1">
      <alignment horizontal="centerContinuous"/>
    </xf>
    <xf numFmtId="0" fontId="7" fillId="0" borderId="7" xfId="4910" applyFont="1" applyBorder="1" applyAlignment="1">
      <alignment horizontal="center"/>
    </xf>
    <xf numFmtId="3" fontId="7" fillId="0" borderId="0" xfId="4910" quotePrefix="1" applyNumberFormat="1" applyFont="1" applyFill="1" applyAlignment="1">
      <alignment horizontal="left"/>
    </xf>
    <xf numFmtId="0" fontId="32" fillId="0" borderId="0" xfId="4910" applyFont="1"/>
    <xf numFmtId="188" fontId="32" fillId="0" borderId="0" xfId="4911" applyNumberFormat="1" applyFont="1"/>
    <xf numFmtId="3" fontId="32" fillId="0" borderId="0" xfId="4910" applyNumberFormat="1" applyFont="1" applyAlignment="1">
      <alignment horizontal="center"/>
    </xf>
    <xf numFmtId="3" fontId="33" fillId="0" borderId="0" xfId="4910" applyNumberFormat="1" applyFont="1" applyFill="1" applyAlignment="1">
      <alignment horizontal="left"/>
    </xf>
    <xf numFmtId="3" fontId="33" fillId="0" borderId="0" xfId="4910" applyNumberFormat="1" applyFont="1" applyAlignment="1">
      <alignment horizontal="left"/>
    </xf>
    <xf numFmtId="3" fontId="33" fillId="0" borderId="0" xfId="4910" quotePrefix="1" applyNumberFormat="1" applyFont="1" applyAlignment="1">
      <alignment horizontal="left"/>
    </xf>
    <xf numFmtId="188" fontId="32" fillId="0" borderId="0" xfId="4911" applyNumberFormat="1" applyFont="1" applyBorder="1"/>
    <xf numFmtId="200" fontId="32" fillId="0" borderId="0" xfId="4910" applyNumberFormat="1" applyFont="1" applyBorder="1" applyAlignment="1" applyProtection="1">
      <alignment horizontal="center"/>
    </xf>
    <xf numFmtId="188" fontId="32" fillId="0" borderId="1" xfId="4911" applyNumberFormat="1" applyFont="1" applyBorder="1"/>
    <xf numFmtId="188" fontId="32" fillId="0" borderId="5" xfId="4911" applyNumberFormat="1" applyFont="1" applyBorder="1"/>
    <xf numFmtId="188" fontId="32" fillId="0" borderId="4" xfId="4911" applyNumberFormat="1" applyFont="1" applyBorder="1"/>
    <xf numFmtId="200" fontId="32" fillId="0" borderId="1" xfId="4910" applyNumberFormat="1" applyFont="1" applyBorder="1" applyAlignment="1" applyProtection="1">
      <alignment horizontal="center"/>
    </xf>
    <xf numFmtId="188" fontId="32" fillId="0" borderId="2" xfId="4911" applyNumberFormat="1" applyFont="1" applyBorder="1"/>
    <xf numFmtId="188" fontId="32" fillId="0" borderId="3" xfId="4911" applyNumberFormat="1" applyFont="1" applyBorder="1"/>
    <xf numFmtId="200" fontId="32" fillId="0" borderId="0" xfId="4910" applyNumberFormat="1" applyFont="1" applyAlignment="1" applyProtection="1">
      <alignment horizontal="center"/>
    </xf>
    <xf numFmtId="201" fontId="32" fillId="0" borderId="0" xfId="4910" quotePrefix="1" applyNumberFormat="1" applyFont="1" applyAlignment="1" applyProtection="1">
      <alignment horizontal="center"/>
    </xf>
    <xf numFmtId="201" fontId="32" fillId="0" borderId="0" xfId="4910" applyNumberFormat="1" applyFont="1" applyAlignment="1" applyProtection="1">
      <alignment horizontal="center"/>
    </xf>
    <xf numFmtId="0" fontId="33" fillId="0" borderId="0" xfId="4910" applyFont="1"/>
    <xf numFmtId="188" fontId="33" fillId="0" borderId="6" xfId="4911" applyNumberFormat="1" applyFont="1" applyBorder="1"/>
    <xf numFmtId="188" fontId="33" fillId="0" borderId="3" xfId="4911" applyNumberFormat="1" applyFont="1" applyBorder="1"/>
    <xf numFmtId="0" fontId="33" fillId="0" borderId="0" xfId="4910" applyFont="1" applyAlignment="1">
      <alignment horizontal="center"/>
    </xf>
    <xf numFmtId="188" fontId="33" fillId="0" borderId="10" xfId="4911" applyNumberFormat="1" applyFont="1" applyBorder="1" applyAlignment="1">
      <alignment horizontal="center"/>
    </xf>
    <xf numFmtId="188" fontId="33" fillId="0" borderId="11" xfId="4911" applyNumberFormat="1" applyFont="1" applyBorder="1" applyAlignment="1">
      <alignment horizontal="center"/>
    </xf>
    <xf numFmtId="188" fontId="33" fillId="0" borderId="17" xfId="4911" applyNumberFormat="1" applyFont="1" applyBorder="1" applyAlignment="1">
      <alignment horizontal="center"/>
    </xf>
    <xf numFmtId="0" fontId="33" fillId="0" borderId="1" xfId="4910" applyFont="1" applyBorder="1" applyAlignment="1">
      <alignment horizontal="center"/>
    </xf>
    <xf numFmtId="188" fontId="33" fillId="0" borderId="7" xfId="4911" applyNumberFormat="1" applyFont="1" applyBorder="1" applyAlignment="1">
      <alignment horizontal="centerContinuous"/>
    </xf>
    <xf numFmtId="188" fontId="32" fillId="0" borderId="7" xfId="4911" applyNumberFormat="1" applyFont="1" applyBorder="1" applyAlignment="1">
      <alignment horizontal="centerContinuous"/>
    </xf>
    <xf numFmtId="188" fontId="33" fillId="0" borderId="9" xfId="4911" applyNumberFormat="1" applyFont="1" applyBorder="1" applyAlignment="1">
      <alignment horizontal="centerContinuous"/>
    </xf>
    <xf numFmtId="188" fontId="33" fillId="0" borderId="8" xfId="4911" applyNumberFormat="1" applyFont="1" applyBorder="1" applyAlignment="1">
      <alignment horizontal="centerContinuous"/>
    </xf>
    <xf numFmtId="0" fontId="33" fillId="0" borderId="7" xfId="4910" applyFont="1" applyBorder="1" applyAlignment="1">
      <alignment horizontal="center"/>
    </xf>
    <xf numFmtId="3" fontId="33" fillId="0" borderId="0" xfId="4910" quotePrefix="1" applyNumberFormat="1" applyFont="1" applyFill="1" applyAlignment="1">
      <alignment horizontal="left"/>
    </xf>
    <xf numFmtId="0" fontId="60" fillId="0" borderId="0" xfId="4910" applyFont="1"/>
    <xf numFmtId="188" fontId="60" fillId="0" borderId="0" xfId="4911" applyNumberFormat="1" applyFont="1"/>
    <xf numFmtId="3" fontId="62" fillId="0" borderId="0" xfId="4910" applyNumberFormat="1" applyFont="1" applyAlignment="1">
      <alignment horizontal="center"/>
    </xf>
    <xf numFmtId="188" fontId="62" fillId="0" borderId="0" xfId="4911" applyNumberFormat="1" applyFont="1"/>
    <xf numFmtId="3" fontId="63" fillId="0" borderId="0" xfId="4910" applyNumberFormat="1" applyFont="1" applyFill="1" applyAlignment="1">
      <alignment horizontal="left"/>
    </xf>
    <xf numFmtId="3" fontId="63" fillId="0" borderId="0" xfId="4910" applyNumberFormat="1" applyFont="1" applyAlignment="1">
      <alignment horizontal="left"/>
    </xf>
    <xf numFmtId="3" fontId="63" fillId="0" borderId="0" xfId="4910" quotePrefix="1" applyNumberFormat="1" applyFont="1" applyAlignment="1">
      <alignment horizontal="left"/>
    </xf>
    <xf numFmtId="188" fontId="60" fillId="0" borderId="0" xfId="4911" applyNumberFormat="1" applyFont="1" applyBorder="1"/>
    <xf numFmtId="200" fontId="62" fillId="0" borderId="0" xfId="4910" applyNumberFormat="1" applyFont="1" applyBorder="1" applyAlignment="1" applyProtection="1">
      <alignment horizontal="center"/>
    </xf>
    <xf numFmtId="188" fontId="60" fillId="0" borderId="1" xfId="4911" applyNumberFormat="1" applyFont="1" applyBorder="1"/>
    <xf numFmtId="188" fontId="60" fillId="0" borderId="5" xfId="4911" applyNumberFormat="1" applyFont="1" applyBorder="1"/>
    <xf numFmtId="188" fontId="60" fillId="0" borderId="4" xfId="4911" applyNumberFormat="1" applyFont="1" applyBorder="1"/>
    <xf numFmtId="200" fontId="62" fillId="0" borderId="1" xfId="4910" applyNumberFormat="1" applyFont="1" applyBorder="1" applyAlignment="1" applyProtection="1">
      <alignment horizontal="center"/>
    </xf>
    <xf numFmtId="188" fontId="60" fillId="0" borderId="2" xfId="4911" applyNumberFormat="1" applyFont="1" applyBorder="1"/>
    <xf numFmtId="188" fontId="60" fillId="0" borderId="3" xfId="4911" applyNumberFormat="1" applyFont="1" applyBorder="1"/>
    <xf numFmtId="200" fontId="62" fillId="0" borderId="0" xfId="4910" applyNumberFormat="1" applyFont="1" applyAlignment="1" applyProtection="1">
      <alignment horizontal="center"/>
    </xf>
    <xf numFmtId="201" fontId="62" fillId="0" borderId="0" xfId="4910" quotePrefix="1" applyNumberFormat="1" applyFont="1" applyAlignment="1" applyProtection="1">
      <alignment horizontal="center"/>
    </xf>
    <xf numFmtId="201" fontId="62" fillId="0" borderId="0" xfId="4910" applyNumberFormat="1" applyFont="1" applyAlignment="1" applyProtection="1">
      <alignment horizontal="center"/>
    </xf>
    <xf numFmtId="0" fontId="64" fillId="0" borderId="0" xfId="4910" applyFont="1"/>
    <xf numFmtId="188" fontId="64" fillId="0" borderId="6" xfId="4911" applyNumberFormat="1" applyFont="1" applyBorder="1"/>
    <xf numFmtId="188" fontId="64" fillId="0" borderId="3" xfId="4911" applyNumberFormat="1" applyFont="1" applyBorder="1"/>
    <xf numFmtId="0" fontId="64" fillId="0" borderId="0" xfId="4910" applyFont="1" applyAlignment="1">
      <alignment horizontal="center"/>
    </xf>
    <xf numFmtId="188" fontId="64" fillId="0" borderId="10" xfId="4911" applyNumberFormat="1" applyFont="1" applyBorder="1" applyAlignment="1">
      <alignment horizontal="center"/>
    </xf>
    <xf numFmtId="188" fontId="64" fillId="0" borderId="11" xfId="4911" applyNumberFormat="1" applyFont="1" applyBorder="1" applyAlignment="1">
      <alignment horizontal="center"/>
    </xf>
    <xf numFmtId="188" fontId="64" fillId="0" borderId="17" xfId="4911" applyNumberFormat="1" applyFont="1" applyBorder="1" applyAlignment="1">
      <alignment horizontal="center"/>
    </xf>
    <xf numFmtId="0" fontId="65" fillId="0" borderId="1" xfId="4910" applyFont="1" applyBorder="1" applyAlignment="1">
      <alignment horizontal="center"/>
    </xf>
    <xf numFmtId="188" fontId="64" fillId="0" borderId="7" xfId="4911" applyNumberFormat="1" applyFont="1" applyBorder="1" applyAlignment="1">
      <alignment horizontal="centerContinuous"/>
    </xf>
    <xf numFmtId="188" fontId="61" fillId="0" borderId="7" xfId="4911" applyNumberFormat="1" applyFont="1" applyBorder="1" applyAlignment="1">
      <alignment horizontal="centerContinuous"/>
    </xf>
    <xf numFmtId="188" fontId="64" fillId="0" borderId="9" xfId="4911" applyNumberFormat="1" applyFont="1" applyBorder="1" applyAlignment="1">
      <alignment horizontal="centerContinuous"/>
    </xf>
    <xf numFmtId="188" fontId="64" fillId="0" borderId="8" xfId="4911" applyNumberFormat="1" applyFont="1" applyBorder="1" applyAlignment="1">
      <alignment horizontal="centerContinuous"/>
    </xf>
    <xf numFmtId="0" fontId="65" fillId="0" borderId="7" xfId="4910" applyFont="1" applyBorder="1" applyAlignment="1">
      <alignment horizontal="center"/>
    </xf>
    <xf numFmtId="0" fontId="66" fillId="0" borderId="0" xfId="4910" applyFont="1"/>
    <xf numFmtId="188" fontId="66" fillId="0" borderId="0" xfId="4911" applyNumberFormat="1" applyFont="1"/>
    <xf numFmtId="3" fontId="66" fillId="0" borderId="0" xfId="4910" applyNumberFormat="1" applyFont="1" applyAlignment="1">
      <alignment horizontal="center"/>
    </xf>
    <xf numFmtId="3" fontId="65" fillId="0" borderId="0" xfId="4910" quotePrefix="1" applyNumberFormat="1" applyFont="1" applyFill="1" applyAlignment="1">
      <alignment horizontal="left"/>
    </xf>
    <xf numFmtId="0" fontId="11" fillId="0" borderId="0" xfId="3953" applyNumberFormat="1" applyFont="1" applyFill="1" applyBorder="1" applyAlignment="1" applyProtection="1">
      <alignment horizontal="right"/>
    </xf>
    <xf numFmtId="0" fontId="7" fillId="0" borderId="10" xfId="3956" applyFont="1" applyBorder="1" applyAlignment="1">
      <alignment horizontal="center"/>
    </xf>
    <xf numFmtId="0" fontId="33" fillId="0" borderId="15" xfId="3956" applyFont="1" applyBorder="1" applyAlignment="1">
      <alignment horizontal="center"/>
    </xf>
    <xf numFmtId="0" fontId="33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3" fillId="0" borderId="15" xfId="3950" applyFont="1" applyBorder="1" applyAlignment="1">
      <alignment horizontal="center"/>
    </xf>
    <xf numFmtId="0" fontId="33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3" fillId="0" borderId="15" xfId="73" applyFont="1" applyBorder="1" applyAlignment="1">
      <alignment horizontal="center"/>
    </xf>
    <xf numFmtId="0" fontId="33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0" fillId="0" borderId="15" xfId="3950" applyFont="1" applyBorder="1" applyAlignment="1">
      <alignment horizontal="center" vertical="center"/>
    </xf>
    <xf numFmtId="0" fontId="20" fillId="0" borderId="14" xfId="395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33" fillId="0" borderId="0" xfId="30" applyFont="1" applyBorder="1" applyAlignment="1">
      <alignment horizontal="center" vertical="center"/>
    </xf>
    <xf numFmtId="0" fontId="33" fillId="0" borderId="15" xfId="30" applyFont="1" applyBorder="1" applyAlignment="1">
      <alignment horizontal="center" vertical="center"/>
    </xf>
    <xf numFmtId="0" fontId="20" fillId="0" borderId="0" xfId="28" applyFont="1" applyBorder="1" applyAlignment="1">
      <alignment horizontal="center" vertical="center"/>
    </xf>
    <xf numFmtId="0" fontId="20" fillId="0" borderId="15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/>
    </xf>
    <xf numFmtId="0" fontId="68" fillId="0" borderId="0" xfId="0" applyFont="1" applyAlignment="1">
      <alignment horizontal="center"/>
    </xf>
    <xf numFmtId="0" fontId="33" fillId="0" borderId="15" xfId="28" applyFont="1" applyBorder="1" applyAlignment="1">
      <alignment horizontal="center"/>
    </xf>
    <xf numFmtId="0" fontId="32" fillId="0" borderId="0" xfId="3948" applyFont="1" applyAlignment="1"/>
    <xf numFmtId="0" fontId="9" fillId="0" borderId="0" xfId="3948" applyFont="1" applyAlignment="1"/>
    <xf numFmtId="0" fontId="19" fillId="0" borderId="0" xfId="3948" applyFont="1"/>
    <xf numFmtId="0" fontId="33" fillId="0" borderId="0" xfId="3948" applyFont="1" applyAlignment="1"/>
    <xf numFmtId="196" fontId="19" fillId="0" borderId="0" xfId="3948" applyNumberFormat="1" applyFont="1"/>
    <xf numFmtId="0" fontId="32" fillId="0" borderId="0" xfId="3948" applyFont="1" applyBorder="1" applyAlignment="1"/>
    <xf numFmtId="0" fontId="32" fillId="0" borderId="1" xfId="3948" applyFont="1" applyBorder="1" applyAlignment="1">
      <alignment horizontal="right"/>
    </xf>
    <xf numFmtId="0" fontId="32" fillId="0" borderId="1" xfId="3948" applyFont="1" applyBorder="1" applyAlignment="1"/>
    <xf numFmtId="0" fontId="32" fillId="0" borderId="14" xfId="3948" applyFont="1" applyBorder="1" applyAlignment="1"/>
    <xf numFmtId="0" fontId="9" fillId="0" borderId="0" xfId="3948" applyFont="1" applyBorder="1" applyAlignment="1"/>
    <xf numFmtId="196" fontId="11" fillId="0" borderId="0" xfId="3949" applyNumberFormat="1" applyFont="1" applyFill="1" applyBorder="1" applyAlignment="1" applyProtection="1">
      <alignment horizontal="right"/>
    </xf>
    <xf numFmtId="195" fontId="11" fillId="0" borderId="0" xfId="3949" applyNumberFormat="1" applyFont="1" applyFill="1" applyBorder="1" applyAlignment="1" applyProtection="1">
      <alignment horizontal="right"/>
    </xf>
    <xf numFmtId="0" fontId="9" fillId="0" borderId="0" xfId="3948" applyFont="1" applyBorder="1" applyAlignment="1" applyProtection="1">
      <alignment horizontal="left"/>
    </xf>
    <xf numFmtId="197" fontId="9" fillId="0" borderId="0" xfId="3948" applyNumberFormat="1" applyFont="1" applyBorder="1" applyAlignment="1" applyProtection="1">
      <alignment horizontal="left"/>
    </xf>
    <xf numFmtId="0" fontId="9" fillId="0" borderId="0" xfId="3948" applyFont="1" applyAlignment="1" applyProtection="1">
      <alignment horizontal="left"/>
    </xf>
    <xf numFmtId="0" fontId="41" fillId="0" borderId="0" xfId="3948" applyFont="1" applyBorder="1" applyAlignment="1"/>
    <xf numFmtId="196" fontId="8" fillId="0" borderId="0" xfId="3949" applyNumberFormat="1" applyFont="1" applyFill="1" applyBorder="1" applyAlignment="1" applyProtection="1">
      <alignment horizontal="right"/>
    </xf>
    <xf numFmtId="0" fontId="11" fillId="0" borderId="0" xfId="3948" applyFont="1" applyAlignment="1"/>
    <xf numFmtId="190" fontId="8" fillId="0" borderId="0" xfId="3948" applyNumberFormat="1" applyFont="1" applyBorder="1" applyAlignment="1">
      <alignment horizontal="right"/>
    </xf>
    <xf numFmtId="0" fontId="7" fillId="0" borderId="0" xfId="3948" applyFont="1" applyBorder="1" applyAlignment="1">
      <alignment horizontal="center"/>
    </xf>
    <xf numFmtId="190" fontId="8" fillId="0" borderId="0" xfId="3948" applyNumberFormat="1" applyFont="1" applyAlignment="1"/>
    <xf numFmtId="195" fontId="8" fillId="0" borderId="0" xfId="3949" applyNumberFormat="1" applyFont="1" applyFill="1" applyBorder="1" applyAlignment="1" applyProtection="1">
      <alignment horizontal="right"/>
    </xf>
    <xf numFmtId="43" fontId="9" fillId="0" borderId="0" xfId="3948" applyNumberFormat="1" applyFont="1" applyAlignment="1"/>
    <xf numFmtId="0" fontId="8" fillId="0" borderId="0" xfId="3948" applyFont="1" applyAlignment="1">
      <alignment horizontal="center"/>
    </xf>
    <xf numFmtId="0" fontId="8" fillId="0" borderId="0" xfId="3948" applyFont="1" applyAlignment="1">
      <alignment horizontal="right"/>
    </xf>
    <xf numFmtId="0" fontId="7" fillId="0" borderId="0" xfId="3948" applyFont="1" applyAlignment="1"/>
    <xf numFmtId="0" fontId="33" fillId="0" borderId="0" xfId="3948" applyFont="1" applyBorder="1" applyAlignment="1">
      <alignment horizontal="center"/>
    </xf>
    <xf numFmtId="3" fontId="11" fillId="0" borderId="0" xfId="3948" applyNumberFormat="1" applyFont="1" applyAlignment="1">
      <alignment horizontal="right"/>
    </xf>
    <xf numFmtId="195" fontId="11" fillId="0" borderId="0" xfId="3949" applyNumberFormat="1" applyFont="1" applyFill="1" applyBorder="1" applyAlignment="1" applyProtection="1"/>
    <xf numFmtId="195" fontId="75" fillId="0" borderId="0" xfId="3949" applyNumberFormat="1" applyFont="1" applyFill="1" applyBorder="1" applyAlignment="1" applyProtection="1">
      <alignment horizontal="right" vertical="center"/>
    </xf>
    <xf numFmtId="0" fontId="11" fillId="0" borderId="0" xfId="3948" applyFont="1" applyAlignment="1">
      <alignment horizontal="right"/>
    </xf>
    <xf numFmtId="195" fontId="8" fillId="0" borderId="0" xfId="3949" applyNumberFormat="1" applyFont="1" applyFill="1" applyBorder="1" applyAlignment="1" applyProtection="1"/>
    <xf numFmtId="0" fontId="7" fillId="0" borderId="0" xfId="3948" applyFont="1" applyAlignment="1">
      <alignment horizontal="center"/>
    </xf>
    <xf numFmtId="3" fontId="8" fillId="0" borderId="0" xfId="3948" applyNumberFormat="1" applyFont="1" applyAlignment="1">
      <alignment horizontal="right"/>
    </xf>
    <xf numFmtId="3" fontId="8" fillId="0" borderId="0" xfId="3948" applyNumberFormat="1" applyFont="1" applyAlignment="1"/>
    <xf numFmtId="0" fontId="20" fillId="0" borderId="0" xfId="3948" applyFont="1" applyBorder="1" applyAlignment="1">
      <alignment horizontal="center"/>
    </xf>
    <xf numFmtId="0" fontId="33" fillId="0" borderId="15" xfId="3948" applyFont="1" applyBorder="1" applyAlignment="1">
      <alignment horizontal="center"/>
    </xf>
    <xf numFmtId="0" fontId="7" fillId="0" borderId="1" xfId="3948" applyFont="1" applyBorder="1" applyAlignment="1">
      <alignment horizontal="center"/>
    </xf>
    <xf numFmtId="0" fontId="7" fillId="0" borderId="14" xfId="3948" applyFont="1" applyBorder="1" applyAlignment="1">
      <alignment horizontal="right"/>
    </xf>
    <xf numFmtId="0" fontId="7" fillId="0" borderId="16" xfId="3948" applyFont="1" applyBorder="1" applyAlignment="1">
      <alignment horizontal="right"/>
    </xf>
    <xf numFmtId="0" fontId="7" fillId="0" borderId="14" xfId="3948" applyFont="1" applyBorder="1" applyAlignment="1">
      <alignment horizontal="center" vertical="center"/>
    </xf>
    <xf numFmtId="0" fontId="7" fillId="0" borderId="10" xfId="3948" applyFont="1" applyBorder="1" applyAlignment="1">
      <alignment horizontal="center"/>
    </xf>
    <xf numFmtId="0" fontId="7" fillId="0" borderId="16" xfId="3948" applyFont="1" applyBorder="1" applyAlignment="1">
      <alignment horizontal="center"/>
    </xf>
    <xf numFmtId="0" fontId="7" fillId="0" borderId="15" xfId="3948" applyFont="1" applyBorder="1" applyAlignment="1">
      <alignment horizontal="center" vertical="center"/>
    </xf>
    <xf numFmtId="0" fontId="32" fillId="0" borderId="0" xfId="3948" applyFont="1"/>
    <xf numFmtId="0" fontId="33" fillId="0" borderId="0" xfId="3948" applyFont="1" applyAlignment="1">
      <alignment vertical="top"/>
    </xf>
  </cellXfs>
  <cellStyles count="4912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" xfId="1" builtinId="3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1 9" xfId="4911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16" xfId="4906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14" xfId="490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12" xfId="4908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7 4" xfId="490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5 5" xfId="4910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%201%2054%20&#3586;&#3629;&#3629;&#3609;&#3640;&#3617;&#3633;&#3605;&#3636;&#3626;&#3617;&#3610;&#3619;&#3641;&#3603;&#3660;%20&#3593;&#3610;&#3633;&#3610;&#3648;&#3612;&#3618;&#3649;&#3614;&#3619;&#3656;/New%20Folder/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07;&#3637;&#3656;&#3592;&#3632;&#3605;&#3657;&#3629;&#3591;&#3607;&#3635;%202554/&#3626;&#3619;&#3591;/&#3619;&#3634;&#3618;&#3591;&#3634;&#3609;%20&#3626;&#3619;&#3591;%202%2053%20&#3586;&#3629;&#3629;&#3609;&#3640;&#3617;&#3633;&#3605;&#3636;/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opLeftCell="AF1" zoomScale="69" zoomScaleNormal="69" workbookViewId="0">
      <pane xSplit="9105" ySplit="1050" topLeftCell="AP1" activePane="bottomRight"/>
      <selection activeCell="AS20" sqref="AS20"/>
      <selection pane="topRight" activeCell="AP3" sqref="AP3:AS3"/>
      <selection pane="bottomLeft" activeCell="AL4" sqref="AL4"/>
      <selection pane="bottomRight" activeCell="AQ9" sqref="AQ9"/>
    </sheetView>
  </sheetViews>
  <sheetFormatPr defaultColWidth="7.85546875" defaultRowHeight="24" customHeight="1"/>
  <cols>
    <col min="1" max="1" width="24.5703125" style="232" customWidth="1"/>
    <col min="2" max="15" width="14.28515625" style="232" customWidth="1"/>
    <col min="16" max="16" width="14.28515625" style="233" customWidth="1"/>
    <col min="17" max="33" width="14.28515625" style="232" customWidth="1"/>
    <col min="34" max="37" width="11.42578125" style="232" customWidth="1"/>
    <col min="38" max="38" width="11.5703125" style="232" customWidth="1"/>
    <col min="39" max="39" width="12.5703125" style="232" customWidth="1"/>
    <col min="40" max="42" width="11.5703125" style="232" customWidth="1"/>
    <col min="43" max="43" width="12.5703125" style="232" customWidth="1"/>
    <col min="44" max="45" width="11.5703125" style="232" customWidth="1"/>
    <col min="46" max="16384" width="7.85546875" style="232"/>
  </cols>
  <sheetData>
    <row r="1" spans="1:45" ht="25.5" customHeight="1">
      <c r="A1" s="263" t="s">
        <v>168</v>
      </c>
      <c r="P1" s="262"/>
    </row>
    <row r="2" spans="1:45" ht="3.75" customHeight="1">
      <c r="A2" s="261"/>
      <c r="D2" s="252"/>
      <c r="G2" s="260"/>
      <c r="H2" s="252"/>
      <c r="K2" s="252"/>
      <c r="O2" s="252"/>
      <c r="P2" s="259"/>
    </row>
    <row r="3" spans="1:45" s="245" customFormat="1" ht="26.25" customHeight="1">
      <c r="A3" s="1152" t="s">
        <v>9</v>
      </c>
      <c r="B3" s="258"/>
      <c r="C3" s="1154" t="s">
        <v>138</v>
      </c>
      <c r="D3" s="1154"/>
      <c r="E3" s="1154"/>
      <c r="F3" s="1154" t="s">
        <v>158</v>
      </c>
      <c r="G3" s="1154"/>
      <c r="H3" s="1154"/>
      <c r="I3" s="1154"/>
      <c r="J3" s="1155" t="s">
        <v>136</v>
      </c>
      <c r="K3" s="1155"/>
      <c r="L3" s="1155"/>
      <c r="M3" s="257"/>
      <c r="N3" s="1149" t="s">
        <v>135</v>
      </c>
      <c r="O3" s="1149"/>
      <c r="P3" s="1149"/>
      <c r="Q3" s="1149"/>
      <c r="R3" s="1149" t="s">
        <v>134</v>
      </c>
      <c r="S3" s="1149"/>
      <c r="T3" s="1149"/>
      <c r="U3" s="1149"/>
      <c r="V3" s="1149" t="s">
        <v>133</v>
      </c>
      <c r="W3" s="1149"/>
      <c r="X3" s="1149"/>
      <c r="Y3" s="1149"/>
      <c r="Z3" s="1149" t="s">
        <v>132</v>
      </c>
      <c r="AA3" s="1149"/>
      <c r="AB3" s="1149"/>
      <c r="AC3" s="1149"/>
      <c r="AD3" s="1149" t="s">
        <v>131</v>
      </c>
      <c r="AE3" s="1149"/>
      <c r="AF3" s="1149"/>
      <c r="AG3" s="1149"/>
      <c r="AH3" s="1149" t="s">
        <v>130</v>
      </c>
      <c r="AI3" s="1149"/>
      <c r="AJ3" s="1149"/>
      <c r="AK3" s="1149"/>
      <c r="AL3" s="1149" t="s">
        <v>169</v>
      </c>
      <c r="AM3" s="1149"/>
      <c r="AN3" s="1149"/>
      <c r="AO3" s="1149"/>
      <c r="AP3" s="1149" t="s">
        <v>205</v>
      </c>
      <c r="AQ3" s="1149"/>
      <c r="AR3" s="1149"/>
      <c r="AS3" s="1149"/>
    </row>
    <row r="4" spans="1:45" s="245" customFormat="1" ht="26.25" customHeight="1">
      <c r="A4" s="1153"/>
      <c r="B4" s="256" t="s">
        <v>129</v>
      </c>
      <c r="C4" s="256" t="s">
        <v>128</v>
      </c>
      <c r="D4" s="256" t="s">
        <v>127</v>
      </c>
      <c r="E4" s="256" t="s">
        <v>126</v>
      </c>
      <c r="F4" s="256" t="s">
        <v>129</v>
      </c>
      <c r="G4" s="256" t="s">
        <v>128</v>
      </c>
      <c r="H4" s="256" t="s">
        <v>127</v>
      </c>
      <c r="I4" s="256" t="s">
        <v>126</v>
      </c>
      <c r="J4" s="255" t="s">
        <v>129</v>
      </c>
      <c r="K4" s="255" t="s">
        <v>128</v>
      </c>
      <c r="L4" s="255" t="s">
        <v>127</v>
      </c>
      <c r="M4" s="255" t="s">
        <v>126</v>
      </c>
      <c r="N4" s="255" t="s">
        <v>129</v>
      </c>
      <c r="O4" s="255" t="s">
        <v>128</v>
      </c>
      <c r="P4" s="255" t="s">
        <v>127</v>
      </c>
      <c r="Q4" s="255" t="s">
        <v>126</v>
      </c>
      <c r="R4" s="255" t="s">
        <v>129</v>
      </c>
      <c r="S4" s="255" t="s">
        <v>128</v>
      </c>
      <c r="T4" s="255" t="s">
        <v>127</v>
      </c>
      <c r="U4" s="255" t="s">
        <v>126</v>
      </c>
      <c r="V4" s="255" t="s">
        <v>129</v>
      </c>
      <c r="W4" s="255" t="s">
        <v>128</v>
      </c>
      <c r="X4" s="255" t="s">
        <v>127</v>
      </c>
      <c r="Y4" s="255" t="s">
        <v>126</v>
      </c>
      <c r="Z4" s="255" t="s">
        <v>129</v>
      </c>
      <c r="AA4" s="255" t="s">
        <v>128</v>
      </c>
      <c r="AB4" s="255" t="s">
        <v>127</v>
      </c>
      <c r="AC4" s="255" t="s">
        <v>126</v>
      </c>
      <c r="AD4" s="255" t="s">
        <v>129</v>
      </c>
      <c r="AE4" s="255" t="s">
        <v>128</v>
      </c>
      <c r="AF4" s="255" t="s">
        <v>127</v>
      </c>
      <c r="AG4" s="255" t="s">
        <v>126</v>
      </c>
      <c r="AH4" s="255" t="s">
        <v>129</v>
      </c>
      <c r="AI4" s="255" t="s">
        <v>128</v>
      </c>
      <c r="AJ4" s="255" t="s">
        <v>127</v>
      </c>
      <c r="AK4" s="255" t="s">
        <v>126</v>
      </c>
      <c r="AL4" s="255" t="s">
        <v>129</v>
      </c>
      <c r="AM4" s="255" t="s">
        <v>128</v>
      </c>
      <c r="AN4" s="255" t="s">
        <v>127</v>
      </c>
      <c r="AO4" s="255" t="s">
        <v>126</v>
      </c>
      <c r="AP4" s="255" t="s">
        <v>129</v>
      </c>
      <c r="AQ4" s="255" t="s">
        <v>128</v>
      </c>
      <c r="AR4" s="255" t="s">
        <v>127</v>
      </c>
      <c r="AS4" s="255" t="s">
        <v>126</v>
      </c>
    </row>
    <row r="5" spans="1:45" s="245" customFormat="1" ht="24" customHeight="1">
      <c r="A5" s="1150" t="s">
        <v>21</v>
      </c>
      <c r="B5" s="1150"/>
      <c r="C5" s="1150"/>
      <c r="D5" s="1150"/>
      <c r="E5" s="1150"/>
      <c r="F5" s="1150"/>
      <c r="G5" s="1150"/>
      <c r="H5" s="1150"/>
      <c r="I5" s="1150"/>
      <c r="J5" s="1150"/>
      <c r="K5" s="1150"/>
      <c r="L5" s="1150"/>
      <c r="P5" s="254"/>
    </row>
    <row r="6" spans="1:45" s="245" customFormat="1" ht="24" customHeight="1">
      <c r="A6" s="244" t="s">
        <v>37</v>
      </c>
      <c r="B6" s="253">
        <v>2813227</v>
      </c>
      <c r="C6" s="253">
        <v>2816830</v>
      </c>
      <c r="D6" s="253">
        <v>0</v>
      </c>
      <c r="E6" s="253">
        <v>2822406</v>
      </c>
      <c r="F6" s="253">
        <v>2824842</v>
      </c>
      <c r="G6" s="253">
        <v>2827380</v>
      </c>
      <c r="H6" s="253">
        <v>2830011</v>
      </c>
      <c r="I6" s="253">
        <v>2832750</v>
      </c>
      <c r="J6" s="253">
        <v>2835578</v>
      </c>
      <c r="K6" s="253">
        <v>2838488</v>
      </c>
      <c r="L6" s="253">
        <v>2827922</v>
      </c>
      <c r="M6" s="253">
        <v>2808574</v>
      </c>
      <c r="N6" s="253">
        <f>SUM(N7:N16)</f>
        <v>8102021.7699999996</v>
      </c>
      <c r="O6" s="253">
        <v>2783485</v>
      </c>
      <c r="P6" s="253">
        <v>2781365</v>
      </c>
      <c r="Q6" s="253">
        <v>2798379</v>
      </c>
      <c r="R6" s="253">
        <v>2505143</v>
      </c>
      <c r="S6" s="253">
        <v>2504279</v>
      </c>
      <c r="T6" s="253">
        <v>2503406</v>
      </c>
      <c r="U6" s="253">
        <v>2502233</v>
      </c>
      <c r="V6" s="253">
        <v>2501249</v>
      </c>
      <c r="W6" s="253">
        <v>2500474</v>
      </c>
      <c r="X6" s="253">
        <v>2499593</v>
      </c>
      <c r="Y6" s="253">
        <v>2498336</v>
      </c>
      <c r="Z6" s="253">
        <v>2497293</v>
      </c>
      <c r="AA6" s="253">
        <v>2496462</v>
      </c>
      <c r="AB6" s="253">
        <v>2495622</v>
      </c>
      <c r="AC6" s="253">
        <v>2494550</v>
      </c>
      <c r="AD6" s="253">
        <v>2493683</v>
      </c>
      <c r="AE6" s="253">
        <v>2493021</v>
      </c>
      <c r="AF6" s="253">
        <v>2492157</v>
      </c>
      <c r="AG6" s="253">
        <v>2490702</v>
      </c>
      <c r="AH6" s="253">
        <v>2489461</v>
      </c>
      <c r="AI6" s="253">
        <v>2488457</v>
      </c>
      <c r="AJ6" s="253">
        <v>2487366</v>
      </c>
      <c r="AK6" s="253">
        <v>2485916</v>
      </c>
      <c r="AL6" s="253">
        <v>2484703</v>
      </c>
      <c r="AM6" s="253">
        <v>2483736</v>
      </c>
      <c r="AN6" s="253">
        <v>2482612</v>
      </c>
      <c r="AO6" s="253">
        <v>2480899</v>
      </c>
      <c r="AP6" s="253">
        <v>2479379</v>
      </c>
      <c r="AQ6" s="253">
        <v>2478039</v>
      </c>
      <c r="AR6" s="253">
        <v>2476634</v>
      </c>
      <c r="AS6" s="253">
        <v>2474936</v>
      </c>
    </row>
    <row r="7" spans="1:45" ht="24" customHeight="1">
      <c r="A7" s="245" t="s">
        <v>19</v>
      </c>
      <c r="B7" s="253">
        <v>2188698</v>
      </c>
      <c r="C7" s="253">
        <v>2195143</v>
      </c>
      <c r="D7" s="253">
        <v>0</v>
      </c>
      <c r="E7" s="253">
        <v>2206189</v>
      </c>
      <c r="F7" s="253">
        <v>2211286</v>
      </c>
      <c r="G7" s="253">
        <v>2216461</v>
      </c>
      <c r="H7" s="253">
        <v>2221532</v>
      </c>
      <c r="I7" s="253">
        <v>2226350</v>
      </c>
      <c r="J7" s="253">
        <v>2231241</v>
      </c>
      <c r="K7" s="253">
        <v>2236201</v>
      </c>
      <c r="L7" s="253">
        <v>2226720</v>
      </c>
      <c r="M7" s="253">
        <v>2206530.9900000002</v>
      </c>
      <c r="N7" s="253">
        <v>2192585</v>
      </c>
      <c r="O7" s="253">
        <v>2179550</v>
      </c>
      <c r="P7" s="253">
        <v>2178229</v>
      </c>
      <c r="Q7" s="253">
        <v>2199606</v>
      </c>
      <c r="R7" s="253">
        <v>2011469</v>
      </c>
      <c r="S7" s="253">
        <v>2014282</v>
      </c>
      <c r="T7" s="253">
        <v>2017213</v>
      </c>
      <c r="U7" s="253">
        <v>2019156</v>
      </c>
      <c r="V7" s="253">
        <v>2021364</v>
      </c>
      <c r="W7" s="253">
        <v>2023741</v>
      </c>
      <c r="X7" s="253">
        <v>2025910</v>
      </c>
      <c r="Y7" s="253">
        <v>2027645</v>
      </c>
      <c r="Z7" s="253">
        <v>2029679</v>
      </c>
      <c r="AA7" s="253">
        <v>2031873</v>
      </c>
      <c r="AB7" s="253">
        <v>2033816</v>
      </c>
      <c r="AC7" s="253">
        <v>2035816</v>
      </c>
      <c r="AD7" s="253">
        <v>2037730</v>
      </c>
      <c r="AE7" s="253">
        <v>2039805</v>
      </c>
      <c r="AF7" s="253">
        <v>2041594</v>
      </c>
      <c r="AG7" s="253">
        <v>2043022</v>
      </c>
      <c r="AH7" s="253">
        <v>2044122</v>
      </c>
      <c r="AI7" s="253">
        <v>2045917</v>
      </c>
      <c r="AJ7" s="253">
        <v>2047509</v>
      </c>
      <c r="AK7" s="253">
        <v>2048551</v>
      </c>
      <c r="AL7" s="253">
        <v>2049836</v>
      </c>
      <c r="AM7" s="253">
        <v>2051355</v>
      </c>
      <c r="AN7" s="253">
        <v>2052652</v>
      </c>
      <c r="AO7" s="253">
        <v>2053245</v>
      </c>
      <c r="AP7" s="253">
        <v>2054008</v>
      </c>
      <c r="AQ7" s="253">
        <v>2054924</v>
      </c>
      <c r="AR7" s="253">
        <v>2055690</v>
      </c>
      <c r="AS7" s="253">
        <v>2056013</v>
      </c>
    </row>
    <row r="8" spans="1:45" ht="24" customHeight="1">
      <c r="A8" s="232" t="s">
        <v>18</v>
      </c>
      <c r="B8" s="250">
        <v>1505335</v>
      </c>
      <c r="C8" s="250">
        <v>1535059</v>
      </c>
      <c r="D8" s="250">
        <v>0</v>
      </c>
      <c r="E8" s="250">
        <v>1563389</v>
      </c>
      <c r="F8" s="250">
        <v>1502603.69</v>
      </c>
      <c r="G8" s="250">
        <v>1545275.34</v>
      </c>
      <c r="H8" s="250">
        <v>1578967</v>
      </c>
      <c r="I8" s="250">
        <v>1620814</v>
      </c>
      <c r="J8" s="250">
        <v>1545098.37</v>
      </c>
      <c r="K8" s="250">
        <v>1601429</v>
      </c>
      <c r="L8" s="250">
        <v>1617704.64</v>
      </c>
      <c r="M8" s="250">
        <v>1632423.74</v>
      </c>
      <c r="N8" s="250">
        <v>1545564.5</v>
      </c>
      <c r="O8" s="250">
        <v>1535867</v>
      </c>
      <c r="P8" s="250">
        <v>1618443</v>
      </c>
      <c r="Q8" s="250">
        <v>1605386</v>
      </c>
      <c r="R8" s="250">
        <v>1406148</v>
      </c>
      <c r="S8" s="250">
        <v>1431328.7</v>
      </c>
      <c r="T8" s="250">
        <v>1436349.34</v>
      </c>
      <c r="U8" s="251">
        <v>1423198</v>
      </c>
      <c r="V8" s="250">
        <v>1393671.52</v>
      </c>
      <c r="W8" s="250">
        <v>1394825.33</v>
      </c>
      <c r="X8" s="250">
        <v>1397695.68</v>
      </c>
      <c r="Y8" s="250">
        <v>1410249</v>
      </c>
      <c r="Z8" s="250">
        <v>1311076.8500000001</v>
      </c>
      <c r="AA8" s="250">
        <v>1326644.72</v>
      </c>
      <c r="AB8" s="250">
        <v>1348183.1</v>
      </c>
      <c r="AC8" s="250">
        <v>1349536.11</v>
      </c>
      <c r="AD8" s="250">
        <v>1302016</v>
      </c>
      <c r="AE8" s="250">
        <v>1307880</v>
      </c>
      <c r="AF8" s="250">
        <v>1385879</v>
      </c>
      <c r="AG8" s="250">
        <v>1343211</v>
      </c>
      <c r="AH8" s="250">
        <v>1293967</v>
      </c>
      <c r="AI8" s="250">
        <v>1287096</v>
      </c>
      <c r="AJ8" s="250">
        <v>1311683</v>
      </c>
      <c r="AK8" s="250">
        <v>1319743</v>
      </c>
      <c r="AL8" s="250">
        <v>1268832</v>
      </c>
      <c r="AM8" s="250">
        <v>1245867</v>
      </c>
      <c r="AN8" s="250">
        <v>1201981</v>
      </c>
      <c r="AO8" s="250">
        <v>1244690</v>
      </c>
      <c r="AP8" s="250">
        <v>1264052</v>
      </c>
      <c r="AQ8" s="250">
        <v>1331745</v>
      </c>
      <c r="AR8" s="250">
        <v>1340769</v>
      </c>
      <c r="AS8" s="250">
        <v>1379330</v>
      </c>
    </row>
    <row r="9" spans="1:45" ht="24" customHeight="1">
      <c r="A9" s="232" t="s">
        <v>17</v>
      </c>
      <c r="B9" s="250">
        <v>1471271</v>
      </c>
      <c r="C9" s="250">
        <v>1512043</v>
      </c>
      <c r="D9" s="250">
        <v>0</v>
      </c>
      <c r="E9" s="250">
        <v>1563389</v>
      </c>
      <c r="F9" s="250">
        <v>1456537.76</v>
      </c>
      <c r="G9" s="250">
        <v>1508248.16</v>
      </c>
      <c r="H9" s="250">
        <v>1578967</v>
      </c>
      <c r="I9" s="250">
        <v>1605569</v>
      </c>
      <c r="J9" s="250">
        <v>1486068.45</v>
      </c>
      <c r="K9" s="250">
        <v>1576883.56</v>
      </c>
      <c r="L9" s="250">
        <v>1617704.64</v>
      </c>
      <c r="M9" s="250">
        <v>1632423.74</v>
      </c>
      <c r="N9" s="250">
        <v>1524267.77</v>
      </c>
      <c r="O9" s="250">
        <v>1512113</v>
      </c>
      <c r="P9" s="250">
        <v>1618443</v>
      </c>
      <c r="Q9" s="250">
        <v>1605386</v>
      </c>
      <c r="R9" s="250">
        <v>1374672</v>
      </c>
      <c r="S9" s="250">
        <v>1423509.89</v>
      </c>
      <c r="T9" s="250">
        <v>1434596.82</v>
      </c>
      <c r="U9" s="251">
        <v>1422981</v>
      </c>
      <c r="V9" s="250">
        <f t="shared" ref="V9:AC9" si="0">SUM(V10:V11)</f>
        <v>1386729.5999999999</v>
      </c>
      <c r="W9" s="250">
        <f t="shared" si="0"/>
        <v>1388766.43</v>
      </c>
      <c r="X9" s="250">
        <f t="shared" si="0"/>
        <v>1394966.22</v>
      </c>
      <c r="Y9" s="250">
        <f t="shared" si="0"/>
        <v>1410065.89</v>
      </c>
      <c r="Z9" s="250">
        <f t="shared" si="0"/>
        <v>1300059.04</v>
      </c>
      <c r="AA9" s="250">
        <f t="shared" si="0"/>
        <v>1307036.4400000002</v>
      </c>
      <c r="AB9" s="250">
        <f t="shared" si="0"/>
        <v>1348183.1099999999</v>
      </c>
      <c r="AC9" s="250">
        <f t="shared" si="0"/>
        <v>1348275.74</v>
      </c>
      <c r="AD9" s="250">
        <v>1278764</v>
      </c>
      <c r="AE9" s="250">
        <v>1288137</v>
      </c>
      <c r="AF9" s="250">
        <v>1385879</v>
      </c>
      <c r="AG9" s="250">
        <v>1335607</v>
      </c>
      <c r="AH9" s="250">
        <v>1261602</v>
      </c>
      <c r="AI9" s="250">
        <v>1275923</v>
      </c>
      <c r="AJ9" s="250">
        <v>1310835</v>
      </c>
      <c r="AK9" s="250">
        <v>1289383</v>
      </c>
      <c r="AL9" s="250">
        <v>1197845.3400000001</v>
      </c>
      <c r="AM9" s="250">
        <v>1197067</v>
      </c>
      <c r="AN9" s="250">
        <v>1178865</v>
      </c>
      <c r="AO9" s="250">
        <v>1224882</v>
      </c>
      <c r="AP9" s="250">
        <v>1141244</v>
      </c>
      <c r="AQ9" s="250">
        <v>1287643</v>
      </c>
      <c r="AR9" s="250">
        <v>1335269</v>
      </c>
      <c r="AS9" s="250">
        <v>1364796</v>
      </c>
    </row>
    <row r="10" spans="1:45" ht="24" customHeight="1">
      <c r="A10" s="232" t="s">
        <v>16</v>
      </c>
      <c r="B10" s="250">
        <v>1463504</v>
      </c>
      <c r="C10" s="250">
        <v>1497011</v>
      </c>
      <c r="D10" s="250">
        <v>0</v>
      </c>
      <c r="E10" s="250">
        <v>1554713</v>
      </c>
      <c r="F10" s="250">
        <v>1444247</v>
      </c>
      <c r="G10" s="250">
        <v>1502082.64</v>
      </c>
      <c r="H10" s="250">
        <v>1568700</v>
      </c>
      <c r="I10" s="250">
        <v>1596453</v>
      </c>
      <c r="J10" s="250">
        <v>1473724.65</v>
      </c>
      <c r="K10" s="250">
        <v>1558329.53</v>
      </c>
      <c r="L10" s="250">
        <v>1603167.91</v>
      </c>
      <c r="M10" s="250">
        <v>1616084.41</v>
      </c>
      <c r="N10" s="250">
        <v>1503381.22</v>
      </c>
      <c r="O10" s="250">
        <v>1501983</v>
      </c>
      <c r="P10" s="250">
        <v>1599586</v>
      </c>
      <c r="Q10" s="250">
        <v>1588286</v>
      </c>
      <c r="R10" s="250">
        <v>1349508</v>
      </c>
      <c r="S10" s="250">
        <v>1397340.87</v>
      </c>
      <c r="T10" s="250">
        <v>1405156.22</v>
      </c>
      <c r="U10" s="251">
        <v>1416408</v>
      </c>
      <c r="V10" s="250">
        <v>1362575.88</v>
      </c>
      <c r="W10" s="250">
        <v>1368351.78</v>
      </c>
      <c r="X10" s="250">
        <v>1366251.5</v>
      </c>
      <c r="Y10" s="250">
        <v>1389717.13</v>
      </c>
      <c r="Z10" s="250">
        <v>1280208.7</v>
      </c>
      <c r="AA10" s="250">
        <v>1281017.6100000001</v>
      </c>
      <c r="AB10" s="250">
        <v>1332622.46</v>
      </c>
      <c r="AC10" s="250">
        <v>1315215.74</v>
      </c>
      <c r="AD10" s="250">
        <v>1244459</v>
      </c>
      <c r="AE10" s="250">
        <v>1264250</v>
      </c>
      <c r="AF10" s="250">
        <v>1361389</v>
      </c>
      <c r="AG10" s="250">
        <v>1306823</v>
      </c>
      <c r="AH10" s="250">
        <v>1236358</v>
      </c>
      <c r="AI10" s="250">
        <v>1252549</v>
      </c>
      <c r="AJ10" s="250">
        <v>1299811</v>
      </c>
      <c r="AK10" s="250">
        <v>1263081</v>
      </c>
      <c r="AL10" s="250">
        <v>1184151</v>
      </c>
      <c r="AM10" s="250">
        <v>1171095</v>
      </c>
      <c r="AN10" s="250">
        <v>1164344</v>
      </c>
      <c r="AO10" s="250">
        <v>1198717</v>
      </c>
      <c r="AP10" s="250">
        <v>1123034</v>
      </c>
      <c r="AQ10" s="250">
        <v>1235110</v>
      </c>
      <c r="AR10" s="250">
        <v>1289307</v>
      </c>
      <c r="AS10" s="250">
        <v>1347607</v>
      </c>
    </row>
    <row r="11" spans="1:45" ht="24" customHeight="1">
      <c r="A11" s="232" t="s">
        <v>15</v>
      </c>
      <c r="B11" s="250">
        <v>7767</v>
      </c>
      <c r="C11" s="250">
        <v>15032</v>
      </c>
      <c r="D11" s="250">
        <v>0</v>
      </c>
      <c r="E11" s="250">
        <v>8675</v>
      </c>
      <c r="F11" s="250">
        <v>12290.76</v>
      </c>
      <c r="G11" s="250">
        <v>6165.52</v>
      </c>
      <c r="H11" s="250">
        <v>10267</v>
      </c>
      <c r="I11" s="250">
        <v>9116</v>
      </c>
      <c r="J11" s="250">
        <v>12343</v>
      </c>
      <c r="K11" s="250">
        <v>18554.03</v>
      </c>
      <c r="L11" s="250">
        <v>14536.73</v>
      </c>
      <c r="M11" s="250">
        <v>16340</v>
      </c>
      <c r="N11" s="250">
        <v>20886.55</v>
      </c>
      <c r="O11" s="250">
        <v>10130</v>
      </c>
      <c r="P11" s="250">
        <v>18857</v>
      </c>
      <c r="Q11" s="250">
        <v>17100</v>
      </c>
      <c r="R11" s="250">
        <v>25164</v>
      </c>
      <c r="S11" s="250">
        <v>26169.03</v>
      </c>
      <c r="T11" s="250">
        <v>29440.6</v>
      </c>
      <c r="U11" s="251">
        <v>6573</v>
      </c>
      <c r="V11" s="250">
        <v>24153.72</v>
      </c>
      <c r="W11" s="250">
        <v>20414.650000000001</v>
      </c>
      <c r="X11" s="250">
        <v>28714.720000000001</v>
      </c>
      <c r="Y11" s="250">
        <v>20348.759999999998</v>
      </c>
      <c r="Z11" s="250">
        <v>19850.34</v>
      </c>
      <c r="AA11" s="250">
        <v>26018.83</v>
      </c>
      <c r="AB11" s="250">
        <v>15560.65</v>
      </c>
      <c r="AC11" s="250">
        <v>33060</v>
      </c>
      <c r="AD11" s="250">
        <v>34305</v>
      </c>
      <c r="AE11" s="250">
        <v>23887</v>
      </c>
      <c r="AF11" s="250">
        <v>24490</v>
      </c>
      <c r="AG11" s="250">
        <v>28784</v>
      </c>
      <c r="AH11" s="250">
        <v>25244</v>
      </c>
      <c r="AI11" s="250">
        <v>23374</v>
      </c>
      <c r="AJ11" s="250">
        <v>11024</v>
      </c>
      <c r="AK11" s="250">
        <v>26302</v>
      </c>
      <c r="AL11" s="250">
        <v>13694</v>
      </c>
      <c r="AM11" s="250">
        <v>25972</v>
      </c>
      <c r="AN11" s="250">
        <v>14521</v>
      </c>
      <c r="AO11" s="250">
        <v>26165</v>
      </c>
      <c r="AP11" s="250">
        <v>18210</v>
      </c>
      <c r="AQ11" s="250">
        <v>52533</v>
      </c>
      <c r="AR11" s="250">
        <v>45962</v>
      </c>
      <c r="AS11" s="250">
        <v>17189</v>
      </c>
    </row>
    <row r="12" spans="1:45" ht="24" customHeight="1">
      <c r="A12" s="232" t="s">
        <v>14</v>
      </c>
      <c r="B12" s="250">
        <v>34064</v>
      </c>
      <c r="C12" s="250">
        <v>23016</v>
      </c>
      <c r="D12" s="250">
        <v>0</v>
      </c>
      <c r="E12" s="250">
        <v>0</v>
      </c>
      <c r="F12" s="250">
        <v>46065.93</v>
      </c>
      <c r="G12" s="250">
        <v>37027.18</v>
      </c>
      <c r="H12" s="250">
        <v>0</v>
      </c>
      <c r="I12" s="250">
        <v>15245</v>
      </c>
      <c r="J12" s="250">
        <v>59029.919999999998</v>
      </c>
      <c r="K12" s="250">
        <v>24545.439999999999</v>
      </c>
      <c r="L12" s="250">
        <v>0</v>
      </c>
      <c r="M12" s="250">
        <v>0</v>
      </c>
      <c r="N12" s="250">
        <v>21296.73</v>
      </c>
      <c r="O12" s="250">
        <v>23754</v>
      </c>
      <c r="P12" s="250">
        <v>0</v>
      </c>
      <c r="Q12" s="250">
        <v>0</v>
      </c>
      <c r="R12" s="250">
        <v>31476</v>
      </c>
      <c r="S12" s="250">
        <v>7818.8</v>
      </c>
      <c r="T12" s="250">
        <v>1752.52</v>
      </c>
      <c r="U12" s="233">
        <v>217</v>
      </c>
      <c r="V12" s="250">
        <v>6941.91</v>
      </c>
      <c r="W12" s="250">
        <v>6058.9</v>
      </c>
      <c r="X12" s="250">
        <v>2729.46</v>
      </c>
      <c r="Y12" s="250">
        <v>183.11</v>
      </c>
      <c r="Z12" s="250">
        <v>11017.81</v>
      </c>
      <c r="AA12" s="250">
        <v>19608.28</v>
      </c>
      <c r="AB12" s="250">
        <v>0</v>
      </c>
      <c r="AC12" s="250">
        <v>1259.8699999999999</v>
      </c>
      <c r="AD12" s="250">
        <v>23252</v>
      </c>
      <c r="AE12" s="250">
        <v>19743</v>
      </c>
      <c r="AF12" s="250">
        <v>0</v>
      </c>
      <c r="AG12" s="250">
        <v>7604</v>
      </c>
      <c r="AH12" s="250">
        <v>32365</v>
      </c>
      <c r="AI12" s="250">
        <v>11173</v>
      </c>
      <c r="AJ12" s="250">
        <v>848</v>
      </c>
      <c r="AK12" s="250">
        <v>30360</v>
      </c>
      <c r="AL12" s="250">
        <v>70987</v>
      </c>
      <c r="AM12" s="250">
        <v>48800</v>
      </c>
      <c r="AN12" s="250">
        <v>23116</v>
      </c>
      <c r="AO12" s="250">
        <v>19808</v>
      </c>
      <c r="AP12" s="250">
        <v>122808</v>
      </c>
      <c r="AQ12" s="250">
        <v>44102</v>
      </c>
      <c r="AR12" s="250">
        <v>5501</v>
      </c>
      <c r="AS12" s="250">
        <v>14534</v>
      </c>
    </row>
    <row r="13" spans="1:45" ht="24" customHeight="1">
      <c r="A13" s="232" t="s">
        <v>13</v>
      </c>
      <c r="B13" s="250">
        <v>683363</v>
      </c>
      <c r="C13" s="250">
        <v>660083</v>
      </c>
      <c r="D13" s="250">
        <v>0</v>
      </c>
      <c r="E13" s="250">
        <v>642800</v>
      </c>
      <c r="F13" s="250">
        <v>708682.31</v>
      </c>
      <c r="G13" s="250">
        <v>671185.66</v>
      </c>
      <c r="H13" s="250">
        <v>642565</v>
      </c>
      <c r="I13" s="250">
        <v>605536</v>
      </c>
      <c r="J13" s="250">
        <v>686142.63</v>
      </c>
      <c r="K13" s="250">
        <v>634772</v>
      </c>
      <c r="L13" s="250">
        <v>609015.36</v>
      </c>
      <c r="M13" s="250">
        <v>574107.25</v>
      </c>
      <c r="N13" s="250">
        <v>647020</v>
      </c>
      <c r="O13" s="250">
        <v>643683</v>
      </c>
      <c r="P13" s="250">
        <v>559786</v>
      </c>
      <c r="Q13" s="250">
        <v>594220</v>
      </c>
      <c r="R13" s="250">
        <v>605321</v>
      </c>
      <c r="S13" s="250">
        <v>582953.31000000006</v>
      </c>
      <c r="T13" s="250">
        <v>580863.66</v>
      </c>
      <c r="U13" s="251">
        <v>595958</v>
      </c>
      <c r="V13" s="250">
        <v>627692.48</v>
      </c>
      <c r="W13" s="250">
        <v>628915</v>
      </c>
      <c r="X13" s="250">
        <v>628214.31999999995</v>
      </c>
      <c r="Y13" s="250">
        <v>617396</v>
      </c>
      <c r="Z13" s="250">
        <v>718602</v>
      </c>
      <c r="AA13" s="250">
        <v>705228.28</v>
      </c>
      <c r="AB13" s="250">
        <v>685632.9</v>
      </c>
      <c r="AC13" s="250">
        <v>686279.89</v>
      </c>
      <c r="AD13" s="250">
        <v>735714</v>
      </c>
      <c r="AE13" s="250">
        <v>731924</v>
      </c>
      <c r="AF13" s="250">
        <v>655715</v>
      </c>
      <c r="AG13" s="250">
        <v>699811</v>
      </c>
      <c r="AH13" s="250">
        <v>750155</v>
      </c>
      <c r="AI13" s="250">
        <v>758821</v>
      </c>
      <c r="AJ13" s="250">
        <v>735826</v>
      </c>
      <c r="AK13" s="250">
        <v>728808</v>
      </c>
      <c r="AL13" s="250">
        <v>781004</v>
      </c>
      <c r="AM13" s="250">
        <v>805488</v>
      </c>
      <c r="AN13" s="250">
        <v>850671</v>
      </c>
      <c r="AO13" s="250">
        <v>808555</v>
      </c>
      <c r="AP13" s="250">
        <v>789956</v>
      </c>
      <c r="AQ13" s="250">
        <v>723179</v>
      </c>
      <c r="AR13" s="250">
        <v>714921</v>
      </c>
      <c r="AS13" s="250">
        <v>676683</v>
      </c>
    </row>
    <row r="14" spans="1:45" ht="24" customHeight="1">
      <c r="A14" s="232" t="s">
        <v>12</v>
      </c>
      <c r="B14" s="250">
        <v>208913</v>
      </c>
      <c r="C14" s="250">
        <v>201112</v>
      </c>
      <c r="D14" s="250">
        <v>0</v>
      </c>
      <c r="E14" s="250">
        <v>140723</v>
      </c>
      <c r="F14" s="250">
        <v>182252.23</v>
      </c>
      <c r="G14" s="250">
        <v>188434.23</v>
      </c>
      <c r="H14" s="250">
        <v>164644</v>
      </c>
      <c r="I14" s="250">
        <v>123080</v>
      </c>
      <c r="J14" s="250">
        <v>182035.07</v>
      </c>
      <c r="K14" s="250">
        <v>154532.07</v>
      </c>
      <c r="L14" s="250">
        <v>111498.86</v>
      </c>
      <c r="M14" s="250">
        <v>105861.19</v>
      </c>
      <c r="N14" s="250">
        <v>170922</v>
      </c>
      <c r="O14" s="250">
        <v>158805</v>
      </c>
      <c r="P14" s="250">
        <v>114091</v>
      </c>
      <c r="Q14" s="250">
        <v>132557</v>
      </c>
      <c r="R14" s="250">
        <v>133436</v>
      </c>
      <c r="S14" s="250">
        <v>124425.07</v>
      </c>
      <c r="T14" s="250">
        <v>139422.79</v>
      </c>
      <c r="U14" s="251">
        <v>129657</v>
      </c>
      <c r="V14" s="250">
        <v>146230.32</v>
      </c>
      <c r="W14" s="250">
        <v>137003.28</v>
      </c>
      <c r="X14" s="250">
        <v>143045</v>
      </c>
      <c r="Y14" s="250">
        <v>132986</v>
      </c>
      <c r="Z14" s="250">
        <v>153713</v>
      </c>
      <c r="AA14" s="250">
        <v>158874.64000000001</v>
      </c>
      <c r="AB14" s="250">
        <v>148910.26</v>
      </c>
      <c r="AC14" s="250">
        <v>144552</v>
      </c>
      <c r="AD14" s="250">
        <v>171545</v>
      </c>
      <c r="AE14" s="250">
        <v>169984</v>
      </c>
      <c r="AF14" s="250">
        <v>124602</v>
      </c>
      <c r="AG14" s="250">
        <v>160442</v>
      </c>
      <c r="AH14" s="250">
        <v>188581</v>
      </c>
      <c r="AI14" s="250">
        <v>206694</v>
      </c>
      <c r="AJ14" s="250">
        <v>201254</v>
      </c>
      <c r="AK14" s="250">
        <v>177775</v>
      </c>
      <c r="AL14" s="250">
        <v>189898</v>
      </c>
      <c r="AM14" s="250">
        <v>190458</v>
      </c>
      <c r="AN14" s="250">
        <v>231399</v>
      </c>
      <c r="AO14" s="250">
        <v>189374</v>
      </c>
      <c r="AP14" s="250">
        <v>200436</v>
      </c>
      <c r="AQ14" s="250">
        <v>176780</v>
      </c>
      <c r="AR14" s="250">
        <v>188941</v>
      </c>
      <c r="AS14" s="250">
        <v>167894</v>
      </c>
    </row>
    <row r="15" spans="1:45" ht="24" customHeight="1">
      <c r="A15" s="232" t="s">
        <v>11</v>
      </c>
      <c r="B15" s="250">
        <v>193512</v>
      </c>
      <c r="C15" s="250">
        <v>141671</v>
      </c>
      <c r="D15" s="250">
        <v>0</v>
      </c>
      <c r="E15" s="250">
        <v>174219</v>
      </c>
      <c r="F15" s="250">
        <v>200056.25</v>
      </c>
      <c r="G15" s="250">
        <v>193428.5</v>
      </c>
      <c r="H15" s="250">
        <v>184031</v>
      </c>
      <c r="I15" s="250">
        <v>201126</v>
      </c>
      <c r="J15" s="250">
        <v>162074.07</v>
      </c>
      <c r="K15" s="250">
        <v>98885.42</v>
      </c>
      <c r="L15" s="250">
        <v>181215.71</v>
      </c>
      <c r="M15" s="250">
        <v>162067.22</v>
      </c>
      <c r="N15" s="250">
        <v>174123</v>
      </c>
      <c r="O15" s="250">
        <v>143024</v>
      </c>
      <c r="P15" s="250">
        <v>160731</v>
      </c>
      <c r="Q15" s="250">
        <v>173462</v>
      </c>
      <c r="R15" s="250">
        <v>157080</v>
      </c>
      <c r="S15" s="250">
        <v>139982.38</v>
      </c>
      <c r="T15" s="250">
        <v>148813.85999999999</v>
      </c>
      <c r="U15" s="251">
        <v>161087</v>
      </c>
      <c r="V15" s="250">
        <v>185051.26</v>
      </c>
      <c r="W15" s="250">
        <v>165750.10999999999</v>
      </c>
      <c r="X15" s="250">
        <v>162832.78</v>
      </c>
      <c r="Y15" s="250">
        <v>168633</v>
      </c>
      <c r="Z15" s="250">
        <v>197812</v>
      </c>
      <c r="AA15" s="250">
        <v>161038.28</v>
      </c>
      <c r="AB15" s="250">
        <v>177871.09</v>
      </c>
      <c r="AC15" s="250">
        <v>174288.38</v>
      </c>
      <c r="AD15" s="250">
        <v>166278</v>
      </c>
      <c r="AE15" s="250">
        <v>153574</v>
      </c>
      <c r="AF15" s="250">
        <v>169469</v>
      </c>
      <c r="AG15" s="250">
        <v>159828</v>
      </c>
      <c r="AH15" s="250">
        <v>184542</v>
      </c>
      <c r="AI15" s="250">
        <v>158171</v>
      </c>
      <c r="AJ15" s="250">
        <v>168598</v>
      </c>
      <c r="AK15" s="250">
        <v>162902</v>
      </c>
      <c r="AL15" s="250">
        <v>174365</v>
      </c>
      <c r="AM15" s="250">
        <v>164015</v>
      </c>
      <c r="AN15" s="250">
        <v>178910</v>
      </c>
      <c r="AO15" s="250">
        <v>150770</v>
      </c>
      <c r="AP15" s="250">
        <v>166868</v>
      </c>
      <c r="AQ15" s="250">
        <v>167388</v>
      </c>
      <c r="AR15" s="250">
        <v>168196</v>
      </c>
      <c r="AS15" s="250">
        <v>156802</v>
      </c>
    </row>
    <row r="16" spans="1:45" ht="24" customHeight="1">
      <c r="A16" s="252" t="s">
        <v>10</v>
      </c>
      <c r="B16" s="250">
        <v>280938</v>
      </c>
      <c r="C16" s="250">
        <v>317300</v>
      </c>
      <c r="D16" s="250">
        <v>0</v>
      </c>
      <c r="E16" s="250">
        <v>327858</v>
      </c>
      <c r="F16" s="250">
        <v>326373.83</v>
      </c>
      <c r="G16" s="250">
        <v>289322.93</v>
      </c>
      <c r="H16" s="250">
        <v>293890</v>
      </c>
      <c r="I16" s="250">
        <v>281330</v>
      </c>
      <c r="J16" s="250">
        <v>342034</v>
      </c>
      <c r="K16" s="250">
        <v>381354.5</v>
      </c>
      <c r="L16" s="250">
        <v>316300.79999999999</v>
      </c>
      <c r="M16" s="250">
        <v>306178</v>
      </c>
      <c r="N16" s="250">
        <v>301975</v>
      </c>
      <c r="O16" s="250">
        <v>341854</v>
      </c>
      <c r="P16" s="250">
        <v>284964</v>
      </c>
      <c r="Q16" s="250">
        <v>288201</v>
      </c>
      <c r="R16" s="250">
        <v>314805</v>
      </c>
      <c r="S16" s="250">
        <v>318545.84999999998</v>
      </c>
      <c r="T16" s="250">
        <v>292627.01</v>
      </c>
      <c r="U16" s="251">
        <v>305214</v>
      </c>
      <c r="V16" s="250">
        <v>296410.90000000002</v>
      </c>
      <c r="W16" s="250">
        <v>326162.27</v>
      </c>
      <c r="X16" s="250">
        <v>322335.86</v>
      </c>
      <c r="Y16" s="250">
        <v>315777</v>
      </c>
      <c r="Z16" s="250">
        <v>367077</v>
      </c>
      <c r="AA16" s="250">
        <v>385315.36</v>
      </c>
      <c r="AB16" s="250">
        <v>358851.56</v>
      </c>
      <c r="AC16" s="250">
        <v>367440.13</v>
      </c>
      <c r="AD16" s="250">
        <v>397891</v>
      </c>
      <c r="AE16" s="250">
        <v>408366</v>
      </c>
      <c r="AF16" s="250">
        <v>361644</v>
      </c>
      <c r="AG16" s="250">
        <v>379541</v>
      </c>
      <c r="AH16" s="250">
        <v>377032</v>
      </c>
      <c r="AI16" s="250">
        <v>393956</v>
      </c>
      <c r="AJ16" s="250">
        <v>365974</v>
      </c>
      <c r="AK16" s="250">
        <v>388131</v>
      </c>
      <c r="AL16" s="250">
        <v>416741</v>
      </c>
      <c r="AM16" s="250">
        <v>451015</v>
      </c>
      <c r="AN16" s="250">
        <v>440362</v>
      </c>
      <c r="AO16" s="250">
        <v>468411</v>
      </c>
      <c r="AP16" s="250">
        <v>422652</v>
      </c>
      <c r="AQ16" s="250">
        <v>379011</v>
      </c>
      <c r="AR16" s="250">
        <v>357784</v>
      </c>
      <c r="AS16" s="250">
        <v>351987</v>
      </c>
    </row>
    <row r="17" spans="1:45" s="245" customFormat="1" ht="24" customHeight="1">
      <c r="A17" s="249" t="s">
        <v>166</v>
      </c>
      <c r="B17" s="240">
        <v>624529</v>
      </c>
      <c r="C17" s="240">
        <v>621686</v>
      </c>
      <c r="D17" s="240" t="s">
        <v>167</v>
      </c>
      <c r="E17" s="240">
        <v>616217</v>
      </c>
      <c r="F17" s="240">
        <v>613556</v>
      </c>
      <c r="G17" s="240">
        <v>610919</v>
      </c>
      <c r="H17" s="240">
        <v>608479</v>
      </c>
      <c r="I17" s="240">
        <v>606400</v>
      </c>
      <c r="J17" s="240">
        <v>604337</v>
      </c>
      <c r="K17" s="240">
        <v>602287</v>
      </c>
      <c r="L17" s="240">
        <v>601202</v>
      </c>
      <c r="M17" s="240">
        <v>602043</v>
      </c>
      <c r="N17" s="240">
        <f t="shared" ref="N17:AG17" si="1">N6-N7</f>
        <v>5909436.7699999996</v>
      </c>
      <c r="O17" s="240">
        <f t="shared" si="1"/>
        <v>603935</v>
      </c>
      <c r="P17" s="240">
        <f t="shared" si="1"/>
        <v>603136</v>
      </c>
      <c r="Q17" s="240">
        <f t="shared" si="1"/>
        <v>598773</v>
      </c>
      <c r="R17" s="240">
        <f t="shared" si="1"/>
        <v>493674</v>
      </c>
      <c r="S17" s="240">
        <f t="shared" si="1"/>
        <v>489997</v>
      </c>
      <c r="T17" s="240">
        <f t="shared" si="1"/>
        <v>486193</v>
      </c>
      <c r="U17" s="240">
        <f t="shared" si="1"/>
        <v>483077</v>
      </c>
      <c r="V17" s="240">
        <f t="shared" si="1"/>
        <v>479885</v>
      </c>
      <c r="W17" s="240">
        <f t="shared" si="1"/>
        <v>476733</v>
      </c>
      <c r="X17" s="240">
        <f t="shared" si="1"/>
        <v>473683</v>
      </c>
      <c r="Y17" s="240">
        <f t="shared" si="1"/>
        <v>470691</v>
      </c>
      <c r="Z17" s="240">
        <f t="shared" si="1"/>
        <v>467614</v>
      </c>
      <c r="AA17" s="240">
        <f t="shared" si="1"/>
        <v>464589</v>
      </c>
      <c r="AB17" s="240">
        <f t="shared" si="1"/>
        <v>461806</v>
      </c>
      <c r="AC17" s="240">
        <f t="shared" si="1"/>
        <v>458734</v>
      </c>
      <c r="AD17" s="240">
        <f t="shared" si="1"/>
        <v>455953</v>
      </c>
      <c r="AE17" s="240">
        <f t="shared" si="1"/>
        <v>453216</v>
      </c>
      <c r="AF17" s="240">
        <f t="shared" si="1"/>
        <v>450563</v>
      </c>
      <c r="AG17" s="240">
        <f t="shared" si="1"/>
        <v>447680</v>
      </c>
      <c r="AH17" s="240">
        <f t="shared" ref="AH17:AO17" si="2">AH6-AH7</f>
        <v>445339</v>
      </c>
      <c r="AI17" s="240">
        <f t="shared" si="2"/>
        <v>442540</v>
      </c>
      <c r="AJ17" s="240">
        <f t="shared" si="2"/>
        <v>439857</v>
      </c>
      <c r="AK17" s="240">
        <f t="shared" si="2"/>
        <v>437365</v>
      </c>
      <c r="AL17" s="240">
        <f t="shared" si="2"/>
        <v>434867</v>
      </c>
      <c r="AM17" s="240">
        <f t="shared" si="2"/>
        <v>432381</v>
      </c>
      <c r="AN17" s="240">
        <f t="shared" si="2"/>
        <v>429960</v>
      </c>
      <c r="AO17" s="240">
        <f t="shared" si="2"/>
        <v>427654</v>
      </c>
      <c r="AP17" s="240">
        <f>AP6-AP7</f>
        <v>425371</v>
      </c>
      <c r="AQ17" s="240">
        <f t="shared" ref="AQ17:AS17" si="3">AQ6-AQ7</f>
        <v>423115</v>
      </c>
      <c r="AR17" s="240">
        <f t="shared" si="3"/>
        <v>420944</v>
      </c>
      <c r="AS17" s="240">
        <f t="shared" si="3"/>
        <v>418923</v>
      </c>
    </row>
    <row r="18" spans="1:45" s="245" customFormat="1" ht="29.25" customHeight="1">
      <c r="A18" s="1151" t="s">
        <v>20</v>
      </c>
      <c r="B18" s="1151"/>
      <c r="C18" s="1151"/>
      <c r="D18" s="1151"/>
      <c r="E18" s="1151"/>
      <c r="F18" s="1151"/>
      <c r="G18" s="1151"/>
      <c r="H18" s="1151"/>
      <c r="I18" s="1151"/>
      <c r="J18" s="1151"/>
      <c r="K18" s="1151"/>
      <c r="L18" s="1151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AB18" s="247"/>
      <c r="AC18" s="246"/>
    </row>
    <row r="19" spans="1:45" ht="24" customHeight="1">
      <c r="A19" s="244" t="s">
        <v>37</v>
      </c>
      <c r="B19" s="243">
        <v>100</v>
      </c>
      <c r="C19" s="243">
        <v>100</v>
      </c>
      <c r="D19" s="240">
        <v>0</v>
      </c>
      <c r="E19" s="243">
        <f>E7*100/E$7</f>
        <v>100</v>
      </c>
      <c r="F19" s="243">
        <f t="shared" ref="F19:AG19" si="4">F6*100/F$6</f>
        <v>100</v>
      </c>
      <c r="G19" s="243">
        <f t="shared" si="4"/>
        <v>100</v>
      </c>
      <c r="H19" s="243">
        <f t="shared" si="4"/>
        <v>100</v>
      </c>
      <c r="I19" s="243">
        <f t="shared" si="4"/>
        <v>100</v>
      </c>
      <c r="J19" s="243">
        <f t="shared" si="4"/>
        <v>100</v>
      </c>
      <c r="K19" s="243">
        <f t="shared" si="4"/>
        <v>100</v>
      </c>
      <c r="L19" s="243">
        <f t="shared" si="4"/>
        <v>100</v>
      </c>
      <c r="M19" s="242">
        <f t="shared" si="4"/>
        <v>100</v>
      </c>
      <c r="N19" s="242">
        <f t="shared" si="4"/>
        <v>100</v>
      </c>
      <c r="O19" s="242">
        <f t="shared" si="4"/>
        <v>100</v>
      </c>
      <c r="P19" s="242">
        <f t="shared" si="4"/>
        <v>100</v>
      </c>
      <c r="Q19" s="242">
        <f t="shared" si="4"/>
        <v>100</v>
      </c>
      <c r="R19" s="242">
        <f t="shared" si="4"/>
        <v>100</v>
      </c>
      <c r="S19" s="242">
        <f t="shared" si="4"/>
        <v>100</v>
      </c>
      <c r="T19" s="242">
        <f t="shared" si="4"/>
        <v>100</v>
      </c>
      <c r="U19" s="242">
        <f t="shared" si="4"/>
        <v>100</v>
      </c>
      <c r="V19" s="242">
        <f t="shared" si="4"/>
        <v>100</v>
      </c>
      <c r="W19" s="242">
        <f t="shared" si="4"/>
        <v>100</v>
      </c>
      <c r="X19" s="242">
        <f t="shared" si="4"/>
        <v>100</v>
      </c>
      <c r="Y19" s="242">
        <f t="shared" si="4"/>
        <v>100</v>
      </c>
      <c r="Z19" s="242">
        <f t="shared" si="4"/>
        <v>100</v>
      </c>
      <c r="AA19" s="242">
        <f t="shared" si="4"/>
        <v>100</v>
      </c>
      <c r="AB19" s="242">
        <f t="shared" si="4"/>
        <v>100</v>
      </c>
      <c r="AC19" s="242">
        <f t="shared" si="4"/>
        <v>100</v>
      </c>
      <c r="AD19" s="242">
        <f t="shared" si="4"/>
        <v>100</v>
      </c>
      <c r="AE19" s="242">
        <f t="shared" si="4"/>
        <v>100</v>
      </c>
      <c r="AF19" s="242">
        <f t="shared" si="4"/>
        <v>100</v>
      </c>
      <c r="AG19" s="242">
        <f t="shared" si="4"/>
        <v>100</v>
      </c>
      <c r="AH19" s="242">
        <f t="shared" ref="AH19:AO19" si="5">AH6*100/AH$6</f>
        <v>100</v>
      </c>
      <c r="AI19" s="242">
        <f t="shared" si="5"/>
        <v>100</v>
      </c>
      <c r="AJ19" s="242">
        <f t="shared" si="5"/>
        <v>100</v>
      </c>
      <c r="AK19" s="242">
        <f t="shared" si="5"/>
        <v>100</v>
      </c>
      <c r="AL19" s="242">
        <f t="shared" si="5"/>
        <v>100</v>
      </c>
      <c r="AM19" s="242">
        <f t="shared" si="5"/>
        <v>100</v>
      </c>
      <c r="AN19" s="242">
        <f t="shared" si="5"/>
        <v>100</v>
      </c>
      <c r="AO19" s="242">
        <f t="shared" si="5"/>
        <v>100</v>
      </c>
      <c r="AP19" s="242">
        <f t="shared" ref="AP19:AS19" si="6">AP6*100/AP$6</f>
        <v>100</v>
      </c>
      <c r="AQ19" s="242">
        <f t="shared" si="6"/>
        <v>100</v>
      </c>
      <c r="AR19" s="242">
        <f t="shared" si="6"/>
        <v>100</v>
      </c>
      <c r="AS19" s="242">
        <f t="shared" si="6"/>
        <v>100</v>
      </c>
    </row>
    <row r="20" spans="1:45" ht="24" customHeight="1">
      <c r="A20" s="18" t="s">
        <v>19</v>
      </c>
      <c r="B20" s="241">
        <f>(B7/B6)*100</f>
        <v>77.800262829839184</v>
      </c>
      <c r="C20" s="241">
        <f>(C7/C6)*100</f>
        <v>77.929552014143553</v>
      </c>
      <c r="D20" s="240">
        <v>0</v>
      </c>
      <c r="E20" s="241">
        <f t="shared" ref="E20:AG20" si="7">(E7/E6)*100</f>
        <v>78.16696109631286</v>
      </c>
      <c r="F20" s="241">
        <f t="shared" si="7"/>
        <v>78.279988756893303</v>
      </c>
      <c r="G20" s="241">
        <f t="shared" si="7"/>
        <v>78.392752300716566</v>
      </c>
      <c r="H20" s="241">
        <f t="shared" si="7"/>
        <v>78.499058837580492</v>
      </c>
      <c r="I20" s="241">
        <f t="shared" si="7"/>
        <v>78.593239784661549</v>
      </c>
      <c r="J20" s="241">
        <f t="shared" si="7"/>
        <v>78.687343462250027</v>
      </c>
      <c r="K20" s="241">
        <f t="shared" si="7"/>
        <v>78.78141461228654</v>
      </c>
      <c r="L20" s="241">
        <f t="shared" si="7"/>
        <v>78.740502743710749</v>
      </c>
      <c r="M20" s="241">
        <f t="shared" si="7"/>
        <v>78.564103705296716</v>
      </c>
      <c r="N20" s="241">
        <f t="shared" si="7"/>
        <v>27.062195859787231</v>
      </c>
      <c r="O20" s="241">
        <f t="shared" si="7"/>
        <v>78.302918822986285</v>
      </c>
      <c r="P20" s="241">
        <f t="shared" si="7"/>
        <v>78.315107869697073</v>
      </c>
      <c r="Q20" s="241">
        <f t="shared" si="7"/>
        <v>78.602862585804132</v>
      </c>
      <c r="R20" s="241">
        <f t="shared" si="7"/>
        <v>80.293580047127051</v>
      </c>
      <c r="S20" s="241">
        <f t="shared" si="7"/>
        <v>80.433609833409136</v>
      </c>
      <c r="T20" s="241">
        <f t="shared" si="7"/>
        <v>80.578739525270777</v>
      </c>
      <c r="U20" s="241">
        <f t="shared" si="7"/>
        <v>80.694163972739545</v>
      </c>
      <c r="V20" s="241">
        <f t="shared" si="7"/>
        <v>80.814185233057572</v>
      </c>
      <c r="W20" s="241">
        <f t="shared" si="7"/>
        <v>80.934294857694979</v>
      </c>
      <c r="X20" s="241">
        <f t="shared" si="7"/>
        <v>81.049594874045496</v>
      </c>
      <c r="Y20" s="241">
        <f t="shared" si="7"/>
        <v>81.159819976176138</v>
      </c>
      <c r="Z20" s="241">
        <f t="shared" si="7"/>
        <v>81.275164748389557</v>
      </c>
      <c r="AA20" s="241">
        <f t="shared" si="7"/>
        <v>81.390103274153574</v>
      </c>
      <c r="AB20" s="241">
        <f t="shared" si="7"/>
        <v>81.495354665089508</v>
      </c>
      <c r="AC20" s="241">
        <f t="shared" si="7"/>
        <v>81.610551001182571</v>
      </c>
      <c r="AD20" s="241">
        <f t="shared" si="7"/>
        <v>81.71567917814734</v>
      </c>
      <c r="AE20" s="241">
        <f t="shared" si="7"/>
        <v>81.820610416037411</v>
      </c>
      <c r="AF20" s="241">
        <f t="shared" si="7"/>
        <v>81.920761813962756</v>
      </c>
      <c r="AG20" s="241">
        <f t="shared" si="7"/>
        <v>82.025950916649208</v>
      </c>
      <c r="AH20" s="241">
        <f t="shared" ref="AH20:AO20" si="8">(AH7/AH6)*100</f>
        <v>82.111027246460182</v>
      </c>
      <c r="AI20" s="241">
        <f t="shared" si="8"/>
        <v>82.216289049800736</v>
      </c>
      <c r="AJ20" s="241">
        <f t="shared" si="8"/>
        <v>82.316353926201444</v>
      </c>
      <c r="AK20" s="241">
        <f t="shared" si="8"/>
        <v>82.406284041777752</v>
      </c>
      <c r="AL20" s="241">
        <f t="shared" si="8"/>
        <v>82.498230170768906</v>
      </c>
      <c r="AM20" s="241">
        <f t="shared" si="8"/>
        <v>82.591507309955645</v>
      </c>
      <c r="AN20" s="241">
        <f t="shared" si="8"/>
        <v>82.681143891997621</v>
      </c>
      <c r="AO20" s="241">
        <f t="shared" si="8"/>
        <v>82.762135822538525</v>
      </c>
      <c r="AP20" s="241">
        <f t="shared" ref="AP20:AS20" si="9">(AP7/AP6)*100</f>
        <v>82.843647542388638</v>
      </c>
      <c r="AQ20" s="241">
        <f t="shared" si="9"/>
        <v>82.925409971352352</v>
      </c>
      <c r="AR20" s="241">
        <f t="shared" si="9"/>
        <v>83.003382817162333</v>
      </c>
      <c r="AS20" s="241">
        <f t="shared" si="9"/>
        <v>83.073380483374109</v>
      </c>
    </row>
    <row r="21" spans="1:45" ht="24" customHeight="1">
      <c r="A21" s="12" t="s">
        <v>18</v>
      </c>
      <c r="B21" s="239">
        <f>(B8/B6)*100</f>
        <v>53.509190690975174</v>
      </c>
      <c r="C21" s="239">
        <f>(C8/C6)*100</f>
        <v>54.495975972990919</v>
      </c>
      <c r="D21" s="240">
        <v>0</v>
      </c>
      <c r="E21" s="239">
        <f t="shared" ref="E21:AG21" si="10">(E8/E6)*100</f>
        <v>55.39206620167333</v>
      </c>
      <c r="F21" s="239">
        <f t="shared" si="10"/>
        <v>53.192486163827922</v>
      </c>
      <c r="G21" s="239">
        <f t="shared" si="10"/>
        <v>54.653967277125822</v>
      </c>
      <c r="H21" s="239">
        <f t="shared" si="10"/>
        <v>55.793670059939693</v>
      </c>
      <c r="I21" s="239">
        <f t="shared" si="10"/>
        <v>57.21697996646369</v>
      </c>
      <c r="J21" s="239">
        <f t="shared" si="10"/>
        <v>54.489714971691839</v>
      </c>
      <c r="K21" s="239">
        <f t="shared" si="10"/>
        <v>56.418381899095571</v>
      </c>
      <c r="L21" s="239">
        <f t="shared" si="10"/>
        <v>57.204712152598269</v>
      </c>
      <c r="M21" s="239">
        <f t="shared" si="10"/>
        <v>58.122867334099084</v>
      </c>
      <c r="N21" s="239">
        <f t="shared" si="10"/>
        <v>19.076281746401676</v>
      </c>
      <c r="O21" s="239">
        <f t="shared" si="10"/>
        <v>55.177843602534239</v>
      </c>
      <c r="P21" s="239">
        <f t="shared" si="10"/>
        <v>58.188802979831841</v>
      </c>
      <c r="Q21" s="239">
        <f t="shared" si="10"/>
        <v>57.368426506917039</v>
      </c>
      <c r="R21" s="239">
        <f t="shared" si="10"/>
        <v>56.130448441466221</v>
      </c>
      <c r="S21" s="239">
        <f t="shared" si="10"/>
        <v>57.155320952657426</v>
      </c>
      <c r="T21" s="239">
        <f t="shared" si="10"/>
        <v>57.375804803535665</v>
      </c>
      <c r="U21" s="239">
        <f t="shared" si="10"/>
        <v>56.877117358775145</v>
      </c>
      <c r="V21" s="239">
        <f t="shared" si="10"/>
        <v>55.719023575821524</v>
      </c>
      <c r="W21" s="239">
        <f t="shared" si="10"/>
        <v>55.782436849973251</v>
      </c>
      <c r="X21" s="239">
        <f t="shared" si="10"/>
        <v>55.916930476281536</v>
      </c>
      <c r="Y21" s="239">
        <f t="shared" si="10"/>
        <v>56.447531476951063</v>
      </c>
      <c r="Z21" s="239">
        <f t="shared" si="10"/>
        <v>52.499920914366086</v>
      </c>
      <c r="AA21" s="239">
        <f t="shared" si="10"/>
        <v>53.140993934616262</v>
      </c>
      <c r="AB21" s="239">
        <f t="shared" si="10"/>
        <v>54.021927198910738</v>
      </c>
      <c r="AC21" s="239">
        <f t="shared" si="10"/>
        <v>54.099381050690511</v>
      </c>
      <c r="AD21" s="239">
        <f t="shared" si="10"/>
        <v>52.212570723704651</v>
      </c>
      <c r="AE21" s="239">
        <f t="shared" si="10"/>
        <v>52.461651947576861</v>
      </c>
      <c r="AF21" s="239">
        <f t="shared" si="10"/>
        <v>55.609618495142968</v>
      </c>
      <c r="AG21" s="239">
        <f t="shared" si="10"/>
        <v>53.929012784347542</v>
      </c>
      <c r="AH21" s="239">
        <f t="shared" ref="AH21:AO21" si="11">(AH8/AH6)*100</f>
        <v>51.977797603577649</v>
      </c>
      <c r="AI21" s="239">
        <f t="shared" si="11"/>
        <v>51.722653837297571</v>
      </c>
      <c r="AJ21" s="239">
        <f t="shared" si="11"/>
        <v>52.733815610569579</v>
      </c>
      <c r="AK21" s="239">
        <f t="shared" si="11"/>
        <v>53.088801069706292</v>
      </c>
      <c r="AL21" s="239">
        <f t="shared" si="11"/>
        <v>51.065741056375757</v>
      </c>
      <c r="AM21" s="239">
        <f t="shared" si="11"/>
        <v>50.161007450067153</v>
      </c>
      <c r="AN21" s="239">
        <f t="shared" si="11"/>
        <v>48.415982843875724</v>
      </c>
      <c r="AO21" s="239">
        <f t="shared" si="11"/>
        <v>50.170925942571621</v>
      </c>
      <c r="AP21" s="239">
        <f t="shared" ref="AP21:AS21" si="12">(AP8/AP6)*100</f>
        <v>50.982604918409002</v>
      </c>
      <c r="AQ21" s="239">
        <f t="shared" si="12"/>
        <v>53.741890260807033</v>
      </c>
      <c r="AR21" s="239">
        <f t="shared" si="12"/>
        <v>54.136743660952725</v>
      </c>
      <c r="AS21" s="239">
        <f t="shared" si="12"/>
        <v>55.731946199820925</v>
      </c>
    </row>
    <row r="22" spans="1:45" ht="24" customHeight="1">
      <c r="A22" s="12" t="s">
        <v>17</v>
      </c>
      <c r="B22" s="239">
        <f>(B9/B6)*100</f>
        <v>52.29833923817737</v>
      </c>
      <c r="C22" s="239">
        <f t="shared" ref="C22:C27" si="13">(C9/C$6)*100</f>
        <v>53.678887259792042</v>
      </c>
      <c r="D22" s="240">
        <v>0</v>
      </c>
      <c r="E22" s="239">
        <f t="shared" ref="E22:AG22" si="14">(E9/E6)*100</f>
        <v>55.39206620167333</v>
      </c>
      <c r="F22" s="239">
        <f t="shared" si="14"/>
        <v>51.561742568256918</v>
      </c>
      <c r="G22" s="239">
        <f t="shared" si="14"/>
        <v>53.344373943368062</v>
      </c>
      <c r="H22" s="239">
        <f t="shared" si="14"/>
        <v>55.793670059939693</v>
      </c>
      <c r="I22" s="239">
        <f t="shared" si="14"/>
        <v>56.678810343305976</v>
      </c>
      <c r="J22" s="239">
        <f t="shared" si="14"/>
        <v>52.407955274021731</v>
      </c>
      <c r="K22" s="239">
        <f t="shared" si="14"/>
        <v>55.553645461950161</v>
      </c>
      <c r="L22" s="239">
        <f t="shared" si="14"/>
        <v>57.204712152598269</v>
      </c>
      <c r="M22" s="239">
        <f t="shared" si="14"/>
        <v>58.122867334099084</v>
      </c>
      <c r="N22" s="239">
        <f t="shared" si="14"/>
        <v>18.813424763236597</v>
      </c>
      <c r="O22" s="239">
        <f t="shared" si="14"/>
        <v>54.324452978909534</v>
      </c>
      <c r="P22" s="239">
        <f t="shared" si="14"/>
        <v>58.188802979831841</v>
      </c>
      <c r="Q22" s="239">
        <f t="shared" si="14"/>
        <v>57.368426506917039</v>
      </c>
      <c r="R22" s="239">
        <f t="shared" si="14"/>
        <v>54.873993221145454</v>
      </c>
      <c r="S22" s="239">
        <f t="shared" si="14"/>
        <v>56.843102944999337</v>
      </c>
      <c r="T22" s="239">
        <f t="shared" si="14"/>
        <v>57.30579937892616</v>
      </c>
      <c r="U22" s="239">
        <f t="shared" si="14"/>
        <v>56.868445104832368</v>
      </c>
      <c r="V22" s="239">
        <f t="shared" si="14"/>
        <v>55.441485433877226</v>
      </c>
      <c r="W22" s="239">
        <f t="shared" si="14"/>
        <v>55.54012679196024</v>
      </c>
      <c r="X22" s="239">
        <f t="shared" si="14"/>
        <v>55.807734299143895</v>
      </c>
      <c r="Y22" s="239">
        <f t="shared" si="14"/>
        <v>56.440202198583378</v>
      </c>
      <c r="Z22" s="239">
        <f t="shared" si="14"/>
        <v>52.058730793703425</v>
      </c>
      <c r="AA22" s="239">
        <f t="shared" si="14"/>
        <v>52.355551176024321</v>
      </c>
      <c r="AB22" s="239">
        <f t="shared" si="14"/>
        <v>54.02192759961244</v>
      </c>
      <c r="AC22" s="239">
        <f t="shared" si="14"/>
        <v>54.04885610631176</v>
      </c>
      <c r="AD22" s="239">
        <f t="shared" si="14"/>
        <v>51.280134644219011</v>
      </c>
      <c r="AE22" s="239">
        <f t="shared" si="14"/>
        <v>51.669721193684296</v>
      </c>
      <c r="AF22" s="239">
        <f t="shared" si="14"/>
        <v>55.609618495142968</v>
      </c>
      <c r="AG22" s="239">
        <f t="shared" si="14"/>
        <v>53.623717329491846</v>
      </c>
      <c r="AH22" s="239">
        <f t="shared" ref="AH22:AO22" si="15">(AH9/AH6)*100</f>
        <v>50.677716983716557</v>
      </c>
      <c r="AI22" s="239">
        <f t="shared" si="15"/>
        <v>51.273660746398278</v>
      </c>
      <c r="AJ22" s="239">
        <f t="shared" si="15"/>
        <v>52.699723321778947</v>
      </c>
      <c r="AK22" s="239">
        <f t="shared" si="15"/>
        <v>51.867520865548158</v>
      </c>
      <c r="AL22" s="239">
        <f t="shared" si="15"/>
        <v>48.208793566072082</v>
      </c>
      <c r="AM22" s="239">
        <f t="shared" si="15"/>
        <v>48.196225363726256</v>
      </c>
      <c r="AN22" s="239">
        <f t="shared" si="15"/>
        <v>47.484866745186117</v>
      </c>
      <c r="AO22" s="239">
        <f t="shared" si="15"/>
        <v>49.372505692492922</v>
      </c>
      <c r="AP22" s="239">
        <f t="shared" ref="AP22:AS22" si="16">(AP9/AP6)*100</f>
        <v>46.029429143345972</v>
      </c>
      <c r="AQ22" s="239">
        <f t="shared" si="16"/>
        <v>51.962176543629866</v>
      </c>
      <c r="AR22" s="239">
        <f t="shared" si="16"/>
        <v>53.914668053495184</v>
      </c>
      <c r="AS22" s="239">
        <f t="shared" si="16"/>
        <v>55.144698691198478</v>
      </c>
    </row>
    <row r="23" spans="1:45" ht="24" customHeight="1">
      <c r="A23" s="12" t="s">
        <v>16</v>
      </c>
      <c r="B23" s="239">
        <f>(B10/B6)*100</f>
        <v>52.02225060402165</v>
      </c>
      <c r="C23" s="239">
        <f t="shared" si="13"/>
        <v>53.145237731776497</v>
      </c>
      <c r="D23" s="240">
        <v>0</v>
      </c>
      <c r="E23" s="239">
        <f t="shared" ref="E23:AG23" si="17">(E10/E6)*100</f>
        <v>55.08466889597031</v>
      </c>
      <c r="F23" s="239">
        <f t="shared" si="17"/>
        <v>51.126647083270491</v>
      </c>
      <c r="G23" s="239">
        <f t="shared" si="17"/>
        <v>53.126309162546235</v>
      </c>
      <c r="H23" s="239">
        <f t="shared" si="17"/>
        <v>55.430879950643295</v>
      </c>
      <c r="I23" s="239">
        <f t="shared" si="17"/>
        <v>56.357002912364308</v>
      </c>
      <c r="J23" s="239">
        <f t="shared" si="17"/>
        <v>51.972636619412341</v>
      </c>
      <c r="K23" s="239">
        <f t="shared" si="17"/>
        <v>54.899986542130883</v>
      </c>
      <c r="L23" s="239">
        <f t="shared" si="17"/>
        <v>56.690669332463905</v>
      </c>
      <c r="M23" s="239">
        <f t="shared" si="17"/>
        <v>57.541101284851315</v>
      </c>
      <c r="N23" s="239">
        <f t="shared" si="17"/>
        <v>18.555630467035886</v>
      </c>
      <c r="O23" s="239">
        <f t="shared" si="17"/>
        <v>53.960520714140728</v>
      </c>
      <c r="P23" s="239">
        <f t="shared" si="17"/>
        <v>57.510826518633841</v>
      </c>
      <c r="Q23" s="239">
        <f t="shared" si="17"/>
        <v>56.757358456449246</v>
      </c>
      <c r="R23" s="239">
        <f t="shared" si="17"/>
        <v>53.869499665288565</v>
      </c>
      <c r="S23" s="239">
        <f t="shared" si="17"/>
        <v>55.798130719460573</v>
      </c>
      <c r="T23" s="239">
        <f t="shared" si="17"/>
        <v>56.129777591010011</v>
      </c>
      <c r="U23" s="239">
        <f t="shared" si="17"/>
        <v>56.605759735404334</v>
      </c>
      <c r="V23" s="239">
        <f t="shared" si="17"/>
        <v>54.475819080787232</v>
      </c>
      <c r="W23" s="239">
        <f t="shared" si="17"/>
        <v>54.723695587316648</v>
      </c>
      <c r="X23" s="239">
        <f t="shared" si="17"/>
        <v>54.65895847844029</v>
      </c>
      <c r="Y23" s="239">
        <f t="shared" si="17"/>
        <v>55.625709672357914</v>
      </c>
      <c r="Z23" s="239">
        <f t="shared" si="17"/>
        <v>51.263856503822339</v>
      </c>
      <c r="AA23" s="239">
        <f t="shared" si="17"/>
        <v>51.31332301473045</v>
      </c>
      <c r="AB23" s="239">
        <f t="shared" si="17"/>
        <v>53.398409695057978</v>
      </c>
      <c r="AC23" s="239">
        <f t="shared" si="17"/>
        <v>52.723566976007696</v>
      </c>
      <c r="AD23" s="239">
        <f t="shared" si="17"/>
        <v>49.904458585954991</v>
      </c>
      <c r="AE23" s="239">
        <f t="shared" si="17"/>
        <v>50.711566408786766</v>
      </c>
      <c r="AF23" s="239">
        <f t="shared" si="17"/>
        <v>54.626935622434701</v>
      </c>
      <c r="AG23" s="239">
        <f t="shared" si="17"/>
        <v>52.468059205798198</v>
      </c>
      <c r="AH23" s="239">
        <f t="shared" ref="AH23:AO23" si="18">(AH10/AH6)*100</f>
        <v>49.663682218761416</v>
      </c>
      <c r="AI23" s="239">
        <f t="shared" si="18"/>
        <v>50.334363824651184</v>
      </c>
      <c r="AJ23" s="239">
        <f t="shared" si="18"/>
        <v>52.256523567500722</v>
      </c>
      <c r="AK23" s="239">
        <f t="shared" si="18"/>
        <v>50.809480288151335</v>
      </c>
      <c r="AL23" s="239">
        <f t="shared" si="18"/>
        <v>47.657647614221901</v>
      </c>
      <c r="AM23" s="239">
        <f t="shared" si="18"/>
        <v>47.15054256974171</v>
      </c>
      <c r="AN23" s="239">
        <f t="shared" si="18"/>
        <v>46.899958591999074</v>
      </c>
      <c r="AO23" s="239">
        <f t="shared" si="18"/>
        <v>48.317847683440554</v>
      </c>
      <c r="AP23" s="239">
        <f t="shared" ref="AP23:AS23" si="19">(AP10/AP6)*100</f>
        <v>45.294971039119069</v>
      </c>
      <c r="AQ23" s="239">
        <f t="shared" si="19"/>
        <v>49.842234121416169</v>
      </c>
      <c r="AR23" s="239">
        <f t="shared" si="19"/>
        <v>52.058842768047278</v>
      </c>
      <c r="AS23" s="239">
        <f t="shared" si="19"/>
        <v>54.45017568131054</v>
      </c>
    </row>
    <row r="24" spans="1:45" ht="24" customHeight="1">
      <c r="A24" s="12" t="s">
        <v>15</v>
      </c>
      <c r="B24" s="239">
        <f>(B11/B6)*100</f>
        <v>0.27608863415572221</v>
      </c>
      <c r="C24" s="239">
        <f t="shared" si="13"/>
        <v>0.53364952801553522</v>
      </c>
      <c r="D24" s="240">
        <v>0</v>
      </c>
      <c r="E24" s="239">
        <f t="shared" ref="E24:AG24" si="20">(E11/E$6)*100</f>
        <v>0.30736187493932482</v>
      </c>
      <c r="F24" s="239">
        <f t="shared" si="20"/>
        <v>0.43509548498641692</v>
      </c>
      <c r="G24" s="239">
        <f t="shared" si="20"/>
        <v>0.21806478082182093</v>
      </c>
      <c r="H24" s="239">
        <f t="shared" si="20"/>
        <v>0.36279010929639499</v>
      </c>
      <c r="I24" s="239">
        <f t="shared" si="20"/>
        <v>0.32180743094166447</v>
      </c>
      <c r="J24" s="239">
        <f t="shared" si="20"/>
        <v>0.43529044166656677</v>
      </c>
      <c r="K24" s="239">
        <f t="shared" si="20"/>
        <v>0.65365891981928403</v>
      </c>
      <c r="L24" s="239">
        <f t="shared" si="20"/>
        <v>0.51404282013436009</v>
      </c>
      <c r="M24" s="239">
        <f t="shared" si="20"/>
        <v>0.58178990477017878</v>
      </c>
      <c r="N24" s="239">
        <f t="shared" si="20"/>
        <v>0.25779429620071237</v>
      </c>
      <c r="O24" s="239">
        <f t="shared" si="20"/>
        <v>0.36393226476880602</v>
      </c>
      <c r="P24" s="239">
        <f t="shared" si="20"/>
        <v>0.67797646119800892</v>
      </c>
      <c r="Q24" s="239">
        <f t="shared" si="20"/>
        <v>0.61106805046778867</v>
      </c>
      <c r="R24" s="239">
        <f t="shared" si="20"/>
        <v>1.004493555856891</v>
      </c>
      <c r="S24" s="239">
        <f t="shared" si="20"/>
        <v>1.0449726248552977</v>
      </c>
      <c r="T24" s="239">
        <f t="shared" si="20"/>
        <v>1.176021787916143</v>
      </c>
      <c r="U24" s="239">
        <f t="shared" si="20"/>
        <v>0.26268536942802689</v>
      </c>
      <c r="V24" s="239">
        <f t="shared" si="20"/>
        <v>0.96566635308999627</v>
      </c>
      <c r="W24" s="239">
        <f t="shared" si="20"/>
        <v>0.81643120464359953</v>
      </c>
      <c r="X24" s="239">
        <f t="shared" si="20"/>
        <v>1.1487758207036105</v>
      </c>
      <c r="Y24" s="239">
        <f t="shared" si="20"/>
        <v>0.81449252622545554</v>
      </c>
      <c r="Z24" s="239">
        <f t="shared" si="20"/>
        <v>0.79487428988108333</v>
      </c>
      <c r="AA24" s="239">
        <f t="shared" si="20"/>
        <v>1.0422281612938631</v>
      </c>
      <c r="AB24" s="239">
        <f t="shared" si="20"/>
        <v>0.62351790455445577</v>
      </c>
      <c r="AC24" s="239">
        <f t="shared" si="20"/>
        <v>1.3252891303040628</v>
      </c>
      <c r="AD24" s="239">
        <f t="shared" si="20"/>
        <v>1.3756760582640215</v>
      </c>
      <c r="AE24" s="239">
        <f t="shared" si="20"/>
        <v>0.95815478489751982</v>
      </c>
      <c r="AF24" s="239">
        <f t="shared" si="20"/>
        <v>0.98268287270826038</v>
      </c>
      <c r="AG24" s="239">
        <f t="shared" si="20"/>
        <v>1.1556581236936414</v>
      </c>
      <c r="AH24" s="239">
        <f t="shared" ref="AH24:AO30" si="21">(AH11/AH$6)*100</f>
        <v>1.0140347649551449</v>
      </c>
      <c r="AI24" s="239">
        <f t="shared" si="21"/>
        <v>0.93929692174709067</v>
      </c>
      <c r="AJ24" s="239">
        <f t="shared" si="21"/>
        <v>0.44319975427822039</v>
      </c>
      <c r="AK24" s="239">
        <f t="shared" si="21"/>
        <v>1.0580405773968227</v>
      </c>
      <c r="AL24" s="239">
        <f t="shared" si="21"/>
        <v>0.55113226812218596</v>
      </c>
      <c r="AM24" s="239">
        <f t="shared" si="21"/>
        <v>1.0456827939845459</v>
      </c>
      <c r="AN24" s="239">
        <f t="shared" si="21"/>
        <v>0.58490815318704648</v>
      </c>
      <c r="AO24" s="239">
        <f t="shared" si="21"/>
        <v>1.0546580090523636</v>
      </c>
      <c r="AP24" s="239">
        <f t="shared" ref="AP24:AS24" si="22">(AP11/AP$6)*100</f>
        <v>0.73445810422690516</v>
      </c>
      <c r="AQ24" s="239">
        <f t="shared" si="22"/>
        <v>2.1199424222136938</v>
      </c>
      <c r="AR24" s="239">
        <f t="shared" si="22"/>
        <v>1.8558252854479103</v>
      </c>
      <c r="AS24" s="239">
        <f t="shared" si="22"/>
        <v>0.69452300988793236</v>
      </c>
    </row>
    <row r="25" spans="1:45" ht="24" customHeight="1">
      <c r="A25" s="12" t="s">
        <v>14</v>
      </c>
      <c r="B25" s="239">
        <f>(B12/B6)*100</f>
        <v>1.2108514527978014</v>
      </c>
      <c r="C25" s="239">
        <f t="shared" si="13"/>
        <v>0.81708871319887966</v>
      </c>
      <c r="D25" s="240">
        <v>0</v>
      </c>
      <c r="E25" s="239">
        <f t="shared" ref="E25:AG25" si="23">(E12/E$6)*100</f>
        <v>0</v>
      </c>
      <c r="F25" s="239">
        <f t="shared" si="23"/>
        <v>1.630743595571009</v>
      </c>
      <c r="G25" s="239">
        <f t="shared" si="23"/>
        <v>1.3095933337577546</v>
      </c>
      <c r="H25" s="239">
        <f t="shared" si="23"/>
        <v>0</v>
      </c>
      <c r="I25" s="239">
        <f t="shared" si="23"/>
        <v>0.53816962315770889</v>
      </c>
      <c r="J25" s="239">
        <f t="shared" si="23"/>
        <v>2.0817596976701047</v>
      </c>
      <c r="K25" s="239">
        <f t="shared" si="23"/>
        <v>0.86473643714540982</v>
      </c>
      <c r="L25" s="239">
        <f t="shared" si="23"/>
        <v>0</v>
      </c>
      <c r="M25" s="239">
        <f t="shared" si="23"/>
        <v>0</v>
      </c>
      <c r="N25" s="239">
        <f t="shared" si="23"/>
        <v>0.26285698316507983</v>
      </c>
      <c r="O25" s="239">
        <f t="shared" si="23"/>
        <v>0.85339062362470075</v>
      </c>
      <c r="P25" s="239">
        <f t="shared" si="23"/>
        <v>0</v>
      </c>
      <c r="Q25" s="239">
        <f t="shared" si="23"/>
        <v>0</v>
      </c>
      <c r="R25" s="239">
        <f t="shared" si="23"/>
        <v>1.2564552203207562</v>
      </c>
      <c r="S25" s="239">
        <f t="shared" si="23"/>
        <v>0.31221760834156259</v>
      </c>
      <c r="T25" s="239">
        <f t="shared" si="23"/>
        <v>7.0005424609511993E-2</v>
      </c>
      <c r="U25" s="239">
        <f t="shared" si="23"/>
        <v>8.6722539427783116E-3</v>
      </c>
      <c r="V25" s="239">
        <f t="shared" si="23"/>
        <v>0.27753774214402482</v>
      </c>
      <c r="W25" s="239">
        <f t="shared" si="23"/>
        <v>0.24231005801300071</v>
      </c>
      <c r="X25" s="239">
        <f t="shared" si="23"/>
        <v>0.10919617713763802</v>
      </c>
      <c r="Y25" s="239">
        <f t="shared" si="23"/>
        <v>7.32927836768153E-3</v>
      </c>
      <c r="Z25" s="239">
        <f t="shared" si="23"/>
        <v>0.44119012066265345</v>
      </c>
      <c r="AA25" s="239">
        <f t="shared" si="23"/>
        <v>0.78544275859195933</v>
      </c>
      <c r="AB25" s="239">
        <f t="shared" si="23"/>
        <v>0</v>
      </c>
      <c r="AC25" s="239">
        <f t="shared" si="23"/>
        <v>5.0504900683490006E-2</v>
      </c>
      <c r="AD25" s="239">
        <f t="shared" si="23"/>
        <v>0.93243607948564433</v>
      </c>
      <c r="AE25" s="239">
        <f t="shared" si="23"/>
        <v>0.79193075389256651</v>
      </c>
      <c r="AF25" s="239">
        <f t="shared" si="23"/>
        <v>0</v>
      </c>
      <c r="AG25" s="239">
        <f t="shared" si="23"/>
        <v>0.30529545485569931</v>
      </c>
      <c r="AH25" s="239">
        <f t="shared" si="21"/>
        <v>1.3000806198610864</v>
      </c>
      <c r="AI25" s="239">
        <f t="shared" si="21"/>
        <v>0.44899309089930028</v>
      </c>
      <c r="AJ25" s="239">
        <f t="shared" si="21"/>
        <v>3.4092288790632343E-2</v>
      </c>
      <c r="AK25" s="239">
        <f t="shared" si="21"/>
        <v>1.2212802041581454</v>
      </c>
      <c r="AL25" s="239">
        <f t="shared" si="21"/>
        <v>2.8569611740316652</v>
      </c>
      <c r="AM25" s="239">
        <f t="shared" si="21"/>
        <v>1.9647820863408993</v>
      </c>
      <c r="AN25" s="239">
        <f t="shared" si="21"/>
        <v>0.93111609868960599</v>
      </c>
      <c r="AO25" s="239">
        <f t="shared" si="21"/>
        <v>0.79842025007870132</v>
      </c>
      <c r="AP25" s="239">
        <f t="shared" ref="AP25:AS25" si="24">(AP12/AP$6)*100</f>
        <v>4.9531757750630296</v>
      </c>
      <c r="AQ25" s="239">
        <f t="shared" si="24"/>
        <v>1.7797137171771713</v>
      </c>
      <c r="AR25" s="239">
        <f t="shared" si="24"/>
        <v>0.22211598484071526</v>
      </c>
      <c r="AS25" s="239">
        <f t="shared" si="24"/>
        <v>0.58724750862244512</v>
      </c>
    </row>
    <row r="26" spans="1:45" ht="24" customHeight="1">
      <c r="A26" s="12" t="s">
        <v>13</v>
      </c>
      <c r="B26" s="239">
        <f>(B13/B6)*100</f>
        <v>24.291072138864017</v>
      </c>
      <c r="C26" s="239">
        <f t="shared" si="13"/>
        <v>23.433540540252697</v>
      </c>
      <c r="D26" s="240">
        <v>0</v>
      </c>
      <c r="E26" s="239">
        <f t="shared" ref="E26:L26" si="25">(E13/E$6)*100</f>
        <v>22.774894894639537</v>
      </c>
      <c r="F26" s="239">
        <f t="shared" si="25"/>
        <v>25.087502593065388</v>
      </c>
      <c r="G26" s="239">
        <f t="shared" si="25"/>
        <v>23.738785023590747</v>
      </c>
      <c r="H26" s="239">
        <f t="shared" si="25"/>
        <v>22.705388777640795</v>
      </c>
      <c r="I26" s="239">
        <f t="shared" si="25"/>
        <v>21.376259818197866</v>
      </c>
      <c r="J26" s="239">
        <f t="shared" si="25"/>
        <v>24.197628490558188</v>
      </c>
      <c r="K26" s="239">
        <f t="shared" si="25"/>
        <v>22.363032713190968</v>
      </c>
      <c r="L26" s="239">
        <f t="shared" si="25"/>
        <v>21.535790591112484</v>
      </c>
      <c r="M26" s="239">
        <f t="shared" ref="M26:AC26" si="26">ROUNDUP((M13/M$6)*100,1)</f>
        <v>20.5</v>
      </c>
      <c r="N26" s="239">
        <f t="shared" si="26"/>
        <v>8</v>
      </c>
      <c r="O26" s="239">
        <f t="shared" si="26"/>
        <v>23.200000000000003</v>
      </c>
      <c r="P26" s="239">
        <f t="shared" si="26"/>
        <v>20.200000000000003</v>
      </c>
      <c r="Q26" s="239">
        <f t="shared" si="26"/>
        <v>21.3</v>
      </c>
      <c r="R26" s="239">
        <f t="shared" si="26"/>
        <v>24.200000000000003</v>
      </c>
      <c r="S26" s="239">
        <f t="shared" si="26"/>
        <v>23.3</v>
      </c>
      <c r="T26" s="239">
        <f t="shared" si="26"/>
        <v>23.3</v>
      </c>
      <c r="U26" s="239">
        <f t="shared" si="26"/>
        <v>23.900000000000002</v>
      </c>
      <c r="V26" s="239">
        <f t="shared" si="26"/>
        <v>25.1</v>
      </c>
      <c r="W26" s="239">
        <f t="shared" si="26"/>
        <v>25.200000000000003</v>
      </c>
      <c r="X26" s="239">
        <f t="shared" si="26"/>
        <v>25.200000000000003</v>
      </c>
      <c r="Y26" s="239">
        <f t="shared" si="26"/>
        <v>24.8</v>
      </c>
      <c r="Z26" s="239">
        <f t="shared" si="26"/>
        <v>28.8</v>
      </c>
      <c r="AA26" s="239">
        <f t="shared" si="26"/>
        <v>28.3</v>
      </c>
      <c r="AB26" s="239">
        <f t="shared" si="26"/>
        <v>27.5</v>
      </c>
      <c r="AC26" s="239">
        <f t="shared" si="26"/>
        <v>27.6</v>
      </c>
      <c r="AD26" s="239">
        <f t="shared" ref="AD26:AG30" si="27">(AD13/AD$6)*100</f>
        <v>29.503108454442682</v>
      </c>
      <c r="AE26" s="239">
        <f t="shared" si="27"/>
        <v>29.358918356483958</v>
      </c>
      <c r="AF26" s="239">
        <f t="shared" si="27"/>
        <v>26.311143318819802</v>
      </c>
      <c r="AG26" s="239">
        <f t="shared" si="27"/>
        <v>28.096938132301659</v>
      </c>
      <c r="AH26" s="239">
        <f t="shared" si="21"/>
        <v>30.133229642882537</v>
      </c>
      <c r="AI26" s="239">
        <f t="shared" si="21"/>
        <v>30.493635212503168</v>
      </c>
      <c r="AJ26" s="239">
        <f t="shared" si="21"/>
        <v>29.582538315631879</v>
      </c>
      <c r="AK26" s="239">
        <f t="shared" si="21"/>
        <v>29.317482972071463</v>
      </c>
      <c r="AL26" s="239">
        <f t="shared" si="21"/>
        <v>31.432489114393146</v>
      </c>
      <c r="AM26" s="239">
        <f t="shared" si="21"/>
        <v>32.430499859888492</v>
      </c>
      <c r="AN26" s="239">
        <f t="shared" si="21"/>
        <v>34.265161048121897</v>
      </c>
      <c r="AO26" s="239">
        <f t="shared" si="21"/>
        <v>32.591209879966897</v>
      </c>
      <c r="AP26" s="239">
        <f t="shared" ref="AP26:AS26" si="28">(AP13/AP$6)*100</f>
        <v>31.861042623979635</v>
      </c>
      <c r="AQ26" s="239">
        <f t="shared" si="28"/>
        <v>29.183519710545312</v>
      </c>
      <c r="AR26" s="239">
        <f t="shared" si="28"/>
        <v>28.866639156209594</v>
      </c>
      <c r="AS26" s="239">
        <f t="shared" si="28"/>
        <v>27.341434283553191</v>
      </c>
    </row>
    <row r="27" spans="1:45" ht="24" customHeight="1">
      <c r="A27" s="12" t="s">
        <v>12</v>
      </c>
      <c r="B27" s="239">
        <f>(B14/B6)*100</f>
        <v>7.4260982139016871</v>
      </c>
      <c r="C27" s="239">
        <f t="shared" si="13"/>
        <v>7.1396569903047045</v>
      </c>
      <c r="D27" s="240">
        <v>0</v>
      </c>
      <c r="E27" s="239">
        <f t="shared" ref="E27:AC27" si="29">(E14/E6)*100</f>
        <v>4.9859233575892343</v>
      </c>
      <c r="F27" s="239">
        <f t="shared" si="29"/>
        <v>6.4517672138831124</v>
      </c>
      <c r="G27" s="239">
        <f t="shared" si="29"/>
        <v>6.6646234322942091</v>
      </c>
      <c r="H27" s="239">
        <f t="shared" si="29"/>
        <v>5.8177865739744474</v>
      </c>
      <c r="I27" s="239">
        <f t="shared" si="29"/>
        <v>4.3448945371105818</v>
      </c>
      <c r="J27" s="239">
        <f t="shared" si="29"/>
        <v>6.419681278384866</v>
      </c>
      <c r="K27" s="239">
        <f t="shared" si="29"/>
        <v>5.4441685150685863</v>
      </c>
      <c r="L27" s="239">
        <f t="shared" si="29"/>
        <v>3.9427841361961189</v>
      </c>
      <c r="M27" s="239">
        <f t="shared" si="29"/>
        <v>3.7692149111969275</v>
      </c>
      <c r="N27" s="239">
        <f t="shared" si="29"/>
        <v>2.1096215839963119</v>
      </c>
      <c r="O27" s="239">
        <f t="shared" si="29"/>
        <v>5.7052579769605369</v>
      </c>
      <c r="P27" s="239">
        <f t="shared" si="29"/>
        <v>4.1019787047007501</v>
      </c>
      <c r="Q27" s="239">
        <f t="shared" si="29"/>
        <v>4.7369209102841321</v>
      </c>
      <c r="R27" s="239">
        <f t="shared" si="29"/>
        <v>5.3264823604880034</v>
      </c>
      <c r="S27" s="239">
        <f t="shared" si="29"/>
        <v>4.9684987175949651</v>
      </c>
      <c r="T27" s="239">
        <f t="shared" si="29"/>
        <v>5.5693239530463696</v>
      </c>
      <c r="U27" s="239">
        <f t="shared" si="29"/>
        <v>5.1816517486580986</v>
      </c>
      <c r="V27" s="239">
        <f t="shared" si="29"/>
        <v>5.8462919925205377</v>
      </c>
      <c r="W27" s="239">
        <f t="shared" si="29"/>
        <v>5.4790923640877693</v>
      </c>
      <c r="X27" s="239">
        <f t="shared" si="29"/>
        <v>5.7227316607143646</v>
      </c>
      <c r="Y27" s="239">
        <f t="shared" si="29"/>
        <v>5.3229829774698043</v>
      </c>
      <c r="Z27" s="239">
        <f t="shared" si="29"/>
        <v>6.1551848341384048</v>
      </c>
      <c r="AA27" s="239">
        <f t="shared" si="29"/>
        <v>6.3639919213671199</v>
      </c>
      <c r="AB27" s="239">
        <f t="shared" si="29"/>
        <v>5.9668595644692992</v>
      </c>
      <c r="AC27" s="239">
        <f t="shared" si="29"/>
        <v>5.7947124731915576</v>
      </c>
      <c r="AD27" s="239">
        <f t="shared" si="27"/>
        <v>6.8791823178808205</v>
      </c>
      <c r="AE27" s="239">
        <f t="shared" si="27"/>
        <v>6.8183942293305986</v>
      </c>
      <c r="AF27" s="239">
        <f t="shared" si="27"/>
        <v>4.9997652635849192</v>
      </c>
      <c r="AG27" s="239">
        <f t="shared" si="27"/>
        <v>6.4416377390791828</v>
      </c>
      <c r="AH27" s="239">
        <f t="shared" si="21"/>
        <v>7.5751739031059335</v>
      </c>
      <c r="AI27" s="239">
        <f t="shared" si="21"/>
        <v>8.3061109755965248</v>
      </c>
      <c r="AJ27" s="239">
        <f t="shared" si="21"/>
        <v>8.0910489248466035</v>
      </c>
      <c r="AK27" s="239">
        <f t="shared" si="21"/>
        <v>7.1512874932218136</v>
      </c>
      <c r="AL27" s="239">
        <f t="shared" si="21"/>
        <v>7.6426840551969395</v>
      </c>
      <c r="AM27" s="239">
        <f t="shared" si="21"/>
        <v>7.6682062827933395</v>
      </c>
      <c r="AN27" s="239">
        <f t="shared" si="21"/>
        <v>9.3207879443102666</v>
      </c>
      <c r="AO27" s="239">
        <f t="shared" si="21"/>
        <v>7.6332813226173259</v>
      </c>
      <c r="AP27" s="239">
        <f t="shared" ref="AP27:AS27" si="30">(AP14/AP$6)*100</f>
        <v>8.0841210641858297</v>
      </c>
      <c r="AQ27" s="239">
        <f t="shared" si="30"/>
        <v>7.1338667389819133</v>
      </c>
      <c r="AR27" s="239">
        <f t="shared" si="30"/>
        <v>7.6289431542973238</v>
      </c>
      <c r="AS27" s="239">
        <f t="shared" si="30"/>
        <v>6.7837713783305915</v>
      </c>
    </row>
    <row r="28" spans="1:45" ht="24" customHeight="1">
      <c r="A28" s="12" t="s">
        <v>11</v>
      </c>
      <c r="B28" s="239">
        <f>(B15/B6)*100</f>
        <v>6.8786486124297834</v>
      </c>
      <c r="C28" s="239">
        <f>(C15/C6)*100</f>
        <v>5.0294479965067111</v>
      </c>
      <c r="D28" s="240">
        <v>0</v>
      </c>
      <c r="E28" s="239">
        <f t="shared" ref="E28:AC28" si="31">(E15/E6)*100</f>
        <v>6.1727122178736868</v>
      </c>
      <c r="F28" s="239">
        <f t="shared" si="31"/>
        <v>7.0820332606213023</v>
      </c>
      <c r="G28" s="239">
        <f t="shared" si="31"/>
        <v>6.8412629360043571</v>
      </c>
      <c r="H28" s="239">
        <f t="shared" si="31"/>
        <v>6.5028369147681762</v>
      </c>
      <c r="I28" s="239">
        <f t="shared" si="31"/>
        <v>7.1000264760391838</v>
      </c>
      <c r="J28" s="239">
        <f t="shared" si="31"/>
        <v>5.7157330886330762</v>
      </c>
      <c r="K28" s="239">
        <f t="shared" si="31"/>
        <v>3.4837357071793154</v>
      </c>
      <c r="L28" s="239">
        <f t="shared" si="31"/>
        <v>6.4080872810494762</v>
      </c>
      <c r="M28" s="239">
        <f t="shared" si="31"/>
        <v>5.770445072837675</v>
      </c>
      <c r="N28" s="239">
        <f t="shared" si="31"/>
        <v>2.1491302411052398</v>
      </c>
      <c r="O28" s="239">
        <f t="shared" si="31"/>
        <v>5.1383068347772669</v>
      </c>
      <c r="P28" s="239">
        <f t="shared" si="31"/>
        <v>5.7788531889917358</v>
      </c>
      <c r="Q28" s="239">
        <f t="shared" si="31"/>
        <v>6.1986600099557636</v>
      </c>
      <c r="R28" s="239">
        <f t="shared" si="31"/>
        <v>6.2703007373231783</v>
      </c>
      <c r="S28" s="239">
        <f t="shared" si="31"/>
        <v>5.5897278218601043</v>
      </c>
      <c r="T28" s="239">
        <f t="shared" si="31"/>
        <v>5.9444556735903005</v>
      </c>
      <c r="U28" s="239">
        <f t="shared" si="31"/>
        <v>6.4377298197250212</v>
      </c>
      <c r="V28" s="239">
        <f t="shared" si="31"/>
        <v>7.3983541822505483</v>
      </c>
      <c r="W28" s="239">
        <f t="shared" si="31"/>
        <v>6.6287475894570385</v>
      </c>
      <c r="X28" s="239">
        <f t="shared" si="31"/>
        <v>6.5143717397192269</v>
      </c>
      <c r="Y28" s="239">
        <f t="shared" si="31"/>
        <v>6.7498126753166909</v>
      </c>
      <c r="Z28" s="239">
        <f t="shared" si="31"/>
        <v>7.9210569204334451</v>
      </c>
      <c r="AA28" s="239">
        <f t="shared" si="31"/>
        <v>6.4506601742786387</v>
      </c>
      <c r="AB28" s="239">
        <f t="shared" si="31"/>
        <v>7.127324971490073</v>
      </c>
      <c r="AC28" s="239">
        <f t="shared" si="31"/>
        <v>6.9867663506444053</v>
      </c>
      <c r="AD28" s="239">
        <f t="shared" si="27"/>
        <v>6.6679686231168915</v>
      </c>
      <c r="AE28" s="239">
        <f t="shared" si="27"/>
        <v>6.1601566934253666</v>
      </c>
      <c r="AF28" s="239">
        <f t="shared" si="27"/>
        <v>6.800093252551906</v>
      </c>
      <c r="AG28" s="239">
        <f t="shared" si="27"/>
        <v>6.4169860545340223</v>
      </c>
      <c r="AH28" s="239">
        <f t="shared" si="21"/>
        <v>7.4129299474866244</v>
      </c>
      <c r="AI28" s="239">
        <f t="shared" si="21"/>
        <v>6.3561877902652126</v>
      </c>
      <c r="AJ28" s="239">
        <f t="shared" si="21"/>
        <v>6.7781741810413108</v>
      </c>
      <c r="AK28" s="239">
        <f t="shared" si="21"/>
        <v>6.5529969636946701</v>
      </c>
      <c r="AL28" s="239">
        <f t="shared" si="21"/>
        <v>7.0175389171261111</v>
      </c>
      <c r="AM28" s="239">
        <f t="shared" si="21"/>
        <v>6.6035601207213652</v>
      </c>
      <c r="AN28" s="239">
        <f t="shared" si="21"/>
        <v>7.2065228074302397</v>
      </c>
      <c r="AO28" s="239">
        <f t="shared" si="21"/>
        <v>6.0772324870943955</v>
      </c>
      <c r="AP28" s="239">
        <f t="shared" ref="AP28:AS28" si="32">(AP15/AP$6)*100</f>
        <v>6.7302336593154974</v>
      </c>
      <c r="AQ28" s="239">
        <f t="shared" si="32"/>
        <v>6.7548573690728837</v>
      </c>
      <c r="AR28" s="239">
        <f t="shared" si="32"/>
        <v>6.7913143403506533</v>
      </c>
      <c r="AS28" s="239">
        <f t="shared" si="32"/>
        <v>6.3355981730436657</v>
      </c>
    </row>
    <row r="29" spans="1:45" ht="25.5" customHeight="1">
      <c r="A29" s="33" t="s">
        <v>10</v>
      </c>
      <c r="B29" s="239">
        <f>(B16/B6)*100</f>
        <v>9.9863253125325464</v>
      </c>
      <c r="C29" s="239">
        <f>(C16/C6)*100</f>
        <v>11.264435553441279</v>
      </c>
      <c r="D29" s="240">
        <v>0</v>
      </c>
      <c r="E29" s="239">
        <f t="shared" ref="E29:AC29" si="33">(E16/E6)*100</f>
        <v>11.616259319176619</v>
      </c>
      <c r="F29" s="239">
        <f t="shared" si="33"/>
        <v>11.553702118560969</v>
      </c>
      <c r="G29" s="239">
        <f t="shared" si="33"/>
        <v>10.232898655292178</v>
      </c>
      <c r="H29" s="239">
        <f t="shared" si="33"/>
        <v>10.384765288898171</v>
      </c>
      <c r="I29" s="239">
        <f t="shared" si="33"/>
        <v>9.9313388050480977</v>
      </c>
      <c r="J29" s="239">
        <f t="shared" si="33"/>
        <v>12.062232109291298</v>
      </c>
      <c r="K29" s="239">
        <f t="shared" si="33"/>
        <v>13.435128138642828</v>
      </c>
      <c r="L29" s="239">
        <f t="shared" si="33"/>
        <v>11.18491952748343</v>
      </c>
      <c r="M29" s="239">
        <f t="shared" si="33"/>
        <v>10.901546478746866</v>
      </c>
      <c r="N29" s="239">
        <f t="shared" si="33"/>
        <v>3.7271561169848604</v>
      </c>
      <c r="O29" s="239">
        <f t="shared" si="33"/>
        <v>12.281510408714254</v>
      </c>
      <c r="P29" s="239">
        <f t="shared" si="33"/>
        <v>10.245472996172742</v>
      </c>
      <c r="Q29" s="239">
        <f t="shared" si="33"/>
        <v>10.298855158647202</v>
      </c>
      <c r="R29" s="239">
        <f t="shared" si="33"/>
        <v>12.56634850784965</v>
      </c>
      <c r="S29" s="239">
        <f t="shared" si="33"/>
        <v>12.720062341296638</v>
      </c>
      <c r="T29" s="239">
        <f t="shared" si="33"/>
        <v>11.689155095098439</v>
      </c>
      <c r="U29" s="239">
        <f t="shared" si="33"/>
        <v>12.197665045581287</v>
      </c>
      <c r="V29" s="239">
        <f t="shared" si="33"/>
        <v>11.850515482464962</v>
      </c>
      <c r="W29" s="239">
        <f t="shared" si="33"/>
        <v>13.044017654252754</v>
      </c>
      <c r="X29" s="239">
        <f t="shared" si="33"/>
        <v>12.895533792901483</v>
      </c>
      <c r="Y29" s="239">
        <f t="shared" si="33"/>
        <v>12.639492846438591</v>
      </c>
      <c r="Z29" s="239">
        <f t="shared" si="33"/>
        <v>14.698996072947788</v>
      </c>
      <c r="AA29" s="239">
        <f t="shared" si="33"/>
        <v>15.434457243891556</v>
      </c>
      <c r="AB29" s="239">
        <f t="shared" si="33"/>
        <v>14.37924333092111</v>
      </c>
      <c r="AC29" s="239">
        <f t="shared" si="33"/>
        <v>14.729715980838229</v>
      </c>
      <c r="AD29" s="239">
        <f t="shared" si="27"/>
        <v>15.955957513444973</v>
      </c>
      <c r="AE29" s="239">
        <f t="shared" si="27"/>
        <v>16.380367433727997</v>
      </c>
      <c r="AF29" s="239">
        <f t="shared" si="27"/>
        <v>14.511284802682978</v>
      </c>
      <c r="AG29" s="239">
        <f t="shared" si="27"/>
        <v>15.238314338688449</v>
      </c>
      <c r="AH29" s="239">
        <f t="shared" si="21"/>
        <v>15.14512579228998</v>
      </c>
      <c r="AI29" s="239">
        <f t="shared" si="21"/>
        <v>15.831336446641433</v>
      </c>
      <c r="AJ29" s="239">
        <f t="shared" si="21"/>
        <v>14.713315209743962</v>
      </c>
      <c r="AK29" s="239">
        <f t="shared" si="21"/>
        <v>15.613198515154977</v>
      </c>
      <c r="AL29" s="239">
        <f t="shared" si="21"/>
        <v>16.772266142070098</v>
      </c>
      <c r="AM29" s="239">
        <f t="shared" si="21"/>
        <v>18.158733456373785</v>
      </c>
      <c r="AN29" s="239">
        <f t="shared" si="21"/>
        <v>17.737850296381392</v>
      </c>
      <c r="AO29" s="239">
        <f t="shared" si="21"/>
        <v>18.88069607025518</v>
      </c>
      <c r="AP29" s="239">
        <f t="shared" ref="AP29:AS29" si="34">(AP16/AP$6)*100</f>
        <v>17.046687900478304</v>
      </c>
      <c r="AQ29" s="239">
        <f t="shared" si="34"/>
        <v>15.294795602490519</v>
      </c>
      <c r="AR29" s="239">
        <f t="shared" si="34"/>
        <v>14.446381661561619</v>
      </c>
      <c r="AS29" s="239">
        <f t="shared" si="34"/>
        <v>14.222064732178932</v>
      </c>
    </row>
    <row r="30" spans="1:45" ht="24" customHeight="1">
      <c r="A30" s="238" t="s">
        <v>166</v>
      </c>
      <c r="B30" s="236">
        <f>((B17/B6)*100)</f>
        <v>22.199737170160816</v>
      </c>
      <c r="C30" s="236">
        <f>((C17/C6)*100)</f>
        <v>22.070412484956496</v>
      </c>
      <c r="D30" s="237">
        <v>0</v>
      </c>
      <c r="E30" s="236">
        <f t="shared" ref="E30:K30" si="35">ROUNDDOWN((E17/E6)*100,1)</f>
        <v>21.8</v>
      </c>
      <c r="F30" s="236">
        <f t="shared" si="35"/>
        <v>21.7</v>
      </c>
      <c r="G30" s="236">
        <f t="shared" si="35"/>
        <v>21.6</v>
      </c>
      <c r="H30" s="236">
        <f t="shared" si="35"/>
        <v>21.5</v>
      </c>
      <c r="I30" s="236">
        <f t="shared" si="35"/>
        <v>21.4</v>
      </c>
      <c r="J30" s="236">
        <f t="shared" si="35"/>
        <v>21.3</v>
      </c>
      <c r="K30" s="236">
        <f t="shared" si="35"/>
        <v>21.2</v>
      </c>
      <c r="L30" s="236">
        <f>((L17/L6)*100)</f>
        <v>21.259497256289247</v>
      </c>
      <c r="M30" s="236">
        <f t="shared" ref="M30:AC30" si="36">ROUNDDOWN((M17/M6)*100,1)</f>
        <v>21.4</v>
      </c>
      <c r="N30" s="236">
        <f t="shared" si="36"/>
        <v>72.900000000000006</v>
      </c>
      <c r="O30" s="236">
        <f t="shared" si="36"/>
        <v>21.6</v>
      </c>
      <c r="P30" s="236">
        <f t="shared" si="36"/>
        <v>21.6</v>
      </c>
      <c r="Q30" s="236">
        <f t="shared" si="36"/>
        <v>21.3</v>
      </c>
      <c r="R30" s="236">
        <f t="shared" si="36"/>
        <v>19.7</v>
      </c>
      <c r="S30" s="236">
        <f t="shared" si="36"/>
        <v>19.5</v>
      </c>
      <c r="T30" s="236">
        <f t="shared" si="36"/>
        <v>19.399999999999999</v>
      </c>
      <c r="U30" s="236">
        <f t="shared" si="36"/>
        <v>19.3</v>
      </c>
      <c r="V30" s="236">
        <f t="shared" si="36"/>
        <v>19.100000000000001</v>
      </c>
      <c r="W30" s="236">
        <f t="shared" si="36"/>
        <v>19</v>
      </c>
      <c r="X30" s="236">
        <f t="shared" si="36"/>
        <v>18.899999999999999</v>
      </c>
      <c r="Y30" s="236">
        <f t="shared" si="36"/>
        <v>18.8</v>
      </c>
      <c r="Z30" s="236">
        <f t="shared" si="36"/>
        <v>18.7</v>
      </c>
      <c r="AA30" s="236">
        <f t="shared" si="36"/>
        <v>18.600000000000001</v>
      </c>
      <c r="AB30" s="236">
        <f t="shared" si="36"/>
        <v>18.5</v>
      </c>
      <c r="AC30" s="236">
        <f t="shared" si="36"/>
        <v>18.3</v>
      </c>
      <c r="AD30" s="235">
        <f t="shared" si="27"/>
        <v>18.284320821852656</v>
      </c>
      <c r="AE30" s="235">
        <f t="shared" si="27"/>
        <v>18.179389583962589</v>
      </c>
      <c r="AF30" s="235">
        <f t="shared" si="27"/>
        <v>18.079238186037237</v>
      </c>
      <c r="AG30" s="235">
        <f t="shared" si="27"/>
        <v>17.974049083350799</v>
      </c>
      <c r="AH30" s="235">
        <f t="shared" si="21"/>
        <v>17.888972753539822</v>
      </c>
      <c r="AI30" s="235">
        <f t="shared" si="21"/>
        <v>17.783710950199261</v>
      </c>
      <c r="AJ30" s="235">
        <f t="shared" si="21"/>
        <v>17.683646073798549</v>
      </c>
      <c r="AK30" s="235">
        <f t="shared" si="21"/>
        <v>17.593715958222241</v>
      </c>
      <c r="AL30" s="235">
        <f t="shared" si="21"/>
        <v>17.501769829231097</v>
      </c>
      <c r="AM30" s="235">
        <f t="shared" si="21"/>
        <v>17.408492690044351</v>
      </c>
      <c r="AN30" s="235">
        <f t="shared" si="21"/>
        <v>17.318856108002379</v>
      </c>
      <c r="AO30" s="235">
        <f t="shared" si="21"/>
        <v>17.237864177461475</v>
      </c>
      <c r="AP30" s="235">
        <f t="shared" ref="AP30:AS30" si="37">(AP17/AP$6)*100</f>
        <v>17.156352457611362</v>
      </c>
      <c r="AQ30" s="235">
        <f t="shared" si="37"/>
        <v>17.074590028647652</v>
      </c>
      <c r="AR30" s="235">
        <f t="shared" si="37"/>
        <v>16.996617182837674</v>
      </c>
      <c r="AS30" s="235">
        <f t="shared" si="37"/>
        <v>16.926619516625884</v>
      </c>
    </row>
    <row r="31" spans="1:45" ht="24" customHeight="1">
      <c r="A31" s="234" t="s">
        <v>165</v>
      </c>
    </row>
    <row r="33" spans="30:33" s="232" customFormat="1" ht="24" customHeight="1">
      <c r="AD33" s="232">
        <v>1</v>
      </c>
      <c r="AE33" s="232">
        <v>2</v>
      </c>
      <c r="AF33" s="232">
        <v>3</v>
      </c>
      <c r="AG33" s="232">
        <v>4</v>
      </c>
    </row>
  </sheetData>
  <mergeCells count="14">
    <mergeCell ref="AP3:AS3"/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6"/>
  <sheetViews>
    <sheetView zoomScale="60" zoomScaleNormal="60" workbookViewId="0">
      <selection sqref="A1:IV65536"/>
    </sheetView>
  </sheetViews>
  <sheetFormatPr defaultRowHeight="5.25" customHeight="1"/>
  <cols>
    <col min="1" max="1" width="25.85546875" style="417" customWidth="1"/>
    <col min="2" max="2" width="12.28515625" style="420" customWidth="1"/>
    <col min="3" max="3" width="11.140625" style="420" customWidth="1"/>
    <col min="4" max="4" width="12.28515625" style="420" customWidth="1"/>
    <col min="5" max="5" width="25.28515625" style="417" customWidth="1"/>
    <col min="6" max="6" width="12.28515625" style="420" customWidth="1"/>
    <col min="7" max="7" width="10.42578125" style="420" customWidth="1"/>
    <col min="8" max="8" width="11.85546875" style="420" customWidth="1"/>
    <col min="9" max="9" width="24.85546875" style="421" customWidth="1"/>
    <col min="10" max="10" width="12.140625" style="420" customWidth="1"/>
    <col min="11" max="11" width="11" style="420" customWidth="1"/>
    <col min="12" max="12" width="12.140625" style="420" customWidth="1"/>
    <col min="13" max="13" width="23.28515625" style="419" customWidth="1"/>
    <col min="14" max="16" width="13.42578125" style="418" customWidth="1"/>
    <col min="17" max="17" width="24.140625" style="417" customWidth="1"/>
    <col min="18" max="20" width="10.85546875" style="416" customWidth="1"/>
    <col min="21" max="21" width="9.140625" style="415"/>
    <col min="22" max="22" width="12.42578125" style="415" customWidth="1"/>
    <col min="23" max="23" width="11.28515625" style="415" customWidth="1"/>
    <col min="24" max="24" width="16.7109375" style="415" customWidth="1"/>
    <col min="25" max="16384" width="9.140625" style="415"/>
  </cols>
  <sheetData>
    <row r="1" spans="1:21" s="34" customFormat="1" ht="30.75" customHeight="1">
      <c r="A1" s="556" t="s">
        <v>179</v>
      </c>
      <c r="B1" s="446"/>
      <c r="C1" s="446"/>
      <c r="D1" s="446"/>
      <c r="E1" s="555" t="s">
        <v>38</v>
      </c>
      <c r="F1" s="445"/>
      <c r="G1" s="445"/>
      <c r="H1" s="445"/>
      <c r="I1" s="554" t="s">
        <v>38</v>
      </c>
      <c r="J1" s="443"/>
      <c r="K1" s="443"/>
      <c r="L1" s="443"/>
      <c r="M1" s="553" t="s">
        <v>38</v>
      </c>
      <c r="N1" s="441"/>
      <c r="O1" s="441"/>
      <c r="P1" s="441"/>
      <c r="Q1" s="34" t="s">
        <v>38</v>
      </c>
    </row>
    <row r="2" spans="1:21" s="364" customFormat="1" ht="20.25" customHeight="1">
      <c r="A2" s="552" t="s">
        <v>174</v>
      </c>
      <c r="B2" s="551"/>
      <c r="C2" s="551"/>
      <c r="D2" s="551"/>
      <c r="E2" s="550" t="s">
        <v>173</v>
      </c>
      <c r="F2" s="549"/>
      <c r="G2" s="549"/>
      <c r="H2" s="549"/>
      <c r="I2" s="548" t="s">
        <v>172</v>
      </c>
      <c r="J2" s="547"/>
      <c r="K2" s="547"/>
      <c r="L2" s="547"/>
      <c r="M2" s="546" t="s">
        <v>171</v>
      </c>
      <c r="N2" s="545"/>
      <c r="O2" s="545"/>
      <c r="P2" s="545"/>
      <c r="Q2" s="18" t="s">
        <v>170</v>
      </c>
      <c r="R2" s="7"/>
      <c r="S2" s="34"/>
      <c r="T2" s="7"/>
      <c r="U2" s="358"/>
    </row>
    <row r="3" spans="1:21" s="419" customFormat="1" ht="30" customHeight="1">
      <c r="A3" s="544" t="s">
        <v>6</v>
      </c>
      <c r="B3" s="543" t="s">
        <v>0</v>
      </c>
      <c r="C3" s="543" t="s">
        <v>1</v>
      </c>
      <c r="D3" s="543" t="s">
        <v>2</v>
      </c>
      <c r="E3" s="542" t="s">
        <v>6</v>
      </c>
      <c r="F3" s="541" t="s">
        <v>0</v>
      </c>
      <c r="G3" s="541" t="s">
        <v>1</v>
      </c>
      <c r="H3" s="541" t="s">
        <v>2</v>
      </c>
      <c r="I3" s="540" t="s">
        <v>6</v>
      </c>
      <c r="J3" s="539" t="s">
        <v>0</v>
      </c>
      <c r="K3" s="539" t="s">
        <v>1</v>
      </c>
      <c r="L3" s="539" t="s">
        <v>2</v>
      </c>
      <c r="M3" s="538" t="s">
        <v>6</v>
      </c>
      <c r="N3" s="537" t="s">
        <v>0</v>
      </c>
      <c r="O3" s="537" t="s">
        <v>1</v>
      </c>
      <c r="P3" s="537" t="s">
        <v>2</v>
      </c>
      <c r="Q3" s="536" t="s">
        <v>6</v>
      </c>
      <c r="R3" s="535" t="s">
        <v>0</v>
      </c>
      <c r="S3" s="535" t="s">
        <v>1</v>
      </c>
      <c r="T3" s="535" t="s">
        <v>2</v>
      </c>
    </row>
    <row r="4" spans="1:21" s="525" customFormat="1" ht="19.5" customHeight="1">
      <c r="A4" s="534"/>
      <c r="B4" s="533" t="s">
        <v>21</v>
      </c>
      <c r="C4" s="533"/>
      <c r="D4" s="533"/>
      <c r="E4" s="532"/>
      <c r="F4" s="531" t="s">
        <v>21</v>
      </c>
      <c r="G4" s="531"/>
      <c r="H4" s="531"/>
      <c r="I4" s="530"/>
      <c r="J4" s="529" t="s">
        <v>21</v>
      </c>
      <c r="K4" s="528"/>
      <c r="L4" s="528"/>
      <c r="M4" s="527"/>
      <c r="N4" s="526" t="s">
        <v>21</v>
      </c>
      <c r="O4" s="526"/>
      <c r="P4" s="526"/>
      <c r="R4" s="1179" t="s">
        <v>21</v>
      </c>
      <c r="S4" s="1179"/>
      <c r="T4" s="1179"/>
    </row>
    <row r="5" spans="1:21" s="12" customFormat="1" ht="21" customHeight="1">
      <c r="A5" s="524" t="s">
        <v>37</v>
      </c>
      <c r="B5" s="354">
        <v>2056013</v>
      </c>
      <c r="C5" s="354">
        <v>992301</v>
      </c>
      <c r="D5" s="354">
        <v>1063712</v>
      </c>
      <c r="E5" s="523" t="s">
        <v>37</v>
      </c>
      <c r="F5" s="352">
        <v>2055690</v>
      </c>
      <c r="G5" s="352">
        <v>992241</v>
      </c>
      <c r="H5" s="352">
        <v>1063449</v>
      </c>
      <c r="I5" s="520" t="s">
        <v>37</v>
      </c>
      <c r="J5" s="350">
        <v>2054924</v>
      </c>
      <c r="K5" s="350">
        <v>992005</v>
      </c>
      <c r="L5" s="350">
        <v>1062919</v>
      </c>
      <c r="M5" s="517" t="s">
        <v>37</v>
      </c>
      <c r="N5" s="348">
        <v>2054008</v>
      </c>
      <c r="O5" s="348">
        <v>991710</v>
      </c>
      <c r="P5" s="348">
        <v>1062298</v>
      </c>
      <c r="Q5" s="23" t="s">
        <v>37</v>
      </c>
      <c r="R5" s="373">
        <v>2055159</v>
      </c>
      <c r="S5" s="373">
        <v>992064</v>
      </c>
      <c r="T5" s="373">
        <v>1063095</v>
      </c>
    </row>
    <row r="6" spans="1:21" s="12" customFormat="1" ht="6" customHeight="1">
      <c r="A6" s="524"/>
      <c r="B6" s="508"/>
      <c r="C6" s="508"/>
      <c r="D6" s="508"/>
      <c r="E6" s="523"/>
      <c r="F6" s="352"/>
      <c r="G6" s="522"/>
      <c r="H6" s="521"/>
      <c r="I6" s="520"/>
      <c r="J6" s="350"/>
      <c r="K6" s="519"/>
      <c r="L6" s="518"/>
      <c r="M6" s="517"/>
      <c r="N6" s="348"/>
      <c r="O6" s="516"/>
      <c r="P6" s="515"/>
      <c r="Q6" s="23"/>
      <c r="R6" s="359"/>
      <c r="S6" s="359"/>
      <c r="T6" s="359"/>
    </row>
    <row r="7" spans="1:21" s="12" customFormat="1" ht="20.25" customHeight="1">
      <c r="A7" s="487" t="s">
        <v>36</v>
      </c>
      <c r="B7" s="508">
        <v>44982</v>
      </c>
      <c r="C7" s="508">
        <v>6108</v>
      </c>
      <c r="D7" s="508">
        <v>38874</v>
      </c>
      <c r="E7" s="486" t="s">
        <v>36</v>
      </c>
      <c r="F7" s="507">
        <v>46914</v>
      </c>
      <c r="G7" s="507">
        <v>11028</v>
      </c>
      <c r="H7" s="507">
        <v>35886</v>
      </c>
      <c r="I7" s="485" t="s">
        <v>36</v>
      </c>
      <c r="J7" s="506">
        <v>36240</v>
      </c>
      <c r="K7" s="506">
        <v>11041</v>
      </c>
      <c r="L7" s="506">
        <v>25199</v>
      </c>
      <c r="M7" s="484" t="s">
        <v>36</v>
      </c>
      <c r="N7" s="513">
        <v>34589</v>
      </c>
      <c r="O7" s="513">
        <v>9386</v>
      </c>
      <c r="P7" s="513">
        <v>25203</v>
      </c>
      <c r="Q7" s="483" t="s">
        <v>36</v>
      </c>
      <c r="R7" s="359">
        <v>40681</v>
      </c>
      <c r="S7" s="359">
        <v>9391</v>
      </c>
      <c r="T7" s="359">
        <v>31290</v>
      </c>
      <c r="U7" s="28"/>
    </row>
    <row r="8" spans="1:21" s="12" customFormat="1" ht="20.25" customHeight="1">
      <c r="A8" s="478" t="s">
        <v>35</v>
      </c>
      <c r="B8" s="508">
        <v>580425</v>
      </c>
      <c r="C8" s="508">
        <v>257381</v>
      </c>
      <c r="D8" s="508">
        <v>323044</v>
      </c>
      <c r="E8" s="477" t="s">
        <v>35</v>
      </c>
      <c r="F8" s="507">
        <v>580852</v>
      </c>
      <c r="G8" s="507">
        <v>256230</v>
      </c>
      <c r="H8" s="507">
        <v>324622</v>
      </c>
      <c r="I8" s="476" t="s">
        <v>35</v>
      </c>
      <c r="J8" s="506">
        <v>616936</v>
      </c>
      <c r="K8" s="506">
        <v>271812</v>
      </c>
      <c r="L8" s="506">
        <v>345124</v>
      </c>
      <c r="M8" s="475" t="s">
        <v>35</v>
      </c>
      <c r="N8" s="513">
        <v>609519</v>
      </c>
      <c r="O8" s="513">
        <v>259499</v>
      </c>
      <c r="P8" s="513">
        <v>350020</v>
      </c>
      <c r="Q8" s="12" t="s">
        <v>35</v>
      </c>
      <c r="R8" s="359">
        <v>596934</v>
      </c>
      <c r="S8" s="359">
        <v>261231</v>
      </c>
      <c r="T8" s="359">
        <v>335703</v>
      </c>
      <c r="U8" s="28"/>
    </row>
    <row r="9" spans="1:21" s="12" customFormat="1" ht="20.25" customHeight="1">
      <c r="A9" s="482" t="s">
        <v>34</v>
      </c>
      <c r="B9" s="508">
        <v>431314</v>
      </c>
      <c r="C9" s="508">
        <v>233383</v>
      </c>
      <c r="D9" s="508">
        <v>197931</v>
      </c>
      <c r="E9" s="481" t="s">
        <v>34</v>
      </c>
      <c r="F9" s="507">
        <v>411809</v>
      </c>
      <c r="G9" s="507">
        <v>230907</v>
      </c>
      <c r="H9" s="507">
        <v>180902</v>
      </c>
      <c r="I9" s="480" t="s">
        <v>34</v>
      </c>
      <c r="J9" s="506">
        <v>378900</v>
      </c>
      <c r="K9" s="506">
        <v>207724</v>
      </c>
      <c r="L9" s="506">
        <v>171176</v>
      </c>
      <c r="M9" s="479" t="s">
        <v>34</v>
      </c>
      <c r="N9" s="513">
        <v>410182</v>
      </c>
      <c r="O9" s="513">
        <v>228709</v>
      </c>
      <c r="P9" s="513">
        <v>181473</v>
      </c>
      <c r="Q9" s="17" t="s">
        <v>34</v>
      </c>
      <c r="R9" s="359">
        <v>408051</v>
      </c>
      <c r="S9" s="359">
        <v>225181</v>
      </c>
      <c r="T9" s="359">
        <v>182870</v>
      </c>
      <c r="U9" s="28"/>
    </row>
    <row r="10" spans="1:21" s="12" customFormat="1" ht="20.25" customHeight="1">
      <c r="A10" s="482" t="s">
        <v>33</v>
      </c>
      <c r="B10" s="508">
        <v>436657</v>
      </c>
      <c r="C10" s="508">
        <v>218775</v>
      </c>
      <c r="D10" s="508">
        <v>217882</v>
      </c>
      <c r="E10" s="481" t="s">
        <v>33</v>
      </c>
      <c r="F10" s="507">
        <v>396801</v>
      </c>
      <c r="G10" s="507">
        <v>202011</v>
      </c>
      <c r="H10" s="507">
        <v>194790</v>
      </c>
      <c r="I10" s="480" t="s">
        <v>33</v>
      </c>
      <c r="J10" s="506">
        <v>374804</v>
      </c>
      <c r="K10" s="506">
        <v>205019</v>
      </c>
      <c r="L10" s="506">
        <v>169785</v>
      </c>
      <c r="M10" s="479" t="s">
        <v>33</v>
      </c>
      <c r="N10" s="513">
        <v>375875</v>
      </c>
      <c r="O10" s="513">
        <v>201413</v>
      </c>
      <c r="P10" s="513">
        <v>174462</v>
      </c>
      <c r="Q10" s="17" t="s">
        <v>33</v>
      </c>
      <c r="R10" s="359">
        <v>396034</v>
      </c>
      <c r="S10" s="359">
        <v>206804</v>
      </c>
      <c r="T10" s="359">
        <v>189230</v>
      </c>
      <c r="U10" s="28"/>
    </row>
    <row r="11" spans="1:21" s="12" customFormat="1" ht="20.25" customHeight="1">
      <c r="A11" s="478" t="s">
        <v>32</v>
      </c>
      <c r="B11" s="508">
        <v>335938</v>
      </c>
      <c r="C11" s="508">
        <v>170797</v>
      </c>
      <c r="D11" s="508">
        <v>165141</v>
      </c>
      <c r="E11" s="477" t="s">
        <v>32</v>
      </c>
      <c r="F11" s="507">
        <v>379317</v>
      </c>
      <c r="G11" s="507">
        <v>189591</v>
      </c>
      <c r="H11" s="507">
        <v>189726</v>
      </c>
      <c r="I11" s="476" t="s">
        <v>32</v>
      </c>
      <c r="J11" s="506">
        <v>382753</v>
      </c>
      <c r="K11" s="506">
        <v>182994</v>
      </c>
      <c r="L11" s="506">
        <v>199759</v>
      </c>
      <c r="M11" s="475" t="s">
        <v>32</v>
      </c>
      <c r="N11" s="513">
        <v>363928</v>
      </c>
      <c r="O11" s="513">
        <v>176437</v>
      </c>
      <c r="P11" s="513">
        <v>187491</v>
      </c>
      <c r="Q11" s="12" t="s">
        <v>32</v>
      </c>
      <c r="R11" s="359">
        <v>365484</v>
      </c>
      <c r="S11" s="359">
        <v>179954</v>
      </c>
      <c r="T11" s="359">
        <v>185530</v>
      </c>
      <c r="U11" s="28"/>
    </row>
    <row r="12" spans="1:21" s="12" customFormat="1" ht="20.25" customHeight="1">
      <c r="A12" s="467" t="s">
        <v>31</v>
      </c>
      <c r="B12" s="508">
        <v>293772</v>
      </c>
      <c r="C12" s="508">
        <v>145223</v>
      </c>
      <c r="D12" s="508">
        <v>148549</v>
      </c>
      <c r="E12" s="465" t="s">
        <v>31</v>
      </c>
      <c r="F12" s="507">
        <v>313584</v>
      </c>
      <c r="G12" s="507">
        <v>157293</v>
      </c>
      <c r="H12" s="507">
        <v>156291</v>
      </c>
      <c r="I12" s="463" t="s">
        <v>31</v>
      </c>
      <c r="J12" s="506">
        <v>331138</v>
      </c>
      <c r="K12" s="506">
        <v>149962</v>
      </c>
      <c r="L12" s="506">
        <v>181176</v>
      </c>
      <c r="M12" s="461" t="s">
        <v>31</v>
      </c>
      <c r="N12" s="513">
        <v>309142</v>
      </c>
      <c r="O12" s="513">
        <v>145143</v>
      </c>
      <c r="P12" s="513">
        <v>163999</v>
      </c>
      <c r="Q12" s="15" t="s">
        <v>102</v>
      </c>
      <c r="R12" s="359">
        <v>311909</v>
      </c>
      <c r="S12" s="359">
        <v>149405</v>
      </c>
      <c r="T12" s="359">
        <v>162504</v>
      </c>
      <c r="U12" s="28"/>
    </row>
    <row r="13" spans="1:21" s="12" customFormat="1" ht="20.25" customHeight="1">
      <c r="A13" s="467" t="s">
        <v>30</v>
      </c>
      <c r="B13" s="508">
        <v>42166</v>
      </c>
      <c r="C13" s="508">
        <v>25574</v>
      </c>
      <c r="D13" s="508">
        <v>16592</v>
      </c>
      <c r="E13" s="465" t="s">
        <v>30</v>
      </c>
      <c r="F13" s="507">
        <v>65733</v>
      </c>
      <c r="G13" s="507">
        <v>32298</v>
      </c>
      <c r="H13" s="507">
        <v>33435</v>
      </c>
      <c r="I13" s="463" t="s">
        <v>30</v>
      </c>
      <c r="J13" s="506">
        <v>51615</v>
      </c>
      <c r="K13" s="506">
        <v>33032</v>
      </c>
      <c r="L13" s="506">
        <v>18583</v>
      </c>
      <c r="M13" s="461" t="s">
        <v>30</v>
      </c>
      <c r="N13" s="513">
        <v>54786</v>
      </c>
      <c r="O13" s="513">
        <v>31294</v>
      </c>
      <c r="P13" s="513">
        <v>23492</v>
      </c>
      <c r="Q13" s="15" t="s">
        <v>101</v>
      </c>
      <c r="R13" s="359">
        <v>53575</v>
      </c>
      <c r="S13" s="359">
        <v>30549</v>
      </c>
      <c r="T13" s="359">
        <v>23026</v>
      </c>
      <c r="U13" s="28"/>
    </row>
    <row r="14" spans="1:21" s="12" customFormat="1" ht="20.25" customHeight="1">
      <c r="A14" s="474" t="s">
        <v>29</v>
      </c>
      <c r="B14" s="508" t="s">
        <v>8</v>
      </c>
      <c r="C14" s="508" t="s">
        <v>8</v>
      </c>
      <c r="D14" s="508" t="s">
        <v>8</v>
      </c>
      <c r="E14" s="353" t="s">
        <v>29</v>
      </c>
      <c r="F14" s="514" t="s">
        <v>8</v>
      </c>
      <c r="G14" s="514" t="s">
        <v>8</v>
      </c>
      <c r="H14" s="514" t="s">
        <v>8</v>
      </c>
      <c r="I14" s="473" t="s">
        <v>29</v>
      </c>
      <c r="J14" s="505" t="s">
        <v>7</v>
      </c>
      <c r="K14" s="512" t="s">
        <v>7</v>
      </c>
      <c r="L14" s="512" t="s">
        <v>7</v>
      </c>
      <c r="M14" s="472" t="s">
        <v>29</v>
      </c>
      <c r="N14" s="511" t="s">
        <v>7</v>
      </c>
      <c r="O14" s="511" t="s">
        <v>7</v>
      </c>
      <c r="P14" s="511" t="s">
        <v>7</v>
      </c>
      <c r="Q14" s="471" t="s">
        <v>100</v>
      </c>
      <c r="R14" s="510" t="s">
        <v>178</v>
      </c>
      <c r="S14" s="509" t="s">
        <v>178</v>
      </c>
      <c r="T14" s="509" t="s">
        <v>178</v>
      </c>
      <c r="U14" s="28"/>
    </row>
    <row r="15" spans="1:21" s="12" customFormat="1" ht="20.25" customHeight="1">
      <c r="A15" s="478" t="s">
        <v>28</v>
      </c>
      <c r="B15" s="508">
        <v>224373</v>
      </c>
      <c r="C15" s="508">
        <v>105050</v>
      </c>
      <c r="D15" s="508">
        <v>119323</v>
      </c>
      <c r="E15" s="477" t="s">
        <v>28</v>
      </c>
      <c r="F15" s="507">
        <v>239394</v>
      </c>
      <c r="G15" s="507">
        <v>102474</v>
      </c>
      <c r="H15" s="507">
        <v>136920</v>
      </c>
      <c r="I15" s="476" t="s">
        <v>28</v>
      </c>
      <c r="J15" s="506">
        <v>263765</v>
      </c>
      <c r="K15" s="506">
        <v>113416</v>
      </c>
      <c r="L15" s="506">
        <v>150349</v>
      </c>
      <c r="M15" s="475" t="s">
        <v>28</v>
      </c>
      <c r="N15" s="513">
        <v>253568</v>
      </c>
      <c r="O15" s="513">
        <v>114042</v>
      </c>
      <c r="P15" s="513">
        <v>139526</v>
      </c>
      <c r="Q15" s="12" t="s">
        <v>28</v>
      </c>
      <c r="R15" s="359">
        <v>245275</v>
      </c>
      <c r="S15" s="359">
        <v>108745</v>
      </c>
      <c r="T15" s="359">
        <v>136530</v>
      </c>
      <c r="U15" s="28"/>
    </row>
    <row r="16" spans="1:21" s="12" customFormat="1" ht="20.25" customHeight="1">
      <c r="A16" s="474" t="s">
        <v>27</v>
      </c>
      <c r="B16" s="508">
        <v>110371</v>
      </c>
      <c r="C16" s="508">
        <v>49819</v>
      </c>
      <c r="D16" s="508">
        <v>60552</v>
      </c>
      <c r="E16" s="353" t="s">
        <v>27</v>
      </c>
      <c r="F16" s="507">
        <v>123170</v>
      </c>
      <c r="G16" s="507">
        <v>44874</v>
      </c>
      <c r="H16" s="507">
        <v>78296</v>
      </c>
      <c r="I16" s="473" t="s">
        <v>27</v>
      </c>
      <c r="J16" s="506">
        <v>127289</v>
      </c>
      <c r="K16" s="506">
        <v>49270</v>
      </c>
      <c r="L16" s="506">
        <v>78019</v>
      </c>
      <c r="M16" s="472" t="s">
        <v>27</v>
      </c>
      <c r="N16" s="513">
        <v>121635</v>
      </c>
      <c r="O16" s="513">
        <v>47387</v>
      </c>
      <c r="P16" s="513">
        <v>74248</v>
      </c>
      <c r="Q16" s="471" t="s">
        <v>27</v>
      </c>
      <c r="R16" s="359">
        <v>120616</v>
      </c>
      <c r="S16" s="359">
        <v>47837</v>
      </c>
      <c r="T16" s="359">
        <v>72779</v>
      </c>
      <c r="U16" s="28"/>
    </row>
    <row r="17" spans="1:23" s="12" customFormat="1" ht="20.25" customHeight="1">
      <c r="A17" s="474" t="s">
        <v>26</v>
      </c>
      <c r="B17" s="508">
        <v>71737</v>
      </c>
      <c r="C17" s="508">
        <v>46388</v>
      </c>
      <c r="D17" s="508">
        <v>25349</v>
      </c>
      <c r="E17" s="353" t="s">
        <v>26</v>
      </c>
      <c r="F17" s="507">
        <v>72097</v>
      </c>
      <c r="G17" s="507">
        <v>46188</v>
      </c>
      <c r="H17" s="507">
        <v>25909</v>
      </c>
      <c r="I17" s="473" t="s">
        <v>26</v>
      </c>
      <c r="J17" s="506">
        <v>86858</v>
      </c>
      <c r="K17" s="506">
        <v>51103</v>
      </c>
      <c r="L17" s="506">
        <v>35755</v>
      </c>
      <c r="M17" s="472" t="s">
        <v>26</v>
      </c>
      <c r="N17" s="513">
        <v>88047</v>
      </c>
      <c r="O17" s="513">
        <v>53477</v>
      </c>
      <c r="P17" s="513">
        <v>34570</v>
      </c>
      <c r="Q17" s="471" t="s">
        <v>26</v>
      </c>
      <c r="R17" s="359">
        <v>79685</v>
      </c>
      <c r="S17" s="359">
        <v>49289</v>
      </c>
      <c r="T17" s="359">
        <v>30396</v>
      </c>
      <c r="U17" s="28"/>
    </row>
    <row r="18" spans="1:23" s="12" customFormat="1" ht="20.25" customHeight="1">
      <c r="A18" s="474" t="s">
        <v>25</v>
      </c>
      <c r="B18" s="508">
        <v>42265</v>
      </c>
      <c r="C18" s="508">
        <v>8843</v>
      </c>
      <c r="D18" s="508">
        <v>33422</v>
      </c>
      <c r="E18" s="353" t="s">
        <v>25</v>
      </c>
      <c r="F18" s="507">
        <v>44127</v>
      </c>
      <c r="G18" s="507">
        <v>11412</v>
      </c>
      <c r="H18" s="507">
        <v>32715</v>
      </c>
      <c r="I18" s="473" t="s">
        <v>25</v>
      </c>
      <c r="J18" s="506">
        <v>49618</v>
      </c>
      <c r="K18" s="506">
        <v>13043</v>
      </c>
      <c r="L18" s="506">
        <v>36575</v>
      </c>
      <c r="M18" s="472" t="s">
        <v>25</v>
      </c>
      <c r="N18" s="513">
        <v>43886</v>
      </c>
      <c r="O18" s="513">
        <v>13178</v>
      </c>
      <c r="P18" s="513">
        <v>30708</v>
      </c>
      <c r="Q18" s="471" t="s">
        <v>25</v>
      </c>
      <c r="R18" s="359">
        <v>44974</v>
      </c>
      <c r="S18" s="359">
        <v>11619</v>
      </c>
      <c r="T18" s="359">
        <v>33355</v>
      </c>
      <c r="U18" s="28"/>
    </row>
    <row r="19" spans="1:23" s="12" customFormat="1" ht="20.25" customHeight="1">
      <c r="A19" s="467" t="s">
        <v>24</v>
      </c>
      <c r="B19" s="354" t="s">
        <v>8</v>
      </c>
      <c r="C19" s="354" t="s">
        <v>8</v>
      </c>
      <c r="D19" s="354" t="s">
        <v>8</v>
      </c>
      <c r="E19" s="465" t="s">
        <v>24</v>
      </c>
      <c r="F19" s="507">
        <v>0</v>
      </c>
      <c r="G19" s="507">
        <v>0</v>
      </c>
      <c r="H19" s="507">
        <v>0</v>
      </c>
      <c r="I19" s="463" t="s">
        <v>24</v>
      </c>
      <c r="J19" s="505" t="s">
        <v>7</v>
      </c>
      <c r="K19" s="512" t="s">
        <v>7</v>
      </c>
      <c r="L19" s="512" t="s">
        <v>7</v>
      </c>
      <c r="M19" s="461" t="s">
        <v>24</v>
      </c>
      <c r="N19" s="504" t="s">
        <v>7</v>
      </c>
      <c r="O19" s="511" t="s">
        <v>7</v>
      </c>
      <c r="P19" s="511" t="s">
        <v>7</v>
      </c>
      <c r="Q19" s="15" t="s">
        <v>24</v>
      </c>
      <c r="R19" s="510" t="s">
        <v>7</v>
      </c>
      <c r="S19" s="509" t="s">
        <v>7</v>
      </c>
      <c r="T19" s="509" t="s">
        <v>7</v>
      </c>
      <c r="U19" s="28"/>
    </row>
    <row r="20" spans="1:23" s="12" customFormat="1" ht="20.25" customHeight="1">
      <c r="A20" s="467" t="s">
        <v>23</v>
      </c>
      <c r="B20" s="508">
        <v>2324</v>
      </c>
      <c r="C20" s="508">
        <v>807</v>
      </c>
      <c r="D20" s="508">
        <v>1517</v>
      </c>
      <c r="E20" s="465" t="s">
        <v>23</v>
      </c>
      <c r="F20" s="507">
        <v>603</v>
      </c>
      <c r="G20" s="507">
        <v>0</v>
      </c>
      <c r="H20" s="507">
        <v>603</v>
      </c>
      <c r="I20" s="463" t="s">
        <v>23</v>
      </c>
      <c r="J20" s="506">
        <v>1526</v>
      </c>
      <c r="K20" s="506">
        <v>0</v>
      </c>
      <c r="L20" s="505">
        <v>1526</v>
      </c>
      <c r="M20" s="461" t="s">
        <v>23</v>
      </c>
      <c r="N20" s="504">
        <v>6347</v>
      </c>
      <c r="O20" s="504">
        <v>2224</v>
      </c>
      <c r="P20" s="504">
        <v>4123</v>
      </c>
      <c r="Q20" s="15" t="s">
        <v>23</v>
      </c>
      <c r="R20" s="359">
        <f>(N20+J20+F20+B20)/4</f>
        <v>2700</v>
      </c>
      <c r="S20" s="359">
        <f>(O20+K20+G20+C20)/4</f>
        <v>757.75</v>
      </c>
      <c r="T20" s="359">
        <f>(P20+L20+H20+D20)/4</f>
        <v>1942.25</v>
      </c>
      <c r="U20" s="28"/>
    </row>
    <row r="21" spans="1:23" s="495" customFormat="1" ht="21" customHeight="1">
      <c r="A21" s="503"/>
      <c r="B21" s="502" t="s">
        <v>20</v>
      </c>
      <c r="C21" s="502"/>
      <c r="D21" s="502"/>
      <c r="E21" s="445"/>
      <c r="F21" s="501" t="s">
        <v>20</v>
      </c>
      <c r="G21" s="501"/>
      <c r="H21" s="501"/>
      <c r="I21" s="500"/>
      <c r="J21" s="499" t="s">
        <v>20</v>
      </c>
      <c r="K21" s="498"/>
      <c r="L21" s="498"/>
      <c r="M21" s="497"/>
      <c r="N21" s="496" t="s">
        <v>20</v>
      </c>
      <c r="O21" s="496"/>
      <c r="P21" s="496"/>
      <c r="R21" s="1178" t="s">
        <v>20</v>
      </c>
      <c r="S21" s="1178"/>
      <c r="T21" s="1178"/>
    </row>
    <row r="22" spans="1:23" s="12" customFormat="1" ht="21" customHeight="1">
      <c r="A22" s="493" t="s">
        <v>37</v>
      </c>
      <c r="B22" s="470">
        <v>100</v>
      </c>
      <c r="C22" s="470">
        <v>100</v>
      </c>
      <c r="D22" s="470">
        <v>100</v>
      </c>
      <c r="E22" s="492" t="s">
        <v>37</v>
      </c>
      <c r="F22" s="491">
        <v>100</v>
      </c>
      <c r="G22" s="491">
        <v>100</v>
      </c>
      <c r="H22" s="491">
        <v>100</v>
      </c>
      <c r="I22" s="490" t="s">
        <v>37</v>
      </c>
      <c r="J22" s="462">
        <v>100</v>
      </c>
      <c r="K22" s="462">
        <v>100</v>
      </c>
      <c r="L22" s="462">
        <v>100</v>
      </c>
      <c r="M22" s="489" t="s">
        <v>37</v>
      </c>
      <c r="N22" s="460">
        <v>100</v>
      </c>
      <c r="O22" s="460">
        <v>100</v>
      </c>
      <c r="P22" s="460">
        <v>100</v>
      </c>
      <c r="Q22" s="271" t="s">
        <v>37</v>
      </c>
      <c r="R22" s="488">
        <f>R5/R$5*100</f>
        <v>100</v>
      </c>
      <c r="S22" s="488">
        <f>S5/S$5*100</f>
        <v>100</v>
      </c>
      <c r="T22" s="488">
        <f>T5/T$5*100</f>
        <v>100</v>
      </c>
      <c r="U22" s="494"/>
      <c r="V22" s="494"/>
      <c r="W22" s="494"/>
    </row>
    <row r="23" spans="1:23" s="12" customFormat="1" ht="9" customHeight="1">
      <c r="A23" s="493"/>
      <c r="B23" s="470"/>
      <c r="C23" s="470"/>
      <c r="D23" s="470"/>
      <c r="E23" s="492"/>
      <c r="F23" s="491"/>
      <c r="G23" s="491"/>
      <c r="H23" s="491"/>
      <c r="I23" s="490"/>
      <c r="J23" s="462"/>
      <c r="K23" s="462"/>
      <c r="L23" s="462"/>
      <c r="M23" s="489"/>
      <c r="N23" s="460"/>
      <c r="O23" s="460"/>
      <c r="P23" s="460"/>
      <c r="Q23" s="271"/>
      <c r="R23" s="488"/>
      <c r="S23" s="488"/>
      <c r="T23" s="488"/>
    </row>
    <row r="24" spans="1:23" s="12" customFormat="1" ht="20.25" customHeight="1">
      <c r="A24" s="487" t="s">
        <v>36</v>
      </c>
      <c r="B24" s="466">
        <v>2.1878266333919094</v>
      </c>
      <c r="C24" s="466">
        <v>0.6155390350307014</v>
      </c>
      <c r="D24" s="466">
        <v>3.6545606329532805</v>
      </c>
      <c r="E24" s="486" t="s">
        <v>36</v>
      </c>
      <c r="F24" s="464">
        <v>2.2821534375319237</v>
      </c>
      <c r="G24" s="464">
        <v>1.1114235352096919</v>
      </c>
      <c r="H24" s="464">
        <v>3.3744918656183795</v>
      </c>
      <c r="I24" s="485" t="s">
        <v>36</v>
      </c>
      <c r="J24" s="462">
        <v>1.7635688716468347</v>
      </c>
      <c r="K24" s="462">
        <v>1.112998422386984</v>
      </c>
      <c r="L24" s="462">
        <v>2.3707356816464848</v>
      </c>
      <c r="M24" s="484" t="s">
        <v>36</v>
      </c>
      <c r="N24" s="460">
        <v>1.6839759144073441</v>
      </c>
      <c r="O24" s="460">
        <v>0.97644603765213622</v>
      </c>
      <c r="P24" s="460">
        <v>2.4024981125823448</v>
      </c>
      <c r="Q24" s="483" t="s">
        <v>36</v>
      </c>
      <c r="R24" s="459">
        <f t="shared" ref="R24:R30" si="0">R7/R$5*100</f>
        <v>1.9794575504863614</v>
      </c>
      <c r="S24" s="459">
        <f>S7/S$5*100+0.03</f>
        <v>0.97661231533449466</v>
      </c>
      <c r="T24" s="459">
        <f t="shared" ref="T24:T30" si="1">T7/T$5*100</f>
        <v>2.9432929324284283</v>
      </c>
      <c r="U24" s="458"/>
      <c r="V24" s="458"/>
      <c r="W24" s="458"/>
    </row>
    <row r="25" spans="1:23" s="12" customFormat="1" ht="20.25" customHeight="1">
      <c r="A25" s="478" t="s">
        <v>35</v>
      </c>
      <c r="B25" s="466">
        <v>28.230609436808034</v>
      </c>
      <c r="C25" s="466">
        <v>25.937795084354441</v>
      </c>
      <c r="D25" s="466">
        <v>30.369498510875125</v>
      </c>
      <c r="E25" s="477" t="s">
        <v>35</v>
      </c>
      <c r="F25" s="464">
        <v>28.255816781713193</v>
      </c>
      <c r="G25" s="464">
        <v>25.823363477219747</v>
      </c>
      <c r="H25" s="464">
        <v>30.52539425962129</v>
      </c>
      <c r="I25" s="476" t="s">
        <v>35</v>
      </c>
      <c r="J25" s="462">
        <v>30.022326859776811</v>
      </c>
      <c r="K25" s="462">
        <v>27.400265119631456</v>
      </c>
      <c r="L25" s="462">
        <v>32.469454398688896</v>
      </c>
      <c r="M25" s="475" t="s">
        <v>35</v>
      </c>
      <c r="N25" s="460">
        <v>29.674616651931245</v>
      </c>
      <c r="O25" s="460">
        <v>26.136822962357947</v>
      </c>
      <c r="P25" s="460">
        <v>32.979323071303909</v>
      </c>
      <c r="Q25" s="12" t="s">
        <v>35</v>
      </c>
      <c r="R25" s="459">
        <f t="shared" si="0"/>
        <v>29.045635885106702</v>
      </c>
      <c r="S25" s="459">
        <f t="shared" ref="S25:S30" si="2">S8/S$5*100</f>
        <v>26.332071317979484</v>
      </c>
      <c r="T25" s="459">
        <f t="shared" si="1"/>
        <v>31.577892850591905</v>
      </c>
      <c r="U25" s="458"/>
      <c r="V25" s="458"/>
      <c r="W25" s="458"/>
    </row>
    <row r="26" spans="1:23" s="12" customFormat="1" ht="20.25" customHeight="1">
      <c r="A26" s="482" t="s">
        <v>34</v>
      </c>
      <c r="B26" s="466">
        <v>20.978174748895071</v>
      </c>
      <c r="C26" s="466">
        <v>23.519375673308804</v>
      </c>
      <c r="D26" s="466">
        <v>18.607574230618816</v>
      </c>
      <c r="E26" s="481" t="s">
        <v>34</v>
      </c>
      <c r="F26" s="464">
        <v>20.032641108338321</v>
      </c>
      <c r="G26" s="464">
        <v>23.271261719683022</v>
      </c>
      <c r="H26" s="464">
        <v>17.010876873268018</v>
      </c>
      <c r="I26" s="480" t="s">
        <v>34</v>
      </c>
      <c r="J26" s="462">
        <v>18.468638119949937</v>
      </c>
      <c r="K26" s="462">
        <v>20.939813811422322</v>
      </c>
      <c r="L26" s="462">
        <v>16.104331562423855</v>
      </c>
      <c r="M26" s="479" t="s">
        <v>34</v>
      </c>
      <c r="N26" s="460">
        <v>19.969834586817576</v>
      </c>
      <c r="O26" s="460">
        <v>23.062084682013896</v>
      </c>
      <c r="P26" s="460">
        <v>17.113059555793196</v>
      </c>
      <c r="Q26" s="17" t="s">
        <v>34</v>
      </c>
      <c r="R26" s="459">
        <f t="shared" si="0"/>
        <v>19.854960127172642</v>
      </c>
      <c r="S26" s="459">
        <f t="shared" si="2"/>
        <v>22.698233178504612</v>
      </c>
      <c r="T26" s="459">
        <f t="shared" si="1"/>
        <v>17.201661187382125</v>
      </c>
      <c r="U26" s="458"/>
      <c r="V26" s="458"/>
      <c r="W26" s="458"/>
    </row>
    <row r="27" spans="1:23" s="12" customFormat="1" ht="20.25" customHeight="1">
      <c r="A27" s="482" t="s">
        <v>33</v>
      </c>
      <c r="B27" s="466">
        <v>21.238046646592217</v>
      </c>
      <c r="C27" s="466">
        <v>22.077241713955747</v>
      </c>
      <c r="D27" s="466">
        <v>20.483175897235341</v>
      </c>
      <c r="E27" s="481" t="s">
        <v>33</v>
      </c>
      <c r="F27" s="464">
        <v>19.302569940020138</v>
      </c>
      <c r="G27" s="464">
        <v>20.359065993039998</v>
      </c>
      <c r="H27" s="464">
        <v>18.316816321234022</v>
      </c>
      <c r="I27" s="480" t="s">
        <v>33</v>
      </c>
      <c r="J27" s="462">
        <v>18.239312013485655</v>
      </c>
      <c r="K27" s="462">
        <v>20.667133734204967</v>
      </c>
      <c r="L27" s="462">
        <v>15.973465522772667</v>
      </c>
      <c r="M27" s="479" t="s">
        <v>33</v>
      </c>
      <c r="N27" s="460">
        <v>18.29958792760301</v>
      </c>
      <c r="O27" s="460">
        <v>20.309667140595536</v>
      </c>
      <c r="P27" s="460">
        <v>16.423075257601916</v>
      </c>
      <c r="Q27" s="17" t="s">
        <v>33</v>
      </c>
      <c r="R27" s="459">
        <f t="shared" si="0"/>
        <v>19.270236512114145</v>
      </c>
      <c r="S27" s="459">
        <f t="shared" si="2"/>
        <v>20.845832526933748</v>
      </c>
      <c r="T27" s="459">
        <f t="shared" si="1"/>
        <v>17.799914400876684</v>
      </c>
      <c r="U27" s="458"/>
      <c r="V27" s="458"/>
      <c r="W27" s="458"/>
    </row>
    <row r="28" spans="1:23" s="12" customFormat="1" ht="20.25" customHeight="1">
      <c r="A28" s="478" t="s">
        <v>32</v>
      </c>
      <c r="B28" s="466">
        <v>16.30929357450561</v>
      </c>
      <c r="C28" s="466">
        <v>17.212216857586558</v>
      </c>
      <c r="D28" s="466">
        <v>15.494972925002257</v>
      </c>
      <c r="E28" s="477" t="s">
        <v>32</v>
      </c>
      <c r="F28" s="464">
        <v>18.452052595478889</v>
      </c>
      <c r="G28" s="464">
        <v>19.107353959370759</v>
      </c>
      <c r="H28" s="464">
        <v>17.840629875057481</v>
      </c>
      <c r="I28" s="476" t="s">
        <v>32</v>
      </c>
      <c r="J28" s="462">
        <v>18.626138971562938</v>
      </c>
      <c r="K28" s="462">
        <v>18.446882828211553</v>
      </c>
      <c r="L28" s="462">
        <v>18.793435812136202</v>
      </c>
      <c r="M28" s="475" t="s">
        <v>32</v>
      </c>
      <c r="N28" s="460">
        <v>17.717944623389979</v>
      </c>
      <c r="O28" s="460">
        <v>17.821188956448964</v>
      </c>
      <c r="P28" s="460">
        <v>17.649567258904753</v>
      </c>
      <c r="Q28" s="12" t="s">
        <v>32</v>
      </c>
      <c r="R28" s="459">
        <f t="shared" si="0"/>
        <v>17.783733521347983</v>
      </c>
      <c r="S28" s="459">
        <f t="shared" si="2"/>
        <v>18.139353912650797</v>
      </c>
      <c r="T28" s="459">
        <f t="shared" si="1"/>
        <v>17.451874009378276</v>
      </c>
      <c r="U28" s="458"/>
      <c r="V28" s="458"/>
      <c r="W28" s="458"/>
    </row>
    <row r="29" spans="1:23" s="12" customFormat="1" ht="20.25" customHeight="1">
      <c r="A29" s="467" t="s">
        <v>31</v>
      </c>
      <c r="B29" s="466">
        <v>14.288431055640213</v>
      </c>
      <c r="C29" s="466">
        <v>14.634974669984208</v>
      </c>
      <c r="D29" s="466">
        <v>13.965152221653982</v>
      </c>
      <c r="E29" s="465" t="s">
        <v>31</v>
      </c>
      <c r="F29" s="464">
        <v>15.254440114997884</v>
      </c>
      <c r="G29" s="464">
        <v>15.822297980027031</v>
      </c>
      <c r="H29" s="464">
        <v>14.696614506196347</v>
      </c>
      <c r="I29" s="463" t="s">
        <v>31</v>
      </c>
      <c r="J29" s="462">
        <v>16.114367246671897</v>
      </c>
      <c r="K29" s="462">
        <v>15.117060901910776</v>
      </c>
      <c r="L29" s="462">
        <v>17.045137023611396</v>
      </c>
      <c r="M29" s="461" t="s">
        <v>31</v>
      </c>
      <c r="N29" s="460">
        <v>15.020671662427802</v>
      </c>
      <c r="O29" s="460">
        <v>14.635629367456213</v>
      </c>
      <c r="P29" s="460">
        <v>15.438135061912947</v>
      </c>
      <c r="Q29" s="15" t="s">
        <v>31</v>
      </c>
      <c r="R29" s="459">
        <f t="shared" si="0"/>
        <v>15.176879258490461</v>
      </c>
      <c r="S29" s="459">
        <f t="shared" si="2"/>
        <v>15.06001628927166</v>
      </c>
      <c r="T29" s="459">
        <f t="shared" si="1"/>
        <v>15.285933994610076</v>
      </c>
      <c r="U29" s="458"/>
      <c r="V29" s="458"/>
      <c r="W29" s="458"/>
    </row>
    <row r="30" spans="1:23" s="12" customFormat="1" ht="20.25" customHeight="1">
      <c r="A30" s="467" t="s">
        <v>30</v>
      </c>
      <c r="B30" s="466">
        <v>2.0208625188653966</v>
      </c>
      <c r="C30" s="466">
        <v>2.5772421876023506</v>
      </c>
      <c r="D30" s="466">
        <v>1.5298207033482747</v>
      </c>
      <c r="E30" s="465" t="s">
        <v>30</v>
      </c>
      <c r="F30" s="464">
        <v>3.197612480481006</v>
      </c>
      <c r="G30" s="464">
        <v>3.2550559793437279</v>
      </c>
      <c r="H30" s="464">
        <v>3.1440153688611296</v>
      </c>
      <c r="I30" s="463" t="s">
        <v>30</v>
      </c>
      <c r="J30" s="462">
        <v>2.5117717248910423</v>
      </c>
      <c r="K30" s="462">
        <v>3.3298219263007747</v>
      </c>
      <c r="L30" s="462">
        <v>1.7482987885248074</v>
      </c>
      <c r="M30" s="461" t="s">
        <v>30</v>
      </c>
      <c r="N30" s="460">
        <v>2.667272960962177</v>
      </c>
      <c r="O30" s="460">
        <v>3.1555595889927499</v>
      </c>
      <c r="P30" s="460">
        <v>2.2114321969918045</v>
      </c>
      <c r="Q30" s="15" t="s">
        <v>30</v>
      </c>
      <c r="R30" s="459">
        <f t="shared" si="0"/>
        <v>2.6068542628575209</v>
      </c>
      <c r="S30" s="459">
        <f t="shared" si="2"/>
        <v>3.079337623379137</v>
      </c>
      <c r="T30" s="459">
        <f t="shared" si="1"/>
        <v>2.1659400147682004</v>
      </c>
      <c r="U30" s="458"/>
      <c r="V30" s="458"/>
      <c r="W30" s="458"/>
    </row>
    <row r="31" spans="1:23" s="12" customFormat="1" ht="20.25" customHeight="1">
      <c r="A31" s="474" t="s">
        <v>29</v>
      </c>
      <c r="B31" s="470" t="s">
        <v>7</v>
      </c>
      <c r="C31" s="470" t="s">
        <v>7</v>
      </c>
      <c r="D31" s="470" t="s">
        <v>7</v>
      </c>
      <c r="E31" s="353" t="s">
        <v>29</v>
      </c>
      <c r="F31" s="464" t="s">
        <v>7</v>
      </c>
      <c r="G31" s="464" t="s">
        <v>7</v>
      </c>
      <c r="H31" s="464" t="s">
        <v>7</v>
      </c>
      <c r="I31" s="473" t="s">
        <v>29</v>
      </c>
      <c r="J31" s="462" t="s">
        <v>7</v>
      </c>
      <c r="K31" s="462" t="s">
        <v>7</v>
      </c>
      <c r="L31" s="462" t="s">
        <v>7</v>
      </c>
      <c r="M31" s="472" t="s">
        <v>29</v>
      </c>
      <c r="N31" s="460" t="s">
        <v>7</v>
      </c>
      <c r="O31" s="460" t="s">
        <v>7</v>
      </c>
      <c r="P31" s="460" t="s">
        <v>7</v>
      </c>
      <c r="Q31" s="471" t="s">
        <v>29</v>
      </c>
      <c r="R31" s="468" t="s">
        <v>7</v>
      </c>
      <c r="S31" s="468" t="s">
        <v>7</v>
      </c>
      <c r="T31" s="468" t="s">
        <v>7</v>
      </c>
      <c r="U31" s="458"/>
      <c r="V31" s="458"/>
      <c r="W31" s="458"/>
    </row>
    <row r="32" spans="1:23" s="12" customFormat="1" ht="20.25" customHeight="1">
      <c r="A32" s="478" t="s">
        <v>28</v>
      </c>
      <c r="B32" s="466">
        <v>10.963014655062979</v>
      </c>
      <c r="C32" s="466">
        <v>10.586505505889845</v>
      </c>
      <c r="D32" s="466">
        <v>11.217604013116331</v>
      </c>
      <c r="E32" s="477" t="s">
        <v>28</v>
      </c>
      <c r="F32" s="464">
        <v>11.645432920333318</v>
      </c>
      <c r="G32" s="464">
        <v>10.327531315476785</v>
      </c>
      <c r="H32" s="464">
        <v>12.875088509180976</v>
      </c>
      <c r="I32" s="476" t="s">
        <v>28</v>
      </c>
      <c r="J32" s="462">
        <v>12.83575450965583</v>
      </c>
      <c r="K32" s="462">
        <v>11.463006890086239</v>
      </c>
      <c r="L32" s="462">
        <v>14.144916028408561</v>
      </c>
      <c r="M32" s="475" t="s">
        <v>28</v>
      </c>
      <c r="N32" s="460">
        <v>12.345034683409217</v>
      </c>
      <c r="O32" s="460">
        <v>11.499531112926158</v>
      </c>
      <c r="P32" s="460">
        <v>13.134355896368064</v>
      </c>
      <c r="Q32" s="12" t="s">
        <v>28</v>
      </c>
      <c r="R32" s="459">
        <f t="shared" ref="R32:T35" si="3">R15/R$5*100</f>
        <v>11.934599707370573</v>
      </c>
      <c r="S32" s="459">
        <f t="shared" si="3"/>
        <v>10.961490387716921</v>
      </c>
      <c r="T32" s="459">
        <f t="shared" si="3"/>
        <v>12.842690446291252</v>
      </c>
      <c r="U32" s="458"/>
      <c r="V32" s="458"/>
      <c r="W32" s="458"/>
    </row>
    <row r="33" spans="1:23" s="12" customFormat="1" ht="20.25" customHeight="1">
      <c r="A33" s="474" t="s">
        <v>27</v>
      </c>
      <c r="B33" s="466">
        <v>5.3682053566781924</v>
      </c>
      <c r="C33" s="466">
        <v>5.0205532393900638</v>
      </c>
      <c r="D33" s="466">
        <v>5.6925182756234767</v>
      </c>
      <c r="E33" s="353" t="s">
        <v>27</v>
      </c>
      <c r="F33" s="464">
        <v>5.991662166960972</v>
      </c>
      <c r="G33" s="464">
        <v>4.522489999909296</v>
      </c>
      <c r="H33" s="464">
        <v>7.3624593186885319</v>
      </c>
      <c r="I33" s="473" t="s">
        <v>27</v>
      </c>
      <c r="J33" s="462">
        <v>6.1943410072586627</v>
      </c>
      <c r="K33" s="462">
        <v>4.966708837153039</v>
      </c>
      <c r="L33" s="462">
        <v>7.340070127639077</v>
      </c>
      <c r="M33" s="472" t="s">
        <v>27</v>
      </c>
      <c r="N33" s="460">
        <v>5.9218367211812222</v>
      </c>
      <c r="O33" s="460">
        <v>4.7783122082060281</v>
      </c>
      <c r="P33" s="460">
        <v>6.9893758625169209</v>
      </c>
      <c r="Q33" s="471" t="s">
        <v>27</v>
      </c>
      <c r="R33" s="459">
        <f t="shared" si="3"/>
        <v>5.8689376345090576</v>
      </c>
      <c r="S33" s="459">
        <f t="shared" si="3"/>
        <v>4.8219671311528289</v>
      </c>
      <c r="T33" s="459">
        <f t="shared" si="3"/>
        <v>6.8459545007736846</v>
      </c>
      <c r="U33" s="458"/>
      <c r="V33" s="458"/>
      <c r="W33" s="458"/>
    </row>
    <row r="34" spans="1:23" s="12" customFormat="1" ht="20.25" customHeight="1">
      <c r="A34" s="474" t="s">
        <v>26</v>
      </c>
      <c r="B34" s="466">
        <v>3.4891316348680674</v>
      </c>
      <c r="C34" s="466">
        <v>4.6747912175841808</v>
      </c>
      <c r="D34" s="466">
        <v>2.3830698534941788</v>
      </c>
      <c r="E34" s="353" t="s">
        <v>26</v>
      </c>
      <c r="F34" s="464">
        <v>3.5071922322918336</v>
      </c>
      <c r="G34" s="464">
        <v>4.6549175049206797</v>
      </c>
      <c r="H34" s="464">
        <v>2.4363180556848518</v>
      </c>
      <c r="I34" s="473" t="s">
        <v>26</v>
      </c>
      <c r="J34" s="462">
        <v>4.2268229871275045</v>
      </c>
      <c r="K34" s="462">
        <v>5.1514861316223204</v>
      </c>
      <c r="L34" s="462">
        <v>3.3638499264760533</v>
      </c>
      <c r="M34" s="472" t="s">
        <v>26</v>
      </c>
      <c r="N34" s="460">
        <v>4.2865947941780167</v>
      </c>
      <c r="O34" s="460">
        <v>5.3924030210444585</v>
      </c>
      <c r="P34" s="460">
        <v>3.2242657521712363</v>
      </c>
      <c r="Q34" s="471" t="s">
        <v>26</v>
      </c>
      <c r="R34" s="459">
        <f t="shared" si="3"/>
        <v>3.8773155750966231</v>
      </c>
      <c r="S34" s="459">
        <f t="shared" si="3"/>
        <v>4.9683286562157276</v>
      </c>
      <c r="T34" s="459">
        <f t="shared" si="3"/>
        <v>2.859198848644759</v>
      </c>
      <c r="U34" s="458"/>
      <c r="V34" s="458"/>
      <c r="W34" s="458"/>
    </row>
    <row r="35" spans="1:23" s="12" customFormat="1" ht="20.25" customHeight="1">
      <c r="A35" s="474" t="s">
        <v>25</v>
      </c>
      <c r="B35" s="466">
        <v>2.0556776635167187</v>
      </c>
      <c r="C35" s="466">
        <v>0.89116104891560133</v>
      </c>
      <c r="D35" s="466">
        <v>3.1420158839986763</v>
      </c>
      <c r="E35" s="353" t="s">
        <v>25</v>
      </c>
      <c r="F35" s="464">
        <v>2.1465785210805133</v>
      </c>
      <c r="G35" s="464">
        <v>1.1501238106468086</v>
      </c>
      <c r="H35" s="464">
        <v>3.0763111348075931</v>
      </c>
      <c r="I35" s="473" t="s">
        <v>25</v>
      </c>
      <c r="J35" s="462">
        <v>2.4145905152696647</v>
      </c>
      <c r="K35" s="462">
        <v>1.3148119213108804</v>
      </c>
      <c r="L35" s="462">
        <v>3.4409959742934317</v>
      </c>
      <c r="M35" s="472" t="s">
        <v>25</v>
      </c>
      <c r="N35" s="460">
        <v>2.1366031680499784</v>
      </c>
      <c r="O35" s="460">
        <v>1.3288158836756714</v>
      </c>
      <c r="P35" s="460">
        <v>2.8907142816799052</v>
      </c>
      <c r="Q35" s="471" t="s">
        <v>25</v>
      </c>
      <c r="R35" s="459">
        <f t="shared" si="3"/>
        <v>2.1883464977648934</v>
      </c>
      <c r="S35" s="459">
        <f t="shared" si="3"/>
        <v>1.1711946003483646</v>
      </c>
      <c r="T35" s="459">
        <f t="shared" si="3"/>
        <v>3.1375370968728098</v>
      </c>
      <c r="U35" s="458"/>
      <c r="V35" s="458"/>
      <c r="W35" s="458"/>
    </row>
    <row r="36" spans="1:23" s="12" customFormat="1" ht="20.25" customHeight="1">
      <c r="A36" s="467" t="s">
        <v>24</v>
      </c>
      <c r="B36" s="470" t="s">
        <v>7</v>
      </c>
      <c r="C36" s="470" t="s">
        <v>7</v>
      </c>
      <c r="D36" s="469" t="s">
        <v>7</v>
      </c>
      <c r="E36" s="465" t="s">
        <v>24</v>
      </c>
      <c r="F36" s="464" t="s">
        <v>7</v>
      </c>
      <c r="G36" s="464" t="s">
        <v>7</v>
      </c>
      <c r="H36" s="464" t="s">
        <v>7</v>
      </c>
      <c r="I36" s="463" t="s">
        <v>24</v>
      </c>
      <c r="J36" s="462" t="s">
        <v>7</v>
      </c>
      <c r="K36" s="462" t="s">
        <v>7</v>
      </c>
      <c r="L36" s="462" t="s">
        <v>7</v>
      </c>
      <c r="M36" s="461" t="s">
        <v>24</v>
      </c>
      <c r="N36" s="460" t="s">
        <v>7</v>
      </c>
      <c r="O36" s="460" t="s">
        <v>7</v>
      </c>
      <c r="P36" s="460" t="s">
        <v>7</v>
      </c>
      <c r="Q36" s="15" t="s">
        <v>24</v>
      </c>
      <c r="R36" s="468" t="s">
        <v>7</v>
      </c>
      <c r="S36" s="468" t="s">
        <v>7</v>
      </c>
      <c r="T36" s="468" t="s">
        <v>7</v>
      </c>
      <c r="U36" s="458"/>
      <c r="V36" s="458"/>
      <c r="W36" s="458"/>
    </row>
    <row r="37" spans="1:23" s="12" customFormat="1" ht="20.25" customHeight="1">
      <c r="A37" s="467" t="s">
        <v>23</v>
      </c>
      <c r="B37" s="466">
        <v>0.11303430474418207</v>
      </c>
      <c r="C37" s="466">
        <v>8.1326129873899144E-2</v>
      </c>
      <c r="D37" s="466">
        <v>0.14261379019885081</v>
      </c>
      <c r="E37" s="465" t="s">
        <v>23</v>
      </c>
      <c r="F37" s="464">
        <v>2.9333216584212601E-2</v>
      </c>
      <c r="G37" s="464" t="s">
        <v>7</v>
      </c>
      <c r="H37" s="464">
        <v>5.6702296019837339E-2</v>
      </c>
      <c r="I37" s="463" t="s">
        <v>23</v>
      </c>
      <c r="J37" s="462">
        <v>7.4260653921994199E-2</v>
      </c>
      <c r="K37" s="462" t="s">
        <v>7</v>
      </c>
      <c r="L37" s="462">
        <v>0.14356691337721877</v>
      </c>
      <c r="M37" s="461" t="s">
        <v>23</v>
      </c>
      <c r="N37" s="460">
        <v>0.30900561244162633</v>
      </c>
      <c r="O37" s="460">
        <v>0.22425910800536447</v>
      </c>
      <c r="P37" s="460">
        <v>0.38812084744582032</v>
      </c>
      <c r="Q37" s="15" t="s">
        <v>23</v>
      </c>
      <c r="R37" s="459">
        <f>R20/R$5*100</f>
        <v>0.1313766964015923</v>
      </c>
      <c r="S37" s="459">
        <f>S20/S$5*100</f>
        <v>7.638116089284562E-2</v>
      </c>
      <c r="T37" s="459">
        <f>T20/T$5*100</f>
        <v>0.18269768929399535</v>
      </c>
      <c r="U37" s="458"/>
      <c r="V37" s="458"/>
      <c r="W37" s="458"/>
    </row>
    <row r="38" spans="1:23" s="12" customFormat="1" ht="5.25" customHeight="1">
      <c r="A38" s="457"/>
      <c r="B38" s="456"/>
      <c r="C38" s="456"/>
      <c r="D38" s="456" t="s">
        <v>7</v>
      </c>
      <c r="E38" s="455"/>
      <c r="F38" s="454"/>
      <c r="G38" s="454"/>
      <c r="H38" s="454">
        <v>0</v>
      </c>
      <c r="I38" s="453"/>
      <c r="J38" s="452"/>
      <c r="K38" s="452"/>
      <c r="L38" s="452">
        <v>0</v>
      </c>
      <c r="M38" s="451"/>
      <c r="N38" s="450"/>
      <c r="O38" s="450"/>
      <c r="P38" s="449">
        <v>0</v>
      </c>
      <c r="Q38" s="13"/>
      <c r="R38" s="448"/>
      <c r="S38" s="448"/>
      <c r="T38" s="448"/>
    </row>
    <row r="39" spans="1:23" s="12" customFormat="1" ht="15" customHeight="1">
      <c r="A39" s="447"/>
      <c r="B39" s="446"/>
      <c r="C39" s="446"/>
      <c r="D39" s="446"/>
      <c r="E39" s="438"/>
      <c r="F39" s="445"/>
      <c r="G39" s="445"/>
      <c r="H39" s="445"/>
      <c r="I39" s="444"/>
      <c r="J39" s="443"/>
      <c r="K39" s="443"/>
      <c r="L39" s="443"/>
      <c r="M39" s="442"/>
      <c r="N39" s="441"/>
      <c r="O39" s="433"/>
      <c r="P39" s="433"/>
      <c r="Q39" s="18"/>
      <c r="R39" s="426"/>
      <c r="S39" s="426"/>
      <c r="T39" s="426"/>
    </row>
    <row r="40" spans="1:23" s="12" customFormat="1" ht="18.600000000000001" customHeight="1">
      <c r="A40" s="440" t="s">
        <v>22</v>
      </c>
      <c r="B40" s="439"/>
      <c r="C40" s="439"/>
      <c r="D40" s="439"/>
      <c r="E40" s="438" t="s">
        <v>22</v>
      </c>
      <c r="F40" s="437"/>
      <c r="G40" s="437"/>
      <c r="H40" s="437"/>
      <c r="I40" s="436" t="s">
        <v>22</v>
      </c>
      <c r="J40" s="435"/>
      <c r="K40" s="435"/>
      <c r="L40" s="435"/>
      <c r="M40" s="434" t="s">
        <v>22</v>
      </c>
      <c r="N40" s="433"/>
      <c r="O40" s="433"/>
      <c r="P40" s="433"/>
      <c r="Q40" s="432" t="s">
        <v>22</v>
      </c>
      <c r="R40" s="426"/>
      <c r="S40" s="426"/>
      <c r="T40" s="426"/>
    </row>
    <row r="41" spans="1:23" s="12" customFormat="1" ht="15" customHeight="1">
      <c r="A41" s="358"/>
      <c r="B41" s="431"/>
      <c r="C41" s="431"/>
      <c r="D41" s="428"/>
      <c r="E41" s="430"/>
      <c r="F41" s="429"/>
      <c r="G41" s="429"/>
      <c r="H41" s="428"/>
      <c r="I41" s="430"/>
      <c r="J41" s="429"/>
      <c r="K41" s="429"/>
      <c r="L41" s="428"/>
      <c r="M41" s="419"/>
      <c r="N41" s="418"/>
      <c r="O41" s="418"/>
      <c r="P41" s="418"/>
      <c r="Q41" s="358"/>
      <c r="R41" s="426"/>
      <c r="S41" s="426"/>
      <c r="T41" s="426"/>
    </row>
    <row r="42" spans="1:23" s="12" customFormat="1" ht="15" customHeight="1">
      <c r="A42" s="18"/>
      <c r="B42" s="427"/>
      <c r="C42" s="427"/>
      <c r="D42" s="427"/>
      <c r="E42" s="18"/>
      <c r="F42" s="427"/>
      <c r="G42" s="427"/>
      <c r="H42" s="427"/>
      <c r="I42" s="34"/>
      <c r="J42" s="427"/>
      <c r="K42" s="427"/>
      <c r="L42" s="427"/>
      <c r="M42" s="419"/>
      <c r="N42" s="418"/>
      <c r="O42" s="418"/>
      <c r="P42" s="418"/>
      <c r="Q42" s="18"/>
      <c r="R42" s="426"/>
      <c r="S42" s="426"/>
      <c r="T42" s="426"/>
    </row>
    <row r="43" spans="1:23" s="424" customFormat="1" ht="36.6" customHeight="1">
      <c r="B43" s="425">
        <v>4</v>
      </c>
      <c r="C43" s="425"/>
      <c r="D43" s="425"/>
      <c r="F43" s="425">
        <v>3</v>
      </c>
      <c r="G43" s="425"/>
      <c r="H43" s="425"/>
      <c r="J43" s="425">
        <v>2</v>
      </c>
      <c r="K43" s="425"/>
      <c r="L43" s="425"/>
      <c r="N43" s="425">
        <v>1</v>
      </c>
      <c r="O43" s="425"/>
      <c r="P43" s="425"/>
      <c r="R43" s="336">
        <v>2563</v>
      </c>
      <c r="S43" s="336"/>
      <c r="T43" s="336"/>
    </row>
    <row r="44" spans="1:23" ht="15" customHeight="1">
      <c r="B44" s="423"/>
      <c r="C44" s="423"/>
      <c r="D44" s="423"/>
      <c r="F44" s="423"/>
      <c r="G44" s="423"/>
      <c r="H44" s="423"/>
    </row>
    <row r="45" spans="1:23" ht="15" customHeight="1">
      <c r="B45" s="423"/>
      <c r="C45" s="423"/>
      <c r="D45" s="423"/>
      <c r="F45" s="423"/>
      <c r="G45" s="423"/>
      <c r="H45" s="423"/>
    </row>
    <row r="46" spans="1:23" ht="15" hidden="1" customHeight="1">
      <c r="B46" s="423"/>
      <c r="C46" s="423"/>
      <c r="D46" s="423"/>
      <c r="F46" s="423"/>
      <c r="G46" s="423"/>
      <c r="H46" s="423"/>
    </row>
    <row r="47" spans="1:23" ht="27.75" customHeight="1"/>
    <row r="48" spans="1:23" ht="27.75" customHeight="1"/>
    <row r="49" spans="2:20" s="415" customFormat="1" ht="27.75" customHeight="1">
      <c r="B49" s="420"/>
      <c r="C49" s="420"/>
      <c r="D49" s="420"/>
      <c r="F49" s="420"/>
      <c r="G49" s="420"/>
      <c r="H49" s="420"/>
      <c r="J49" s="420"/>
      <c r="K49" s="420"/>
      <c r="L49" s="420"/>
      <c r="N49" s="420"/>
      <c r="O49" s="420"/>
      <c r="P49" s="418"/>
      <c r="R49" s="416"/>
      <c r="S49" s="416"/>
      <c r="T49" s="416"/>
    </row>
    <row r="50" spans="2:20" s="415" customFormat="1" ht="27.75" customHeight="1">
      <c r="B50" s="420"/>
      <c r="C50" s="420"/>
      <c r="D50" s="420"/>
      <c r="F50" s="420"/>
      <c r="G50" s="420"/>
      <c r="H50" s="420"/>
      <c r="J50" s="420"/>
      <c r="K50" s="420"/>
      <c r="L50" s="420"/>
      <c r="N50" s="420"/>
      <c r="O50" s="420"/>
      <c r="P50" s="418"/>
      <c r="R50" s="416"/>
      <c r="S50" s="416"/>
      <c r="T50" s="416"/>
    </row>
    <row r="51" spans="2:20" s="415" customFormat="1" ht="15" customHeight="1">
      <c r="B51" s="423"/>
      <c r="C51" s="423"/>
      <c r="D51" s="423"/>
      <c r="F51" s="423"/>
      <c r="G51" s="423"/>
      <c r="H51" s="423"/>
      <c r="J51" s="420"/>
      <c r="K51" s="420"/>
      <c r="L51" s="420"/>
      <c r="M51" s="419"/>
      <c r="N51" s="418"/>
      <c r="O51" s="418"/>
      <c r="P51" s="418"/>
      <c r="R51" s="416"/>
      <c r="S51" s="416"/>
      <c r="T51" s="416"/>
    </row>
    <row r="52" spans="2:20" s="415" customFormat="1" ht="15" customHeight="1">
      <c r="B52" s="423"/>
      <c r="C52" s="423"/>
      <c r="D52" s="423"/>
      <c r="F52" s="423"/>
      <c r="G52" s="423"/>
      <c r="H52" s="423"/>
      <c r="J52" s="420"/>
      <c r="K52" s="420"/>
      <c r="L52" s="420"/>
      <c r="M52" s="419"/>
      <c r="N52" s="418"/>
      <c r="O52" s="418"/>
      <c r="P52" s="418"/>
      <c r="R52" s="416"/>
      <c r="S52" s="416"/>
      <c r="T52" s="416"/>
    </row>
    <row r="53" spans="2:20" s="415" customFormat="1" ht="15" customHeight="1">
      <c r="B53" s="423"/>
      <c r="C53" s="423"/>
      <c r="D53" s="423"/>
      <c r="F53" s="423"/>
      <c r="G53" s="423"/>
      <c r="H53" s="423"/>
      <c r="J53" s="420"/>
      <c r="K53" s="420"/>
      <c r="L53" s="420"/>
      <c r="M53" s="419"/>
      <c r="N53" s="418"/>
      <c r="O53" s="418"/>
      <c r="P53" s="418"/>
      <c r="R53" s="416"/>
      <c r="S53" s="416"/>
      <c r="T53" s="416"/>
    </row>
    <row r="54" spans="2:20" s="415" customFormat="1" ht="15" customHeight="1">
      <c r="B54" s="423"/>
      <c r="C54" s="423"/>
      <c r="D54" s="423"/>
      <c r="F54" s="423"/>
      <c r="G54" s="423"/>
      <c r="H54" s="423"/>
      <c r="J54" s="420"/>
      <c r="K54" s="420"/>
      <c r="L54" s="420"/>
      <c r="M54" s="419"/>
      <c r="N54" s="418"/>
      <c r="O54" s="418"/>
      <c r="P54" s="418"/>
      <c r="R54" s="416"/>
      <c r="S54" s="416"/>
      <c r="T54" s="416"/>
    </row>
    <row r="55" spans="2:20" s="415" customFormat="1" ht="15" customHeight="1">
      <c r="B55" s="423"/>
      <c r="C55" s="423"/>
      <c r="D55" s="423"/>
      <c r="F55" s="423"/>
      <c r="G55" s="423"/>
      <c r="H55" s="423"/>
      <c r="J55" s="420"/>
      <c r="K55" s="420"/>
      <c r="L55" s="420"/>
      <c r="M55" s="419"/>
      <c r="N55" s="418"/>
      <c r="O55" s="418"/>
      <c r="P55" s="418"/>
      <c r="R55" s="416"/>
      <c r="S55" s="416"/>
      <c r="T55" s="416"/>
    </row>
    <row r="56" spans="2:20" s="415" customFormat="1" ht="15" customHeight="1">
      <c r="B56" s="423"/>
      <c r="C56" s="423"/>
      <c r="D56" s="423"/>
      <c r="F56" s="423"/>
      <c r="G56" s="423"/>
      <c r="H56" s="423"/>
      <c r="J56" s="420"/>
      <c r="K56" s="420"/>
      <c r="L56" s="420"/>
      <c r="M56" s="419"/>
      <c r="N56" s="418"/>
      <c r="O56" s="418"/>
      <c r="P56" s="418"/>
      <c r="R56" s="416"/>
      <c r="S56" s="416"/>
      <c r="T56" s="416"/>
    </row>
    <row r="57" spans="2:20" s="415" customFormat="1" ht="15" customHeight="1">
      <c r="B57" s="423"/>
      <c r="C57" s="423"/>
      <c r="D57" s="423"/>
      <c r="F57" s="423"/>
      <c r="G57" s="423"/>
      <c r="H57" s="423"/>
      <c r="J57" s="420"/>
      <c r="K57" s="420"/>
      <c r="L57" s="420"/>
      <c r="M57" s="419"/>
      <c r="N57" s="418"/>
      <c r="O57" s="418"/>
      <c r="P57" s="418"/>
      <c r="R57" s="416"/>
      <c r="S57" s="416"/>
      <c r="T57" s="416"/>
    </row>
    <row r="58" spans="2:20" s="415" customFormat="1" ht="15" customHeight="1">
      <c r="B58" s="423"/>
      <c r="C58" s="423"/>
      <c r="D58" s="423"/>
      <c r="F58" s="423"/>
      <c r="G58" s="423"/>
      <c r="H58" s="423"/>
      <c r="J58" s="420"/>
      <c r="K58" s="420"/>
      <c r="L58" s="420"/>
      <c r="M58" s="419"/>
      <c r="N58" s="418"/>
      <c r="O58" s="418"/>
      <c r="P58" s="418"/>
      <c r="R58" s="416"/>
      <c r="S58" s="416"/>
      <c r="T58" s="416"/>
    </row>
    <row r="59" spans="2:20" s="415" customFormat="1" ht="15" customHeight="1">
      <c r="B59" s="423"/>
      <c r="C59" s="423"/>
      <c r="D59" s="423"/>
      <c r="F59" s="423"/>
      <c r="G59" s="423"/>
      <c r="H59" s="423"/>
      <c r="J59" s="420"/>
      <c r="K59" s="420"/>
      <c r="L59" s="420"/>
      <c r="M59" s="419"/>
      <c r="N59" s="418"/>
      <c r="O59" s="418"/>
      <c r="P59" s="418"/>
      <c r="R59" s="416"/>
      <c r="S59" s="416"/>
      <c r="T59" s="416"/>
    </row>
    <row r="60" spans="2:20" s="415" customFormat="1" ht="15" customHeight="1">
      <c r="B60" s="423"/>
      <c r="C60" s="423"/>
      <c r="D60" s="423"/>
      <c r="F60" s="423"/>
      <c r="G60" s="423"/>
      <c r="H60" s="423"/>
      <c r="J60" s="420"/>
      <c r="K60" s="420"/>
      <c r="L60" s="420"/>
      <c r="M60" s="419"/>
      <c r="N60" s="418"/>
      <c r="O60" s="418"/>
      <c r="P60" s="418"/>
      <c r="R60" s="416"/>
      <c r="S60" s="416"/>
      <c r="T60" s="416"/>
    </row>
    <row r="61" spans="2:20" s="415" customFormat="1" ht="15" customHeight="1">
      <c r="B61" s="423"/>
      <c r="C61" s="423"/>
      <c r="D61" s="423"/>
      <c r="F61" s="423"/>
      <c r="G61" s="423"/>
      <c r="H61" s="423"/>
      <c r="J61" s="420"/>
      <c r="K61" s="420"/>
      <c r="L61" s="420"/>
      <c r="M61" s="419"/>
      <c r="N61" s="418"/>
      <c r="O61" s="418"/>
      <c r="P61" s="418"/>
      <c r="R61" s="416"/>
      <c r="S61" s="416"/>
      <c r="T61" s="416"/>
    </row>
    <row r="62" spans="2:20" s="415" customFormat="1" ht="15" customHeight="1">
      <c r="B62" s="423"/>
      <c r="C62" s="423"/>
      <c r="D62" s="423"/>
      <c r="F62" s="423"/>
      <c r="G62" s="423"/>
      <c r="H62" s="423"/>
      <c r="J62" s="420"/>
      <c r="K62" s="420"/>
      <c r="L62" s="420"/>
      <c r="M62" s="419"/>
      <c r="N62" s="418"/>
      <c r="O62" s="418"/>
      <c r="P62" s="418"/>
      <c r="R62" s="416"/>
      <c r="S62" s="416"/>
      <c r="T62" s="416"/>
    </row>
    <row r="63" spans="2:20" s="415" customFormat="1" ht="15" customHeight="1">
      <c r="B63" s="423"/>
      <c r="C63" s="423"/>
      <c r="D63" s="423"/>
      <c r="F63" s="423"/>
      <c r="G63" s="423"/>
      <c r="H63" s="423"/>
      <c r="J63" s="420"/>
      <c r="K63" s="420"/>
      <c r="L63" s="420"/>
      <c r="M63" s="419"/>
      <c r="N63" s="418"/>
      <c r="O63" s="418"/>
      <c r="P63" s="418"/>
      <c r="R63" s="416"/>
      <c r="S63" s="416"/>
      <c r="T63" s="416"/>
    </row>
    <row r="64" spans="2:20" s="415" customFormat="1" ht="15" customHeight="1">
      <c r="B64" s="420"/>
      <c r="C64" s="420"/>
      <c r="D64" s="420"/>
      <c r="F64" s="420"/>
      <c r="G64" s="420"/>
      <c r="H64" s="420"/>
      <c r="J64" s="420"/>
      <c r="K64" s="420"/>
      <c r="L64" s="420"/>
      <c r="M64" s="419"/>
      <c r="N64" s="418"/>
      <c r="O64" s="418"/>
      <c r="P64" s="418"/>
      <c r="R64" s="416"/>
      <c r="S64" s="416"/>
      <c r="T64" s="416"/>
    </row>
    <row r="65" spans="2:20" s="415" customFormat="1" ht="15" customHeight="1">
      <c r="B65" s="420"/>
      <c r="C65" s="420"/>
      <c r="D65" s="420"/>
      <c r="F65" s="420"/>
      <c r="G65" s="420"/>
      <c r="H65" s="420"/>
      <c r="I65" s="421"/>
      <c r="J65" s="420"/>
      <c r="K65" s="420"/>
      <c r="L65" s="420"/>
      <c r="M65" s="419"/>
      <c r="N65" s="418"/>
      <c r="O65" s="418"/>
      <c r="P65" s="418"/>
      <c r="R65" s="416"/>
      <c r="S65" s="416"/>
      <c r="T65" s="416"/>
    </row>
    <row r="66" spans="2:20" s="415" customFormat="1" ht="15" customHeight="1">
      <c r="B66" s="420"/>
      <c r="C66" s="420"/>
      <c r="D66" s="420"/>
      <c r="F66" s="420"/>
      <c r="G66" s="420"/>
      <c r="H66" s="420"/>
      <c r="I66" s="421"/>
      <c r="J66" s="420"/>
      <c r="K66" s="420"/>
      <c r="L66" s="420"/>
      <c r="M66" s="419"/>
      <c r="N66" s="418"/>
      <c r="O66" s="418"/>
      <c r="P66" s="418"/>
      <c r="R66" s="416"/>
      <c r="S66" s="416"/>
      <c r="T66" s="416"/>
    </row>
    <row r="67" spans="2:20" s="415" customFormat="1" ht="15" customHeight="1">
      <c r="B67" s="420"/>
      <c r="C67" s="420"/>
      <c r="D67" s="420"/>
      <c r="F67" s="420"/>
      <c r="G67" s="420"/>
      <c r="H67" s="420"/>
      <c r="I67" s="421"/>
      <c r="J67" s="420"/>
      <c r="K67" s="420"/>
      <c r="L67" s="420"/>
      <c r="M67" s="419"/>
      <c r="N67" s="418"/>
      <c r="O67" s="418"/>
      <c r="P67" s="418"/>
      <c r="R67" s="416"/>
      <c r="S67" s="416"/>
      <c r="T67" s="416"/>
    </row>
    <row r="68" spans="2:20" s="415" customFormat="1" ht="15" customHeight="1">
      <c r="B68" s="420"/>
      <c r="C68" s="420"/>
      <c r="D68" s="420"/>
      <c r="F68" s="420"/>
      <c r="G68" s="420"/>
      <c r="H68" s="420"/>
      <c r="I68" s="421"/>
      <c r="J68" s="420"/>
      <c r="K68" s="420"/>
      <c r="L68" s="420"/>
      <c r="M68" s="419"/>
      <c r="N68" s="418"/>
      <c r="O68" s="418"/>
      <c r="P68" s="418"/>
      <c r="R68" s="416"/>
      <c r="S68" s="416"/>
      <c r="T68" s="416"/>
    </row>
    <row r="69" spans="2:20" s="415" customFormat="1" ht="15" customHeight="1">
      <c r="B69" s="420"/>
      <c r="C69" s="420"/>
      <c r="D69" s="420"/>
      <c r="F69" s="420"/>
      <c r="G69" s="420"/>
      <c r="H69" s="420"/>
      <c r="I69" s="421"/>
      <c r="J69" s="420"/>
      <c r="K69" s="420"/>
      <c r="L69" s="420"/>
      <c r="M69" s="419"/>
      <c r="N69" s="418"/>
      <c r="O69" s="418"/>
      <c r="P69" s="418"/>
      <c r="R69" s="416"/>
      <c r="S69" s="416"/>
      <c r="T69" s="416"/>
    </row>
    <row r="70" spans="2:20" s="415" customFormat="1" ht="15" customHeight="1">
      <c r="B70" s="420"/>
      <c r="C70" s="420"/>
      <c r="D70" s="420"/>
      <c r="F70" s="420"/>
      <c r="G70" s="420"/>
      <c r="H70" s="420"/>
      <c r="I70" s="421"/>
      <c r="J70" s="420"/>
      <c r="K70" s="420"/>
      <c r="L70" s="420"/>
      <c r="M70" s="419"/>
      <c r="N70" s="418"/>
      <c r="O70" s="418"/>
      <c r="P70" s="418"/>
      <c r="R70" s="416"/>
      <c r="S70" s="416"/>
      <c r="T70" s="416"/>
    </row>
    <row r="71" spans="2:20" s="415" customFormat="1" ht="15" customHeight="1">
      <c r="B71" s="420"/>
      <c r="C71" s="420"/>
      <c r="D71" s="420"/>
      <c r="F71" s="420"/>
      <c r="G71" s="420"/>
      <c r="H71" s="420"/>
      <c r="I71" s="421"/>
      <c r="J71" s="420"/>
      <c r="K71" s="420"/>
      <c r="L71" s="420"/>
      <c r="M71" s="419"/>
      <c r="N71" s="418"/>
      <c r="O71" s="418"/>
      <c r="P71" s="418"/>
      <c r="R71" s="416"/>
      <c r="S71" s="416"/>
      <c r="T71" s="416"/>
    </row>
    <row r="72" spans="2:20" s="415" customFormat="1" ht="15" customHeight="1">
      <c r="B72" s="420"/>
      <c r="C72" s="420"/>
      <c r="D72" s="420"/>
      <c r="F72" s="420"/>
      <c r="G72" s="420"/>
      <c r="H72" s="420"/>
      <c r="I72" s="421"/>
      <c r="J72" s="420"/>
      <c r="K72" s="420"/>
      <c r="L72" s="420"/>
      <c r="M72" s="419"/>
      <c r="N72" s="418"/>
      <c r="O72" s="418"/>
      <c r="P72" s="418"/>
      <c r="R72" s="416"/>
      <c r="S72" s="416"/>
      <c r="T72" s="416"/>
    </row>
    <row r="73" spans="2:20" s="415" customFormat="1" ht="15" customHeight="1">
      <c r="B73" s="420"/>
      <c r="C73" s="420"/>
      <c r="D73" s="420"/>
      <c r="F73" s="420"/>
      <c r="G73" s="420"/>
      <c r="H73" s="420"/>
      <c r="I73" s="421"/>
      <c r="J73" s="420"/>
      <c r="K73" s="420"/>
      <c r="L73" s="420"/>
      <c r="M73" s="419"/>
      <c r="N73" s="418"/>
      <c r="O73" s="418"/>
      <c r="P73" s="418"/>
      <c r="R73" s="416"/>
      <c r="S73" s="416"/>
      <c r="T73" s="416"/>
    </row>
    <row r="74" spans="2:20" s="415" customFormat="1" ht="15" customHeight="1">
      <c r="B74" s="420"/>
      <c r="C74" s="420"/>
      <c r="D74" s="420"/>
      <c r="F74" s="420"/>
      <c r="G74" s="420"/>
      <c r="H74" s="420"/>
      <c r="I74" s="421"/>
      <c r="J74" s="420"/>
      <c r="K74" s="420"/>
      <c r="L74" s="420"/>
      <c r="M74" s="419"/>
      <c r="N74" s="418"/>
      <c r="O74" s="418"/>
      <c r="P74" s="418"/>
      <c r="R74" s="416"/>
      <c r="S74" s="416"/>
      <c r="T74" s="416"/>
    </row>
    <row r="75" spans="2:20" s="415" customFormat="1" ht="15" customHeight="1">
      <c r="B75" s="420"/>
      <c r="C75" s="420"/>
      <c r="D75" s="420"/>
      <c r="F75" s="420"/>
      <c r="G75" s="420"/>
      <c r="H75" s="420"/>
      <c r="I75" s="421"/>
      <c r="J75" s="420"/>
      <c r="K75" s="420"/>
      <c r="L75" s="420"/>
      <c r="M75" s="419"/>
      <c r="N75" s="418"/>
      <c r="O75" s="418"/>
      <c r="P75" s="418"/>
      <c r="R75" s="416"/>
      <c r="S75" s="416"/>
      <c r="T75" s="416"/>
    </row>
    <row r="76" spans="2:20" s="415" customFormat="1" ht="15" customHeight="1">
      <c r="B76" s="420"/>
      <c r="C76" s="420"/>
      <c r="D76" s="420"/>
      <c r="F76" s="420"/>
      <c r="G76" s="420"/>
      <c r="H76" s="420"/>
      <c r="I76" s="421"/>
      <c r="J76" s="420"/>
      <c r="K76" s="420"/>
      <c r="L76" s="420"/>
      <c r="M76" s="419"/>
      <c r="N76" s="418"/>
      <c r="O76" s="418"/>
      <c r="P76" s="418"/>
      <c r="R76" s="416"/>
      <c r="S76" s="416"/>
      <c r="T76" s="416"/>
    </row>
    <row r="77" spans="2:20" s="415" customFormat="1" ht="15" customHeight="1">
      <c r="B77" s="420"/>
      <c r="C77" s="420"/>
      <c r="D77" s="420"/>
      <c r="F77" s="420"/>
      <c r="G77" s="420"/>
      <c r="H77" s="420"/>
      <c r="I77" s="421"/>
      <c r="J77" s="420"/>
      <c r="K77" s="420"/>
      <c r="L77" s="420"/>
      <c r="M77" s="419"/>
      <c r="N77" s="418"/>
      <c r="O77" s="418"/>
      <c r="P77" s="418"/>
      <c r="R77" s="416"/>
      <c r="S77" s="416"/>
      <c r="T77" s="416"/>
    </row>
    <row r="78" spans="2:20" s="415" customFormat="1" ht="15" customHeight="1">
      <c r="B78" s="420"/>
      <c r="C78" s="420"/>
      <c r="D78" s="420"/>
      <c r="F78" s="420"/>
      <c r="G78" s="420"/>
      <c r="H78" s="420"/>
      <c r="I78" s="421"/>
      <c r="J78" s="420"/>
      <c r="K78" s="420"/>
      <c r="L78" s="420"/>
      <c r="M78" s="419"/>
      <c r="N78" s="418"/>
      <c r="O78" s="418"/>
      <c r="P78" s="418"/>
      <c r="R78" s="416"/>
      <c r="S78" s="416"/>
      <c r="T78" s="416"/>
    </row>
    <row r="79" spans="2:20" s="415" customFormat="1" ht="15" customHeight="1">
      <c r="B79" s="420"/>
      <c r="C79" s="420"/>
      <c r="D79" s="420"/>
      <c r="F79" s="420"/>
      <c r="G79" s="420"/>
      <c r="H79" s="420"/>
      <c r="I79" s="421"/>
      <c r="J79" s="420"/>
      <c r="K79" s="420"/>
      <c r="L79" s="420"/>
      <c r="M79" s="419"/>
      <c r="N79" s="418"/>
      <c r="O79" s="418"/>
      <c r="P79" s="418"/>
      <c r="R79" s="416"/>
      <c r="S79" s="416"/>
      <c r="T79" s="416"/>
    </row>
    <row r="80" spans="2:20" s="415" customFormat="1" ht="15" customHeight="1">
      <c r="B80" s="420"/>
      <c r="C80" s="420"/>
      <c r="D80" s="420"/>
      <c r="F80" s="420"/>
      <c r="G80" s="420"/>
      <c r="H80" s="420"/>
      <c r="I80" s="421"/>
      <c r="J80" s="420"/>
      <c r="K80" s="420"/>
      <c r="L80" s="420"/>
      <c r="M80" s="419"/>
      <c r="N80" s="418"/>
      <c r="O80" s="418"/>
      <c r="P80" s="418"/>
      <c r="R80" s="416"/>
      <c r="S80" s="416"/>
      <c r="T80" s="416"/>
    </row>
    <row r="81" spans="2:20" s="415" customFormat="1" ht="15" customHeight="1">
      <c r="B81" s="420"/>
      <c r="C81" s="420"/>
      <c r="D81" s="420"/>
      <c r="F81" s="420"/>
      <c r="G81" s="420"/>
      <c r="H81" s="420"/>
      <c r="I81" s="421"/>
      <c r="J81" s="420"/>
      <c r="K81" s="420"/>
      <c r="L81" s="420"/>
      <c r="M81" s="419"/>
      <c r="N81" s="418"/>
      <c r="O81" s="418"/>
      <c r="P81" s="418"/>
      <c r="R81" s="416"/>
      <c r="S81" s="416"/>
      <c r="T81" s="416"/>
    </row>
    <row r="82" spans="2:20" s="415" customFormat="1" ht="15" customHeight="1">
      <c r="B82" s="420"/>
      <c r="C82" s="420"/>
      <c r="D82" s="420"/>
      <c r="F82" s="420"/>
      <c r="G82" s="420"/>
      <c r="H82" s="420"/>
      <c r="I82" s="416"/>
      <c r="J82" s="420"/>
      <c r="K82" s="420"/>
      <c r="L82" s="420"/>
      <c r="M82" s="419"/>
      <c r="N82" s="418"/>
      <c r="O82" s="418"/>
      <c r="P82" s="418"/>
      <c r="R82" s="416"/>
      <c r="S82" s="416"/>
      <c r="T82" s="416"/>
    </row>
    <row r="83" spans="2:20" s="415" customFormat="1" ht="15" customHeight="1">
      <c r="B83" s="420"/>
      <c r="C83" s="420"/>
      <c r="D83" s="420"/>
      <c r="F83" s="420"/>
      <c r="G83" s="420"/>
      <c r="H83" s="420"/>
      <c r="I83" s="416"/>
      <c r="J83" s="420"/>
      <c r="K83" s="420"/>
      <c r="L83" s="420"/>
      <c r="M83" s="419"/>
      <c r="N83" s="418"/>
      <c r="O83" s="418"/>
      <c r="P83" s="418"/>
      <c r="R83" s="416"/>
      <c r="S83" s="416"/>
      <c r="T83" s="416"/>
    </row>
    <row r="84" spans="2:20" s="415" customFormat="1" ht="15" customHeight="1">
      <c r="B84" s="420"/>
      <c r="C84" s="420"/>
      <c r="D84" s="420"/>
      <c r="F84" s="420"/>
      <c r="G84" s="420"/>
      <c r="H84" s="420"/>
      <c r="I84" s="416"/>
      <c r="J84" s="420"/>
      <c r="K84" s="420"/>
      <c r="L84" s="420"/>
      <c r="M84" s="419"/>
      <c r="N84" s="418"/>
      <c r="O84" s="418"/>
      <c r="P84" s="418"/>
      <c r="R84" s="416"/>
      <c r="S84" s="416"/>
      <c r="T84" s="416"/>
    </row>
    <row r="85" spans="2:20" s="415" customFormat="1" ht="15" customHeight="1">
      <c r="B85" s="420"/>
      <c r="C85" s="420"/>
      <c r="D85" s="420"/>
      <c r="F85" s="420"/>
      <c r="G85" s="420"/>
      <c r="H85" s="420"/>
      <c r="I85" s="416"/>
      <c r="J85" s="420"/>
      <c r="K85" s="420"/>
      <c r="L85" s="420"/>
      <c r="M85" s="419"/>
      <c r="N85" s="418"/>
      <c r="O85" s="418"/>
      <c r="P85" s="418"/>
      <c r="R85" s="416"/>
      <c r="S85" s="416"/>
      <c r="T85" s="416"/>
    </row>
    <row r="86" spans="2:20" s="415" customFormat="1" ht="15" customHeight="1">
      <c r="B86" s="420"/>
      <c r="C86" s="420"/>
      <c r="D86" s="420"/>
      <c r="F86" s="420"/>
      <c r="G86" s="420"/>
      <c r="H86" s="420"/>
      <c r="I86" s="416"/>
      <c r="J86" s="420"/>
      <c r="K86" s="420"/>
      <c r="L86" s="420"/>
      <c r="M86" s="419"/>
      <c r="N86" s="418"/>
      <c r="O86" s="418"/>
      <c r="P86" s="418"/>
      <c r="R86" s="416"/>
      <c r="S86" s="416"/>
      <c r="T86" s="416"/>
    </row>
    <row r="87" spans="2:20" s="415" customFormat="1" ht="15" customHeight="1">
      <c r="B87" s="420"/>
      <c r="C87" s="420"/>
      <c r="D87" s="420"/>
      <c r="F87" s="420"/>
      <c r="G87" s="420"/>
      <c r="H87" s="420"/>
      <c r="I87" s="416"/>
      <c r="J87" s="420"/>
      <c r="K87" s="420"/>
      <c r="L87" s="420"/>
      <c r="M87" s="419"/>
      <c r="N87" s="418"/>
      <c r="O87" s="418"/>
      <c r="P87" s="418"/>
      <c r="R87" s="416"/>
      <c r="S87" s="416"/>
      <c r="T87" s="416"/>
    </row>
    <row r="88" spans="2:20" s="415" customFormat="1" ht="15" customHeight="1">
      <c r="B88" s="420"/>
      <c r="C88" s="420"/>
      <c r="D88" s="420"/>
      <c r="F88" s="420"/>
      <c r="G88" s="420"/>
      <c r="H88" s="420"/>
      <c r="I88" s="416"/>
      <c r="J88" s="420"/>
      <c r="K88" s="420"/>
      <c r="L88" s="420"/>
      <c r="M88" s="419"/>
      <c r="N88" s="418"/>
      <c r="O88" s="418"/>
      <c r="P88" s="418"/>
      <c r="R88" s="416"/>
      <c r="S88" s="416"/>
      <c r="T88" s="416"/>
    </row>
    <row r="89" spans="2:20" s="415" customFormat="1" ht="15" customHeight="1">
      <c r="B89" s="420"/>
      <c r="C89" s="420"/>
      <c r="D89" s="420"/>
      <c r="F89" s="420"/>
      <c r="G89" s="420"/>
      <c r="H89" s="420"/>
      <c r="I89" s="416"/>
      <c r="J89" s="420"/>
      <c r="K89" s="420"/>
      <c r="L89" s="420"/>
      <c r="M89" s="419"/>
      <c r="N89" s="418"/>
      <c r="O89" s="418"/>
      <c r="P89" s="418"/>
      <c r="R89" s="416"/>
      <c r="S89" s="416"/>
      <c r="T89" s="416"/>
    </row>
    <row r="90" spans="2:20" s="415" customFormat="1" ht="15" customHeight="1">
      <c r="B90" s="420"/>
      <c r="C90" s="420"/>
      <c r="D90" s="420"/>
      <c r="F90" s="420"/>
      <c r="G90" s="420"/>
      <c r="H90" s="420"/>
      <c r="I90" s="416"/>
      <c r="J90" s="420"/>
      <c r="K90" s="420"/>
      <c r="L90" s="420"/>
      <c r="M90" s="419"/>
      <c r="N90" s="418"/>
      <c r="O90" s="418"/>
      <c r="P90" s="418"/>
      <c r="R90" s="416"/>
      <c r="S90" s="416"/>
      <c r="T90" s="416"/>
    </row>
    <row r="91" spans="2:20" s="415" customFormat="1" ht="15" customHeight="1">
      <c r="B91" s="420"/>
      <c r="C91" s="420"/>
      <c r="D91" s="420"/>
      <c r="F91" s="420"/>
      <c r="G91" s="420"/>
      <c r="H91" s="420"/>
      <c r="I91" s="416"/>
      <c r="J91" s="420"/>
      <c r="K91" s="420"/>
      <c r="L91" s="420"/>
      <c r="M91" s="419"/>
      <c r="N91" s="418"/>
      <c r="O91" s="418"/>
      <c r="P91" s="418"/>
      <c r="R91" s="416"/>
      <c r="S91" s="416"/>
      <c r="T91" s="416"/>
    </row>
    <row r="92" spans="2:20" s="415" customFormat="1" ht="15" customHeight="1">
      <c r="B92" s="420"/>
      <c r="C92" s="420"/>
      <c r="D92" s="420"/>
      <c r="F92" s="420"/>
      <c r="G92" s="420"/>
      <c r="H92" s="420"/>
      <c r="I92" s="416"/>
      <c r="J92" s="420"/>
      <c r="K92" s="420"/>
      <c r="L92" s="420"/>
      <c r="M92" s="419"/>
      <c r="N92" s="418"/>
      <c r="O92" s="418"/>
      <c r="P92" s="418"/>
      <c r="R92" s="416"/>
      <c r="S92" s="416"/>
      <c r="T92" s="416"/>
    </row>
    <row r="93" spans="2:20" s="415" customFormat="1" ht="15" customHeight="1">
      <c r="B93" s="420"/>
      <c r="C93" s="420"/>
      <c r="D93" s="420"/>
      <c r="F93" s="420"/>
      <c r="G93" s="420"/>
      <c r="H93" s="420"/>
      <c r="I93" s="416"/>
      <c r="J93" s="420"/>
      <c r="K93" s="420"/>
      <c r="L93" s="420"/>
      <c r="M93" s="419"/>
      <c r="N93" s="418"/>
      <c r="O93" s="418"/>
      <c r="P93" s="418"/>
      <c r="R93" s="416"/>
      <c r="S93" s="416"/>
      <c r="T93" s="416"/>
    </row>
    <row r="94" spans="2:20" s="415" customFormat="1" ht="15" customHeight="1">
      <c r="B94" s="420"/>
      <c r="C94" s="420"/>
      <c r="D94" s="420"/>
      <c r="F94" s="420"/>
      <c r="G94" s="420"/>
      <c r="H94" s="420"/>
      <c r="I94" s="416"/>
      <c r="J94" s="420"/>
      <c r="K94" s="420"/>
      <c r="L94" s="420"/>
      <c r="M94" s="419"/>
      <c r="N94" s="418"/>
      <c r="O94" s="418"/>
      <c r="P94" s="418"/>
      <c r="R94" s="416"/>
      <c r="S94" s="416"/>
      <c r="T94" s="416"/>
    </row>
    <row r="95" spans="2:20" s="415" customFormat="1" ht="15" customHeight="1">
      <c r="B95" s="420"/>
      <c r="C95" s="420"/>
      <c r="D95" s="420"/>
      <c r="F95" s="420"/>
      <c r="G95" s="420"/>
      <c r="H95" s="420"/>
      <c r="I95" s="416"/>
      <c r="J95" s="420"/>
      <c r="K95" s="420"/>
      <c r="L95" s="420"/>
      <c r="M95" s="419"/>
      <c r="N95" s="418"/>
      <c r="O95" s="418"/>
      <c r="P95" s="418"/>
      <c r="R95" s="416"/>
      <c r="S95" s="416"/>
      <c r="T95" s="416"/>
    </row>
    <row r="96" spans="2:20" s="415" customFormat="1" ht="15" customHeight="1">
      <c r="B96" s="420"/>
      <c r="C96" s="420"/>
      <c r="D96" s="420"/>
      <c r="F96" s="420"/>
      <c r="G96" s="420"/>
      <c r="H96" s="420"/>
      <c r="I96" s="416"/>
      <c r="J96" s="420"/>
      <c r="K96" s="420"/>
      <c r="L96" s="420"/>
      <c r="M96" s="419"/>
      <c r="N96" s="418"/>
      <c r="O96" s="418"/>
      <c r="P96" s="418"/>
      <c r="R96" s="416"/>
      <c r="S96" s="416"/>
      <c r="T96" s="416"/>
    </row>
    <row r="97" spans="2:20" s="415" customFormat="1" ht="15" customHeight="1">
      <c r="B97" s="420"/>
      <c r="C97" s="420"/>
      <c r="D97" s="420"/>
      <c r="F97" s="420"/>
      <c r="G97" s="420"/>
      <c r="H97" s="420"/>
      <c r="I97" s="416"/>
      <c r="J97" s="420"/>
      <c r="K97" s="420"/>
      <c r="L97" s="420"/>
      <c r="M97" s="419"/>
      <c r="N97" s="418"/>
      <c r="O97" s="418"/>
      <c r="P97" s="418"/>
      <c r="R97" s="416"/>
      <c r="S97" s="416"/>
      <c r="T97" s="416"/>
    </row>
    <row r="98" spans="2:20" s="415" customFormat="1" ht="15" customHeight="1">
      <c r="B98" s="420"/>
      <c r="C98" s="420"/>
      <c r="D98" s="420"/>
      <c r="F98" s="420"/>
      <c r="G98" s="420"/>
      <c r="H98" s="420"/>
      <c r="I98" s="416"/>
      <c r="J98" s="420"/>
      <c r="K98" s="420"/>
      <c r="L98" s="420"/>
      <c r="M98" s="419"/>
      <c r="N98" s="418"/>
      <c r="O98" s="418"/>
      <c r="P98" s="418"/>
      <c r="R98" s="416"/>
      <c r="S98" s="416"/>
      <c r="T98" s="416"/>
    </row>
    <row r="99" spans="2:20" s="415" customFormat="1" ht="15" customHeight="1">
      <c r="B99" s="420"/>
      <c r="C99" s="420"/>
      <c r="D99" s="420"/>
      <c r="F99" s="420"/>
      <c r="G99" s="420"/>
      <c r="H99" s="420"/>
      <c r="I99" s="416"/>
      <c r="J99" s="420"/>
      <c r="K99" s="420"/>
      <c r="L99" s="420"/>
      <c r="M99" s="419"/>
      <c r="N99" s="418"/>
      <c r="O99" s="418"/>
      <c r="P99" s="418"/>
      <c r="R99" s="416"/>
      <c r="S99" s="416"/>
      <c r="T99" s="416"/>
    </row>
    <row r="100" spans="2:20" s="415" customFormat="1" ht="15" customHeight="1">
      <c r="B100" s="420"/>
      <c r="C100" s="420"/>
      <c r="D100" s="420"/>
      <c r="F100" s="420"/>
      <c r="G100" s="420"/>
      <c r="H100" s="420"/>
      <c r="I100" s="416"/>
      <c r="J100" s="420"/>
      <c r="K100" s="420"/>
      <c r="L100" s="420"/>
      <c r="M100" s="419"/>
      <c r="N100" s="418"/>
      <c r="O100" s="418"/>
      <c r="P100" s="418"/>
      <c r="R100" s="416"/>
      <c r="S100" s="416"/>
      <c r="T100" s="416"/>
    </row>
    <row r="101" spans="2:20" s="415" customFormat="1" ht="15" customHeight="1">
      <c r="B101" s="420"/>
      <c r="C101" s="420"/>
      <c r="D101" s="420"/>
      <c r="F101" s="420"/>
      <c r="G101" s="420"/>
      <c r="H101" s="420"/>
      <c r="I101" s="416"/>
      <c r="J101" s="420"/>
      <c r="K101" s="420"/>
      <c r="L101" s="420"/>
      <c r="M101" s="419"/>
      <c r="N101" s="418"/>
      <c r="O101" s="418"/>
      <c r="P101" s="418"/>
      <c r="R101" s="416"/>
      <c r="S101" s="416"/>
      <c r="T101" s="416"/>
    </row>
    <row r="102" spans="2:20" s="415" customFormat="1" ht="15" customHeight="1">
      <c r="B102" s="420"/>
      <c r="C102" s="420"/>
      <c r="D102" s="420"/>
      <c r="F102" s="420"/>
      <c r="G102" s="420"/>
      <c r="H102" s="420"/>
      <c r="I102" s="416"/>
      <c r="J102" s="420"/>
      <c r="K102" s="420"/>
      <c r="L102" s="420"/>
      <c r="M102" s="419"/>
      <c r="N102" s="418"/>
      <c r="O102" s="418"/>
      <c r="P102" s="418"/>
      <c r="R102" s="416"/>
      <c r="S102" s="416"/>
      <c r="T102" s="416"/>
    </row>
    <row r="103" spans="2:20" s="415" customFormat="1" ht="15" customHeight="1">
      <c r="B103" s="420"/>
      <c r="C103" s="420"/>
      <c r="D103" s="420"/>
      <c r="F103" s="420"/>
      <c r="G103" s="420"/>
      <c r="H103" s="420"/>
      <c r="I103" s="416"/>
      <c r="J103" s="420"/>
      <c r="K103" s="420"/>
      <c r="L103" s="420"/>
      <c r="M103" s="419"/>
      <c r="N103" s="418"/>
      <c r="O103" s="418"/>
      <c r="P103" s="418"/>
      <c r="R103" s="416"/>
      <c r="S103" s="416"/>
      <c r="T103" s="416"/>
    </row>
    <row r="104" spans="2:20" s="415" customFormat="1" ht="15" customHeight="1">
      <c r="B104" s="420"/>
      <c r="C104" s="420"/>
      <c r="D104" s="420"/>
      <c r="F104" s="420"/>
      <c r="G104" s="420"/>
      <c r="H104" s="420"/>
      <c r="I104" s="416"/>
      <c r="J104" s="420"/>
      <c r="K104" s="420"/>
      <c r="L104" s="420"/>
      <c r="M104" s="419"/>
      <c r="N104" s="418"/>
      <c r="O104" s="418"/>
      <c r="P104" s="418"/>
      <c r="R104" s="416"/>
      <c r="S104" s="416"/>
      <c r="T104" s="416"/>
    </row>
    <row r="65536" spans="2:20" s="415" customFormat="1" ht="26.25" customHeight="1">
      <c r="B65536" s="420"/>
      <c r="C65536" s="420"/>
      <c r="D65536" s="420"/>
      <c r="F65536" s="420"/>
      <c r="G65536" s="420"/>
      <c r="H65536" s="420"/>
      <c r="I65536" s="416"/>
      <c r="J65536" s="420"/>
      <c r="K65536" s="420"/>
      <c r="L65536" s="420"/>
      <c r="M65536" s="422"/>
      <c r="N65536" s="418"/>
      <c r="O65536" s="418"/>
      <c r="P65536" s="418"/>
      <c r="R65536" s="416"/>
      <c r="S65536" s="416"/>
      <c r="T65536" s="416"/>
    </row>
  </sheetData>
  <sheetProtection selectLockedCells="1" selectUnlockedCells="1"/>
  <mergeCells count="2">
    <mergeCell ref="R21:T21"/>
    <mergeCell ref="R4:T4"/>
  </mergeCells>
  <printOptions horizontalCentered="1"/>
  <pageMargins left="0.31496062992125984" right="0" top="0.94488188976377963" bottom="0" header="0.51181102362204722" footer="0.51181102362204722"/>
  <pageSetup paperSize="9" scale="50" firstPageNumber="9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opLeftCell="J1" zoomScale="70" zoomScaleNormal="70" workbookViewId="0">
      <selection activeCell="R7" sqref="R7:R22"/>
    </sheetView>
  </sheetViews>
  <sheetFormatPr defaultRowHeight="18" customHeight="1"/>
  <cols>
    <col min="1" max="1" width="33.28515625" style="12" customWidth="1"/>
    <col min="2" max="2" width="9.85546875" style="495" customWidth="1"/>
    <col min="3" max="4" width="9.42578125" style="495" customWidth="1"/>
    <col min="5" max="5" width="33.140625" style="12" customWidth="1"/>
    <col min="6" max="6" width="10.42578125" style="495" customWidth="1"/>
    <col min="7" max="8" width="8.85546875" style="495" customWidth="1"/>
    <col min="9" max="9" width="30.7109375" style="12" customWidth="1"/>
    <col min="10" max="10" width="10.7109375" style="495" customWidth="1"/>
    <col min="11" max="12" width="8.7109375" style="495" customWidth="1"/>
    <col min="13" max="13" width="28.7109375" style="12" customWidth="1"/>
    <col min="14" max="14" width="9.7109375" style="495" customWidth="1"/>
    <col min="15" max="15" width="8.140625" style="495" customWidth="1"/>
    <col min="16" max="16" width="9.140625" style="495" customWidth="1"/>
    <col min="17" max="17" width="2.85546875" style="12" hidden="1" customWidth="1"/>
    <col min="18" max="18" width="23.85546875" style="12" customWidth="1"/>
    <col min="19" max="19" width="9.85546875" style="495" customWidth="1"/>
    <col min="20" max="21" width="9" style="495" customWidth="1"/>
    <col min="22" max="22" width="5.42578125" style="12" customWidth="1"/>
    <col min="23" max="23" width="12" style="12" customWidth="1"/>
    <col min="24" max="25" width="9.140625" style="12"/>
    <col min="26" max="26" width="9.85546875" style="12" bestFit="1" customWidth="1"/>
    <col min="27" max="16384" width="9.140625" style="12"/>
  </cols>
  <sheetData>
    <row r="1" spans="1:26" s="421" customFormat="1" ht="30.75" customHeight="1">
      <c r="A1" s="675" t="s">
        <v>55</v>
      </c>
      <c r="B1" s="674"/>
      <c r="C1" s="674"/>
      <c r="D1" s="674"/>
      <c r="E1" s="673" t="s">
        <v>195</v>
      </c>
      <c r="F1" s="672"/>
      <c r="G1" s="672"/>
      <c r="H1" s="672"/>
      <c r="I1" s="671" t="s">
        <v>195</v>
      </c>
      <c r="J1" s="670"/>
      <c r="K1" s="670"/>
      <c r="L1" s="670"/>
      <c r="M1" s="669" t="s">
        <v>195</v>
      </c>
      <c r="N1" s="668"/>
      <c r="O1" s="668"/>
      <c r="P1" s="668"/>
      <c r="R1" s="421" t="s">
        <v>55</v>
      </c>
      <c r="S1" s="667"/>
      <c r="T1" s="667"/>
      <c r="U1" s="667"/>
    </row>
    <row r="2" spans="1:26" s="364" customFormat="1" ht="20.25" customHeight="1">
      <c r="A2" s="552" t="s">
        <v>174</v>
      </c>
      <c r="B2" s="666"/>
      <c r="C2" s="666"/>
      <c r="D2" s="666"/>
      <c r="E2" s="550" t="s">
        <v>173</v>
      </c>
      <c r="F2" s="665"/>
      <c r="G2" s="665"/>
      <c r="H2" s="665"/>
      <c r="I2" s="548" t="s">
        <v>172</v>
      </c>
      <c r="J2" s="664"/>
      <c r="K2" s="664"/>
      <c r="L2" s="664"/>
      <c r="M2" s="546" t="s">
        <v>171</v>
      </c>
      <c r="N2" s="663"/>
      <c r="O2" s="663"/>
      <c r="P2" s="663"/>
      <c r="Q2" s="32" t="s">
        <v>170</v>
      </c>
      <c r="R2" s="54" t="s">
        <v>170</v>
      </c>
      <c r="S2" s="648"/>
      <c r="T2" s="662"/>
      <c r="U2" s="640"/>
      <c r="V2" s="358"/>
      <c r="W2" s="358"/>
      <c r="X2" s="358"/>
    </row>
    <row r="3" spans="1:26" s="18" customFormat="1" ht="23.25" customHeight="1">
      <c r="A3" s="661" t="s">
        <v>3</v>
      </c>
      <c r="B3" s="660" t="s">
        <v>0</v>
      </c>
      <c r="C3" s="660" t="s">
        <v>1</v>
      </c>
      <c r="D3" s="660" t="s">
        <v>2</v>
      </c>
      <c r="E3" s="659" t="s">
        <v>3</v>
      </c>
      <c r="F3" s="658" t="s">
        <v>0</v>
      </c>
      <c r="G3" s="658" t="s">
        <v>1</v>
      </c>
      <c r="H3" s="658" t="s">
        <v>2</v>
      </c>
      <c r="I3" s="657" t="s">
        <v>3</v>
      </c>
      <c r="J3" s="656" t="s">
        <v>0</v>
      </c>
      <c r="K3" s="656" t="s">
        <v>1</v>
      </c>
      <c r="L3" s="656" t="s">
        <v>2</v>
      </c>
      <c r="M3" s="655" t="s">
        <v>3</v>
      </c>
      <c r="N3" s="654" t="s">
        <v>0</v>
      </c>
      <c r="O3" s="654" t="s">
        <v>1</v>
      </c>
      <c r="P3" s="654" t="s">
        <v>2</v>
      </c>
      <c r="Q3" s="32"/>
      <c r="R3" s="31" t="s">
        <v>3</v>
      </c>
      <c r="S3" s="30" t="s">
        <v>0</v>
      </c>
      <c r="T3" s="30" t="s">
        <v>1</v>
      </c>
      <c r="U3" s="30" t="s">
        <v>2</v>
      </c>
      <c r="W3" s="653"/>
      <c r="X3" s="653"/>
      <c r="Y3" s="653"/>
    </row>
    <row r="4" spans="1:26" s="645" customFormat="1" ht="18" customHeight="1">
      <c r="A4" s="614"/>
      <c r="B4" s="652" t="s">
        <v>21</v>
      </c>
      <c r="C4" s="652"/>
      <c r="D4" s="652"/>
      <c r="E4" s="612"/>
      <c r="F4" s="651" t="s">
        <v>21</v>
      </c>
      <c r="G4" s="651"/>
      <c r="H4" s="651"/>
      <c r="I4" s="610"/>
      <c r="J4" s="650" t="s">
        <v>21</v>
      </c>
      <c r="K4" s="650"/>
      <c r="L4" s="650"/>
      <c r="M4" s="608"/>
      <c r="N4" s="649" t="s">
        <v>21</v>
      </c>
      <c r="O4" s="649"/>
      <c r="P4" s="649"/>
      <c r="Q4" s="648"/>
      <c r="R4" s="647"/>
      <c r="S4" s="1181" t="s">
        <v>21</v>
      </c>
      <c r="T4" s="1181"/>
      <c r="U4" s="1181"/>
      <c r="W4" s="646"/>
      <c r="X4" s="646"/>
      <c r="Y4" s="646"/>
    </row>
    <row r="5" spans="1:26" s="23" customFormat="1" ht="18" customHeight="1">
      <c r="A5" s="524" t="s">
        <v>37</v>
      </c>
      <c r="B5" s="644">
        <v>1347607</v>
      </c>
      <c r="C5" s="644">
        <v>741216</v>
      </c>
      <c r="D5" s="644">
        <v>606391</v>
      </c>
      <c r="E5" s="638" t="s">
        <v>37</v>
      </c>
      <c r="F5" s="643">
        <v>1289307</v>
      </c>
      <c r="G5" s="643">
        <v>725790</v>
      </c>
      <c r="H5" s="643">
        <v>563517</v>
      </c>
      <c r="I5" s="520" t="s">
        <v>37</v>
      </c>
      <c r="J5" s="642">
        <v>1235110</v>
      </c>
      <c r="K5" s="642">
        <v>689798</v>
      </c>
      <c r="L5" s="642">
        <v>545312</v>
      </c>
      <c r="M5" s="637" t="s">
        <v>37</v>
      </c>
      <c r="N5" s="641">
        <v>1123034</v>
      </c>
      <c r="O5" s="641">
        <v>615785</v>
      </c>
      <c r="P5" s="641">
        <v>507249</v>
      </c>
      <c r="R5" s="23" t="s">
        <v>37</v>
      </c>
      <c r="S5" s="640">
        <f>(N5+J5
+F5+B5)/4</f>
        <v>1248764.5</v>
      </c>
      <c r="T5" s="640">
        <f>(O5+K5+G5+C5)/4+0.3</f>
        <v>693147.55</v>
      </c>
      <c r="U5" s="640">
        <f>(P5+L5+H5+D5)/4</f>
        <v>555617.25</v>
      </c>
      <c r="W5" s="639"/>
      <c r="X5" s="639"/>
      <c r="Y5" s="639"/>
      <c r="Z5" s="635"/>
    </row>
    <row r="6" spans="1:26" s="23" customFormat="1" ht="1.5" customHeight="1">
      <c r="A6" s="524"/>
      <c r="B6" s="633"/>
      <c r="C6" s="633"/>
      <c r="D6" s="633"/>
      <c r="E6" s="638"/>
      <c r="F6" s="632"/>
      <c r="G6" s="632"/>
      <c r="H6" s="632"/>
      <c r="I6" s="520"/>
      <c r="J6" s="631"/>
      <c r="K6" s="631"/>
      <c r="L6" s="631"/>
      <c r="M6" s="637"/>
      <c r="N6" s="630"/>
      <c r="O6" s="630"/>
      <c r="P6" s="630"/>
      <c r="S6" s="624"/>
      <c r="T6" s="624"/>
      <c r="U6" s="624"/>
      <c r="W6" s="636"/>
      <c r="X6" s="636"/>
      <c r="Y6" s="636"/>
      <c r="Z6" s="635"/>
    </row>
    <row r="7" spans="1:26" s="558" customFormat="1" ht="19.5" customHeight="1">
      <c r="A7" s="482" t="s">
        <v>54</v>
      </c>
      <c r="B7" s="633"/>
      <c r="C7" s="633"/>
      <c r="D7" s="633"/>
      <c r="E7" s="581" t="s">
        <v>54</v>
      </c>
      <c r="F7" s="632"/>
      <c r="G7" s="632"/>
      <c r="H7" s="632"/>
      <c r="I7" s="480" t="s">
        <v>194</v>
      </c>
      <c r="J7" s="631"/>
      <c r="K7" s="631"/>
      <c r="L7" s="631"/>
      <c r="M7" s="578" t="s">
        <v>194</v>
      </c>
      <c r="N7" s="630"/>
      <c r="O7" s="630"/>
      <c r="P7" s="630"/>
      <c r="R7" s="625" t="s">
        <v>54</v>
      </c>
      <c r="S7" s="624"/>
      <c r="T7" s="624"/>
      <c r="U7" s="624"/>
      <c r="W7" s="634"/>
      <c r="X7" s="634"/>
      <c r="Y7" s="634"/>
      <c r="Z7" s="616"/>
    </row>
    <row r="8" spans="1:26" s="558" customFormat="1" ht="19.5" customHeight="1">
      <c r="A8" s="482" t="s">
        <v>53</v>
      </c>
      <c r="B8" s="629">
        <v>64672</v>
      </c>
      <c r="C8" s="629">
        <v>33430</v>
      </c>
      <c r="D8" s="629">
        <v>31242</v>
      </c>
      <c r="E8" s="581" t="s">
        <v>53</v>
      </c>
      <c r="F8" s="628">
        <v>50923</v>
      </c>
      <c r="G8" s="628">
        <v>37966</v>
      </c>
      <c r="H8" s="628">
        <v>12957</v>
      </c>
      <c r="I8" s="480" t="s">
        <v>193</v>
      </c>
      <c r="J8" s="627">
        <v>37775</v>
      </c>
      <c r="K8" s="627">
        <v>25621</v>
      </c>
      <c r="L8" s="627">
        <v>12154</v>
      </c>
      <c r="M8" s="578" t="s">
        <v>193</v>
      </c>
      <c r="N8" s="626">
        <v>44615</v>
      </c>
      <c r="O8" s="626">
        <v>34817</v>
      </c>
      <c r="P8" s="626">
        <v>9798</v>
      </c>
      <c r="R8" s="625" t="s">
        <v>53</v>
      </c>
      <c r="S8" s="624">
        <f>(N8+J8+F8+B8)/4-1</f>
        <v>49495.25</v>
      </c>
      <c r="T8" s="624">
        <f>(O8+K8+G8+C8)/4-0.3</f>
        <v>32958.199999999997</v>
      </c>
      <c r="U8" s="624">
        <f>(P8+L8+H8+D8)/4-0.3</f>
        <v>16537.45</v>
      </c>
      <c r="V8" s="623"/>
      <c r="W8" s="617"/>
      <c r="X8" s="617"/>
      <c r="Y8" s="617"/>
      <c r="Z8" s="616"/>
    </row>
    <row r="9" spans="1:26" s="558" customFormat="1" ht="19.5" customHeight="1">
      <c r="A9" s="482" t="s">
        <v>52</v>
      </c>
      <c r="B9" s="629">
        <v>61744</v>
      </c>
      <c r="C9" s="629">
        <v>20112</v>
      </c>
      <c r="D9" s="629">
        <v>41632</v>
      </c>
      <c r="E9" s="581" t="s">
        <v>52</v>
      </c>
      <c r="F9" s="628">
        <v>55179</v>
      </c>
      <c r="G9" s="628">
        <v>16115</v>
      </c>
      <c r="H9" s="628">
        <v>39064</v>
      </c>
      <c r="I9" s="480" t="s">
        <v>192</v>
      </c>
      <c r="J9" s="627">
        <v>44963</v>
      </c>
      <c r="K9" s="627">
        <v>15714</v>
      </c>
      <c r="L9" s="627">
        <v>29249</v>
      </c>
      <c r="M9" s="578" t="s">
        <v>192</v>
      </c>
      <c r="N9" s="626">
        <v>50469</v>
      </c>
      <c r="O9" s="626">
        <v>12938</v>
      </c>
      <c r="P9" s="626">
        <v>37531</v>
      </c>
      <c r="R9" s="625" t="s">
        <v>52</v>
      </c>
      <c r="S9" s="624">
        <f>(N9+J9+F9+B9)/4</f>
        <v>53088.75</v>
      </c>
      <c r="T9" s="624">
        <f>(O9+K9+G9+C9)/4</f>
        <v>16219.75</v>
      </c>
      <c r="U9" s="624">
        <f>(P9+L9+H9+D9)/4</f>
        <v>36869</v>
      </c>
      <c r="V9" s="623"/>
      <c r="W9" s="617"/>
      <c r="X9" s="617"/>
      <c r="Y9" s="617"/>
      <c r="Z9" s="616"/>
    </row>
    <row r="10" spans="1:26" s="558" customFormat="1" ht="19.5" customHeight="1">
      <c r="A10" s="482" t="s">
        <v>51</v>
      </c>
      <c r="B10" s="633"/>
      <c r="C10" s="633"/>
      <c r="D10" s="633"/>
      <c r="E10" s="581" t="s">
        <v>51</v>
      </c>
      <c r="F10" s="632"/>
      <c r="G10" s="632"/>
      <c r="H10" s="632"/>
      <c r="I10" s="480" t="s">
        <v>191</v>
      </c>
      <c r="J10" s="631"/>
      <c r="K10" s="631"/>
      <c r="L10" s="631"/>
      <c r="M10" s="578" t="s">
        <v>191</v>
      </c>
      <c r="N10" s="630"/>
      <c r="O10" s="630"/>
      <c r="P10" s="630"/>
      <c r="R10" s="625" t="s">
        <v>51</v>
      </c>
      <c r="S10" s="624"/>
      <c r="T10" s="624"/>
      <c r="U10" s="624"/>
      <c r="V10" s="623"/>
      <c r="W10" s="583"/>
      <c r="X10" s="583"/>
      <c r="Y10" s="583"/>
      <c r="Z10" s="616"/>
    </row>
    <row r="11" spans="1:26" s="558" customFormat="1" ht="19.5" customHeight="1">
      <c r="A11" s="482" t="s">
        <v>50</v>
      </c>
      <c r="B11" s="629">
        <v>33444</v>
      </c>
      <c r="C11" s="629">
        <v>18362</v>
      </c>
      <c r="D11" s="629">
        <v>15082</v>
      </c>
      <c r="E11" s="581" t="s">
        <v>50</v>
      </c>
      <c r="F11" s="628">
        <v>39682</v>
      </c>
      <c r="G11" s="628">
        <v>21597</v>
      </c>
      <c r="H11" s="628">
        <v>18085</v>
      </c>
      <c r="I11" s="480" t="s">
        <v>190</v>
      </c>
      <c r="J11" s="627">
        <v>34047</v>
      </c>
      <c r="K11" s="627">
        <v>15870</v>
      </c>
      <c r="L11" s="627">
        <v>18177</v>
      </c>
      <c r="M11" s="578" t="s">
        <v>190</v>
      </c>
      <c r="N11" s="626">
        <v>34773</v>
      </c>
      <c r="O11" s="626">
        <v>11577</v>
      </c>
      <c r="P11" s="626">
        <v>23196</v>
      </c>
      <c r="R11" s="625" t="s">
        <v>50</v>
      </c>
      <c r="S11" s="624">
        <f>(N11+J11+F11+B11)/4</f>
        <v>35486.5</v>
      </c>
      <c r="T11" s="624">
        <f>(O11+K11+G11+C11)/4</f>
        <v>16851.5</v>
      </c>
      <c r="U11" s="624">
        <f>(P11+L11+H11+D11)/4</f>
        <v>18635</v>
      </c>
      <c r="V11" s="623"/>
      <c r="W11" s="617"/>
      <c r="X11" s="617"/>
      <c r="Y11" s="617"/>
      <c r="Z11" s="616"/>
    </row>
    <row r="12" spans="1:26" s="558" customFormat="1" ht="19.5" customHeight="1">
      <c r="A12" s="482" t="s">
        <v>49</v>
      </c>
      <c r="B12" s="629">
        <v>30874</v>
      </c>
      <c r="C12" s="629">
        <v>10568</v>
      </c>
      <c r="D12" s="629">
        <v>20306</v>
      </c>
      <c r="E12" s="581" t="s">
        <v>49</v>
      </c>
      <c r="F12" s="628">
        <v>23856</v>
      </c>
      <c r="G12" s="628">
        <v>8650</v>
      </c>
      <c r="H12" s="628">
        <v>15206</v>
      </c>
      <c r="I12" s="480" t="s">
        <v>189</v>
      </c>
      <c r="J12" s="627">
        <v>33091</v>
      </c>
      <c r="K12" s="627">
        <v>11347</v>
      </c>
      <c r="L12" s="627">
        <v>21744</v>
      </c>
      <c r="M12" s="578" t="s">
        <v>189</v>
      </c>
      <c r="N12" s="626">
        <v>40432</v>
      </c>
      <c r="O12" s="626">
        <v>17530</v>
      </c>
      <c r="P12" s="626">
        <v>22902</v>
      </c>
      <c r="R12" s="625" t="s">
        <v>49</v>
      </c>
      <c r="S12" s="624">
        <f>(N12+J12+F12+B12)/4</f>
        <v>32063.25</v>
      </c>
      <c r="T12" s="624">
        <f>(O12+K12+G12+C12)/4</f>
        <v>12023.75</v>
      </c>
      <c r="U12" s="624">
        <f>(P12+L12+H12+D12)/4-0.3</f>
        <v>20039.2</v>
      </c>
      <c r="V12" s="623"/>
      <c r="W12" s="617"/>
      <c r="X12" s="617"/>
      <c r="Y12" s="617"/>
      <c r="Z12" s="616"/>
    </row>
    <row r="13" spans="1:26" s="558" customFormat="1" ht="19.5" customHeight="1">
      <c r="A13" s="482" t="s">
        <v>48</v>
      </c>
      <c r="B13" s="629">
        <v>225299</v>
      </c>
      <c r="C13" s="629">
        <v>93362</v>
      </c>
      <c r="D13" s="629">
        <v>131937</v>
      </c>
      <c r="E13" s="581" t="s">
        <v>48</v>
      </c>
      <c r="F13" s="628">
        <v>221153</v>
      </c>
      <c r="G13" s="628">
        <v>73972</v>
      </c>
      <c r="H13" s="628">
        <v>147181</v>
      </c>
      <c r="I13" s="480" t="s">
        <v>188</v>
      </c>
      <c r="J13" s="627">
        <v>205549</v>
      </c>
      <c r="K13" s="627">
        <v>80591</v>
      </c>
      <c r="L13" s="627">
        <v>124958</v>
      </c>
      <c r="M13" s="578" t="s">
        <v>188</v>
      </c>
      <c r="N13" s="626">
        <v>230705</v>
      </c>
      <c r="O13" s="626">
        <v>84465</v>
      </c>
      <c r="P13" s="626">
        <v>146240</v>
      </c>
      <c r="R13" s="625" t="s">
        <v>48</v>
      </c>
      <c r="S13" s="624">
        <f>(N13+J13+F13+B13)/4</f>
        <v>220676.5</v>
      </c>
      <c r="T13" s="624">
        <f>(O13+K13+G13+C13)/4</f>
        <v>83097.5</v>
      </c>
      <c r="U13" s="624">
        <f>(P13+L13+H13+D13)/4</f>
        <v>137579</v>
      </c>
      <c r="V13" s="623"/>
      <c r="W13" s="617"/>
      <c r="X13" s="617"/>
      <c r="Y13" s="617"/>
      <c r="Z13" s="616"/>
    </row>
    <row r="14" spans="1:26" s="558" customFormat="1" ht="19.5" customHeight="1">
      <c r="A14" s="482" t="s">
        <v>47</v>
      </c>
      <c r="B14" s="633"/>
      <c r="C14" s="633"/>
      <c r="D14" s="633"/>
      <c r="E14" s="581" t="s">
        <v>47</v>
      </c>
      <c r="F14" s="632"/>
      <c r="G14" s="632"/>
      <c r="H14" s="632"/>
      <c r="I14" s="480" t="s">
        <v>187</v>
      </c>
      <c r="J14" s="631"/>
      <c r="K14" s="631"/>
      <c r="L14" s="631"/>
      <c r="M14" s="578" t="s">
        <v>187</v>
      </c>
      <c r="N14" s="630"/>
      <c r="O14" s="630"/>
      <c r="P14" s="630"/>
      <c r="R14" s="625" t="s">
        <v>47</v>
      </c>
      <c r="S14" s="624"/>
      <c r="T14" s="624"/>
      <c r="U14" s="624"/>
      <c r="V14" s="623"/>
      <c r="W14" s="583"/>
      <c r="X14" s="583"/>
      <c r="Y14" s="583"/>
      <c r="Z14" s="616"/>
    </row>
    <row r="15" spans="1:26" s="558" customFormat="1" ht="19.5" customHeight="1">
      <c r="A15" s="482" t="s">
        <v>46</v>
      </c>
      <c r="B15" s="629">
        <v>548602</v>
      </c>
      <c r="C15" s="629">
        <v>334585</v>
      </c>
      <c r="D15" s="629">
        <v>214017</v>
      </c>
      <c r="E15" s="581" t="s">
        <v>46</v>
      </c>
      <c r="F15" s="628">
        <v>506118</v>
      </c>
      <c r="G15" s="628">
        <v>302650</v>
      </c>
      <c r="H15" s="628">
        <v>203468</v>
      </c>
      <c r="I15" s="480" t="s">
        <v>186</v>
      </c>
      <c r="J15" s="627">
        <v>457397</v>
      </c>
      <c r="K15" s="627">
        <v>262586</v>
      </c>
      <c r="L15" s="627">
        <v>194811</v>
      </c>
      <c r="M15" s="578" t="s">
        <v>186</v>
      </c>
      <c r="N15" s="626">
        <v>276310</v>
      </c>
      <c r="O15" s="626">
        <v>167004</v>
      </c>
      <c r="P15" s="626">
        <v>109306</v>
      </c>
      <c r="R15" s="625" t="s">
        <v>46</v>
      </c>
      <c r="S15" s="624">
        <f>(N15+J15+F15+B15)/4</f>
        <v>447106.75</v>
      </c>
      <c r="T15" s="624">
        <f>(O15+K15+G15+C15)/4</f>
        <v>266706.25</v>
      </c>
      <c r="U15" s="624">
        <f>(P15+L15+H15+D15)/4</f>
        <v>180400.5</v>
      </c>
      <c r="V15" s="623"/>
      <c r="W15" s="617"/>
      <c r="X15" s="617"/>
      <c r="Y15" s="617"/>
      <c r="Z15" s="616"/>
    </row>
    <row r="16" spans="1:26" s="558" customFormat="1" ht="19.5" customHeight="1">
      <c r="A16" s="482" t="s">
        <v>45</v>
      </c>
      <c r="B16" s="633"/>
      <c r="C16" s="633"/>
      <c r="D16" s="633"/>
      <c r="E16" s="581" t="s">
        <v>45</v>
      </c>
      <c r="F16" s="632"/>
      <c r="G16" s="632"/>
      <c r="H16" s="632"/>
      <c r="I16" s="480" t="s">
        <v>185</v>
      </c>
      <c r="J16" s="631"/>
      <c r="K16" s="631"/>
      <c r="L16" s="631"/>
      <c r="M16" s="578" t="s">
        <v>185</v>
      </c>
      <c r="N16" s="630"/>
      <c r="O16" s="630"/>
      <c r="P16" s="630"/>
      <c r="R16" s="625" t="s">
        <v>45</v>
      </c>
      <c r="S16" s="624"/>
      <c r="T16" s="624"/>
      <c r="U16" s="624"/>
      <c r="V16" s="623"/>
      <c r="W16" s="583"/>
      <c r="X16" s="583"/>
      <c r="Y16" s="583"/>
      <c r="Z16" s="616"/>
    </row>
    <row r="17" spans="1:26" s="558" customFormat="1" ht="19.5" customHeight="1">
      <c r="A17" s="482" t="s">
        <v>44</v>
      </c>
      <c r="B17" s="629">
        <v>92926</v>
      </c>
      <c r="C17" s="629">
        <v>61935</v>
      </c>
      <c r="D17" s="629">
        <v>30991</v>
      </c>
      <c r="E17" s="581" t="s">
        <v>44</v>
      </c>
      <c r="F17" s="628">
        <v>116962</v>
      </c>
      <c r="G17" s="628">
        <v>85670</v>
      </c>
      <c r="H17" s="628">
        <v>31292</v>
      </c>
      <c r="I17" s="480" t="s">
        <v>184</v>
      </c>
      <c r="J17" s="627">
        <v>152225</v>
      </c>
      <c r="K17" s="627">
        <v>117704</v>
      </c>
      <c r="L17" s="627">
        <v>34521</v>
      </c>
      <c r="M17" s="578" t="s">
        <v>184</v>
      </c>
      <c r="N17" s="626">
        <v>154144</v>
      </c>
      <c r="O17" s="626">
        <v>112697</v>
      </c>
      <c r="P17" s="626">
        <v>41447</v>
      </c>
      <c r="R17" s="625" t="s">
        <v>44</v>
      </c>
      <c r="S17" s="624">
        <f>(N17+J17+F17+B17)/4</f>
        <v>129064.25</v>
      </c>
      <c r="T17" s="624">
        <f>(O17+K17+G17+C17)/4-0.1</f>
        <v>94501.4</v>
      </c>
      <c r="U17" s="624">
        <f>(P17+L17+H17+D17)/4</f>
        <v>34562.75</v>
      </c>
      <c r="V17" s="623"/>
      <c r="W17" s="617"/>
      <c r="X17" s="617"/>
      <c r="Y17" s="617"/>
      <c r="Z17" s="616"/>
    </row>
    <row r="18" spans="1:26" s="558" customFormat="1" ht="19.5" customHeight="1">
      <c r="A18" s="482" t="s">
        <v>43</v>
      </c>
      <c r="B18" s="633"/>
      <c r="C18" s="633"/>
      <c r="D18" s="633"/>
      <c r="E18" s="581" t="s">
        <v>43</v>
      </c>
      <c r="F18" s="632"/>
      <c r="G18" s="632"/>
      <c r="H18" s="632"/>
      <c r="I18" s="480" t="s">
        <v>183</v>
      </c>
      <c r="J18" s="631"/>
      <c r="K18" s="631"/>
      <c r="L18" s="631"/>
      <c r="M18" s="578" t="s">
        <v>183</v>
      </c>
      <c r="N18" s="630"/>
      <c r="O18" s="630"/>
      <c r="P18" s="630"/>
      <c r="R18" s="625" t="s">
        <v>43</v>
      </c>
      <c r="S18" s="624"/>
      <c r="T18" s="624"/>
      <c r="U18" s="624"/>
      <c r="V18" s="623"/>
      <c r="W18" s="583"/>
      <c r="X18" s="583"/>
      <c r="Y18" s="583"/>
      <c r="Z18" s="616"/>
    </row>
    <row r="19" spans="1:26" s="558" customFormat="1" ht="19.5" customHeight="1">
      <c r="A19" s="482" t="s">
        <v>42</v>
      </c>
      <c r="B19" s="629">
        <v>108132</v>
      </c>
      <c r="C19" s="629">
        <v>58717</v>
      </c>
      <c r="D19" s="629">
        <v>49415</v>
      </c>
      <c r="E19" s="581" t="s">
        <v>42</v>
      </c>
      <c r="F19" s="628">
        <v>135925</v>
      </c>
      <c r="G19" s="628">
        <v>79639</v>
      </c>
      <c r="H19" s="628">
        <v>56286</v>
      </c>
      <c r="I19" s="480" t="s">
        <v>182</v>
      </c>
      <c r="J19" s="627">
        <v>151283</v>
      </c>
      <c r="K19" s="627">
        <v>89064</v>
      </c>
      <c r="L19" s="627">
        <v>62219</v>
      </c>
      <c r="M19" s="578" t="s">
        <v>182</v>
      </c>
      <c r="N19" s="626">
        <v>130186</v>
      </c>
      <c r="O19" s="626">
        <v>75734</v>
      </c>
      <c r="P19" s="626">
        <v>54452</v>
      </c>
      <c r="R19" s="625" t="s">
        <v>42</v>
      </c>
      <c r="S19" s="624">
        <f>(N19+J19+F19+B19)/4</f>
        <v>131381.5</v>
      </c>
      <c r="T19" s="624">
        <f>(O19+K19+G19+C19)/4</f>
        <v>75788.5</v>
      </c>
      <c r="U19" s="624">
        <f>(P19+L19+H19+D19)/4</f>
        <v>55593</v>
      </c>
      <c r="V19" s="623"/>
      <c r="W19" s="617"/>
      <c r="X19" s="617"/>
      <c r="Y19" s="617"/>
      <c r="Z19" s="616"/>
    </row>
    <row r="20" spans="1:26" s="558" customFormat="1" ht="19.5" customHeight="1">
      <c r="A20" s="482" t="s">
        <v>41</v>
      </c>
      <c r="B20" s="633"/>
      <c r="C20" s="633"/>
      <c r="D20" s="633"/>
      <c r="E20" s="581" t="s">
        <v>41</v>
      </c>
      <c r="F20" s="632"/>
      <c r="G20" s="632"/>
      <c r="H20" s="632"/>
      <c r="I20" s="480" t="s">
        <v>181</v>
      </c>
      <c r="J20" s="631"/>
      <c r="K20" s="631"/>
      <c r="L20" s="631"/>
      <c r="M20" s="578" t="s">
        <v>181</v>
      </c>
      <c r="N20" s="630"/>
      <c r="O20" s="630"/>
      <c r="P20" s="630"/>
      <c r="R20" s="625" t="s">
        <v>41</v>
      </c>
      <c r="S20" s="624"/>
      <c r="T20" s="624"/>
      <c r="U20" s="624"/>
      <c r="V20" s="623"/>
      <c r="W20" s="583"/>
      <c r="X20" s="583"/>
      <c r="Y20" s="583"/>
      <c r="Z20" s="616"/>
    </row>
    <row r="21" spans="1:26" s="558" customFormat="1" ht="19.5" customHeight="1">
      <c r="A21" s="482" t="s">
        <v>40</v>
      </c>
      <c r="B21" s="629">
        <v>181445</v>
      </c>
      <c r="C21" s="629">
        <v>109676</v>
      </c>
      <c r="D21" s="629">
        <v>71769</v>
      </c>
      <c r="E21" s="581" t="s">
        <v>40</v>
      </c>
      <c r="F21" s="628">
        <v>139509</v>
      </c>
      <c r="G21" s="628">
        <v>99531</v>
      </c>
      <c r="H21" s="628">
        <v>39978</v>
      </c>
      <c r="I21" s="480" t="s">
        <v>180</v>
      </c>
      <c r="J21" s="627">
        <v>118780</v>
      </c>
      <c r="K21" s="627">
        <v>71301</v>
      </c>
      <c r="L21" s="627">
        <v>47479</v>
      </c>
      <c r="M21" s="578" t="s">
        <v>180</v>
      </c>
      <c r="N21" s="626">
        <v>161400</v>
      </c>
      <c r="O21" s="626">
        <v>99023</v>
      </c>
      <c r="P21" s="626">
        <v>62377</v>
      </c>
      <c r="R21" s="625" t="s">
        <v>40</v>
      </c>
      <c r="S21" s="624">
        <f>(N21+J21+F21+B21)/4</f>
        <v>150283.5</v>
      </c>
      <c r="T21" s="624">
        <f>(O21+K21+G21+C21)/4</f>
        <v>94882.75</v>
      </c>
      <c r="U21" s="624">
        <f>(P21+L21+H21+D21)/4</f>
        <v>55400.75</v>
      </c>
      <c r="V21" s="623"/>
      <c r="W21" s="617"/>
      <c r="X21" s="617"/>
      <c r="Y21" s="617"/>
      <c r="Z21" s="616"/>
    </row>
    <row r="22" spans="1:26" s="558" customFormat="1" ht="19.5" customHeight="1">
      <c r="A22" s="467" t="s">
        <v>39</v>
      </c>
      <c r="B22" s="622">
        <v>469</v>
      </c>
      <c r="C22" s="622">
        <v>469</v>
      </c>
      <c r="D22" s="622" t="s">
        <v>8</v>
      </c>
      <c r="E22" s="573" t="s">
        <v>39</v>
      </c>
      <c r="F22" s="621" t="s">
        <v>8</v>
      </c>
      <c r="G22" s="621" t="s">
        <v>8</v>
      </c>
      <c r="H22" s="621" t="s">
        <v>8</v>
      </c>
      <c r="I22" s="463" t="s">
        <v>39</v>
      </c>
      <c r="J22" s="620" t="s">
        <v>8</v>
      </c>
      <c r="K22" s="620" t="s">
        <v>8</v>
      </c>
      <c r="L22" s="620" t="s">
        <v>8</v>
      </c>
      <c r="M22" s="570" t="s">
        <v>39</v>
      </c>
      <c r="N22" s="619" t="s">
        <v>8</v>
      </c>
      <c r="O22" s="619" t="s">
        <v>8</v>
      </c>
      <c r="P22" s="619" t="s">
        <v>8</v>
      </c>
      <c r="R22" s="618" t="s">
        <v>39</v>
      </c>
      <c r="S22" s="26">
        <f>B22/4</f>
        <v>117.25</v>
      </c>
      <c r="T22" s="26">
        <f>C22/4</f>
        <v>117.25</v>
      </c>
      <c r="U22" s="26" t="s">
        <v>8</v>
      </c>
      <c r="W22" s="617"/>
      <c r="X22" s="617"/>
      <c r="Y22" s="617"/>
      <c r="Z22" s="616"/>
    </row>
    <row r="23" spans="1:26" s="558" customFormat="1" ht="21.75" customHeight="1">
      <c r="A23" s="615"/>
      <c r="B23" s="614" t="s">
        <v>20</v>
      </c>
      <c r="C23" s="614"/>
      <c r="D23" s="614"/>
      <c r="E23" s="613"/>
      <c r="F23" s="612" t="s">
        <v>20</v>
      </c>
      <c r="G23" s="612"/>
      <c r="H23" s="612"/>
      <c r="I23" s="611"/>
      <c r="J23" s="610" t="s">
        <v>20</v>
      </c>
      <c r="K23" s="610"/>
      <c r="L23" s="610"/>
      <c r="M23" s="609"/>
      <c r="N23" s="608" t="s">
        <v>20</v>
      </c>
      <c r="O23" s="608"/>
      <c r="P23" s="608"/>
      <c r="S23" s="1180" t="s">
        <v>20</v>
      </c>
      <c r="T23" s="1180"/>
      <c r="U23" s="1180"/>
    </row>
    <row r="24" spans="1:26" s="591" customFormat="1" ht="18" customHeight="1">
      <c r="A24" s="607" t="s">
        <v>37</v>
      </c>
      <c r="B24" s="606">
        <f>B5/$B$5*100</f>
        <v>100</v>
      </c>
      <c r="C24" s="606">
        <f>C5/$C$5*100</f>
        <v>100</v>
      </c>
      <c r="D24" s="606">
        <f>D5/$D$5*100</f>
        <v>100</v>
      </c>
      <c r="E24" s="605" t="s">
        <v>37</v>
      </c>
      <c r="F24" s="580">
        <v>100</v>
      </c>
      <c r="G24" s="580">
        <v>100</v>
      </c>
      <c r="H24" s="580">
        <v>100</v>
      </c>
      <c r="I24" s="604" t="s">
        <v>37</v>
      </c>
      <c r="J24" s="579">
        <v>100</v>
      </c>
      <c r="K24" s="579">
        <v>100</v>
      </c>
      <c r="L24" s="579">
        <v>100</v>
      </c>
      <c r="M24" s="603" t="s">
        <v>37</v>
      </c>
      <c r="N24" s="577">
        <v>100</v>
      </c>
      <c r="O24" s="577">
        <v>100</v>
      </c>
      <c r="P24" s="577">
        <v>100</v>
      </c>
      <c r="R24" s="591" t="s">
        <v>37</v>
      </c>
      <c r="S24" s="601">
        <f>S5/S$5*100</f>
        <v>100</v>
      </c>
      <c r="T24" s="602">
        <f>T5/T$5*100</f>
        <v>100</v>
      </c>
      <c r="U24" s="601">
        <f>U5/U$5*100</f>
        <v>100</v>
      </c>
      <c r="V24" s="592"/>
      <c r="W24" s="592"/>
      <c r="X24" s="592"/>
    </row>
    <row r="25" spans="1:26" s="591" customFormat="1" ht="8.25" customHeight="1">
      <c r="A25" s="600"/>
      <c r="B25" s="599"/>
      <c r="C25" s="599"/>
      <c r="D25" s="599"/>
      <c r="E25" s="598"/>
      <c r="F25" s="597"/>
      <c r="G25" s="597"/>
      <c r="H25" s="597"/>
      <c r="I25" s="596"/>
      <c r="J25" s="595"/>
      <c r="K25" s="595"/>
      <c r="L25" s="595"/>
      <c r="M25" s="594"/>
      <c r="N25" s="593"/>
      <c r="O25" s="593"/>
      <c r="P25" s="593"/>
      <c r="R25" s="592"/>
      <c r="S25" s="21"/>
      <c r="T25" s="22"/>
      <c r="U25" s="21"/>
    </row>
    <row r="26" spans="1:26" s="558" customFormat="1" ht="20.25" customHeight="1">
      <c r="A26" s="482" t="s">
        <v>54</v>
      </c>
      <c r="B26" s="590"/>
      <c r="C26" s="590"/>
      <c r="D26" s="590"/>
      <c r="E26" s="581" t="s">
        <v>54</v>
      </c>
      <c r="F26" s="589"/>
      <c r="G26" s="589"/>
      <c r="H26" s="589"/>
      <c r="I26" s="480" t="s">
        <v>194</v>
      </c>
      <c r="J26" s="588"/>
      <c r="K26" s="588"/>
      <c r="L26" s="588"/>
      <c r="M26" s="578" t="s">
        <v>194</v>
      </c>
      <c r="N26" s="587"/>
      <c r="O26" s="587"/>
      <c r="P26" s="587"/>
      <c r="R26" s="17" t="s">
        <v>54</v>
      </c>
      <c r="S26" s="585"/>
      <c r="T26" s="586"/>
      <c r="U26" s="585"/>
    </row>
    <row r="27" spans="1:26" s="558" customFormat="1" ht="20.25" customHeight="1">
      <c r="A27" s="482" t="s">
        <v>53</v>
      </c>
      <c r="B27" s="582">
        <f>B8*100/$B$5</f>
        <v>4.7990252351019249</v>
      </c>
      <c r="C27" s="582">
        <f>C8*100/$C$5</f>
        <v>4.5101562837283602</v>
      </c>
      <c r="D27" s="582">
        <f>D8*100/$D$5</f>
        <v>5.1521213210618235</v>
      </c>
      <c r="E27" s="581" t="s">
        <v>53</v>
      </c>
      <c r="F27" s="580">
        <v>3.9496411638190128</v>
      </c>
      <c r="G27" s="580">
        <v>5.2309896802105289</v>
      </c>
      <c r="H27" s="580">
        <v>2.299309515063432</v>
      </c>
      <c r="I27" s="480" t="s">
        <v>193</v>
      </c>
      <c r="J27" s="579">
        <v>3.0584320424901428</v>
      </c>
      <c r="K27" s="579">
        <v>3.7142757734873109</v>
      </c>
      <c r="L27" s="579">
        <v>2.2288157971950002</v>
      </c>
      <c r="M27" s="578" t="s">
        <v>193</v>
      </c>
      <c r="N27" s="577">
        <v>3.9727203272563432</v>
      </c>
      <c r="O27" s="577">
        <v>5.6540838117199996</v>
      </c>
      <c r="P27" s="577">
        <v>1.9315957251763927</v>
      </c>
      <c r="R27" s="17" t="s">
        <v>53</v>
      </c>
      <c r="S27" s="576">
        <f>S8/S$5*100</f>
        <v>3.9635375605248226</v>
      </c>
      <c r="T27" s="576">
        <f>T8/T$5*100</f>
        <v>4.7548606353726557</v>
      </c>
      <c r="U27" s="576">
        <f>U8/U$5*100</f>
        <v>2.976410469617349</v>
      </c>
      <c r="V27" s="575"/>
      <c r="W27" s="575"/>
      <c r="X27" s="575"/>
    </row>
    <row r="28" spans="1:26" s="558" customFormat="1" ht="20.25" customHeight="1">
      <c r="A28" s="482" t="s">
        <v>52</v>
      </c>
      <c r="B28" s="582">
        <f>B9*100/$B$5</f>
        <v>4.5817512078818234</v>
      </c>
      <c r="C28" s="582">
        <f>C9*100/$C$5</f>
        <v>2.7133790959720243</v>
      </c>
      <c r="D28" s="582">
        <f>D9*100/$D$5</f>
        <v>6.8655372523668721</v>
      </c>
      <c r="E28" s="581" t="s">
        <v>52</v>
      </c>
      <c r="F28" s="580">
        <v>4.279740977129574</v>
      </c>
      <c r="G28" s="580">
        <v>2.220339216577798</v>
      </c>
      <c r="H28" s="580">
        <v>6.9321777337684578</v>
      </c>
      <c r="I28" s="480" t="s">
        <v>192</v>
      </c>
      <c r="J28" s="579">
        <v>3.6404044983847594</v>
      </c>
      <c r="K28" s="579">
        <v>2.2780582141438508</v>
      </c>
      <c r="L28" s="579">
        <v>5.3637183850712988</v>
      </c>
      <c r="M28" s="578" t="s">
        <v>192</v>
      </c>
      <c r="N28" s="577">
        <v>4.4939868249759138</v>
      </c>
      <c r="O28" s="577">
        <v>2.1010579991393099</v>
      </c>
      <c r="P28" s="577">
        <v>7.3989303083889766</v>
      </c>
      <c r="R28" s="17" t="s">
        <v>52</v>
      </c>
      <c r="S28" s="576">
        <f>S9/S$5*100</f>
        <v>4.2513019868838358</v>
      </c>
      <c r="T28" s="576">
        <f>T9/T$5*100+0.03</f>
        <v>2.3700140417433486</v>
      </c>
      <c r="U28" s="576">
        <f>U9/U$5*100</f>
        <v>6.6356831073909248</v>
      </c>
      <c r="V28" s="575"/>
      <c r="W28" s="575"/>
      <c r="X28" s="575"/>
    </row>
    <row r="29" spans="1:26" s="558" customFormat="1" ht="20.25" customHeight="1">
      <c r="A29" s="482" t="s">
        <v>51</v>
      </c>
      <c r="B29" s="582"/>
      <c r="C29" s="582"/>
      <c r="D29" s="582"/>
      <c r="E29" s="581" t="s">
        <v>51</v>
      </c>
      <c r="F29" s="580"/>
      <c r="G29" s="580"/>
      <c r="H29" s="580"/>
      <c r="I29" s="480" t="s">
        <v>191</v>
      </c>
      <c r="J29" s="579"/>
      <c r="K29" s="579"/>
      <c r="L29" s="579"/>
      <c r="M29" s="578" t="s">
        <v>191</v>
      </c>
      <c r="N29" s="577"/>
      <c r="O29" s="577"/>
      <c r="P29" s="577"/>
      <c r="R29" s="17" t="s">
        <v>51</v>
      </c>
      <c r="S29" s="39"/>
      <c r="T29" s="584"/>
      <c r="U29" s="584"/>
      <c r="V29" s="583"/>
      <c r="W29" s="583"/>
      <c r="X29" s="583"/>
    </row>
    <row r="30" spans="1:26" s="558" customFormat="1" ht="20.25" customHeight="1">
      <c r="A30" s="482" t="s">
        <v>50</v>
      </c>
      <c r="B30" s="582">
        <f>B11*100/$B$5</f>
        <v>2.4817324338623945</v>
      </c>
      <c r="C30" s="582">
        <f>C11*100/$C$5</f>
        <v>2.4772805767819368</v>
      </c>
      <c r="D30" s="582">
        <f>D11*100/$D$5</f>
        <v>2.4871741170301012</v>
      </c>
      <c r="E30" s="581" t="s">
        <v>50</v>
      </c>
      <c r="F30" s="580">
        <v>3.0777774416799102</v>
      </c>
      <c r="G30" s="580">
        <v>2.9756541148266029</v>
      </c>
      <c r="H30" s="580">
        <v>3.2093086810158344</v>
      </c>
      <c r="I30" s="480" t="s">
        <v>190</v>
      </c>
      <c r="J30" s="579">
        <v>2.7865965784424058</v>
      </c>
      <c r="K30" s="579">
        <v>2.3006735305118311</v>
      </c>
      <c r="L30" s="579">
        <v>3.3033211079162021</v>
      </c>
      <c r="M30" s="578" t="s">
        <v>190</v>
      </c>
      <c r="N30" s="577">
        <v>3.0963443671340314</v>
      </c>
      <c r="O30" s="577">
        <v>1.8800392994308077</v>
      </c>
      <c r="P30" s="577">
        <v>4.542902065849316</v>
      </c>
      <c r="R30" s="17" t="s">
        <v>50</v>
      </c>
      <c r="S30" s="576">
        <f t="shared" ref="S30:T32" si="0">S11/S$5*100</f>
        <v>2.8417287647110401</v>
      </c>
      <c r="T30" s="576">
        <f t="shared" si="0"/>
        <v>2.4311562523736825</v>
      </c>
      <c r="U30" s="576">
        <f>U11/U$5*100-0.03</f>
        <v>3.3239275463459785</v>
      </c>
      <c r="V30" s="575"/>
      <c r="W30" s="575"/>
      <c r="X30" s="575"/>
    </row>
    <row r="31" spans="1:26" s="558" customFormat="1" ht="20.25" customHeight="1">
      <c r="A31" s="482" t="s">
        <v>49</v>
      </c>
      <c r="B31" s="582">
        <f>B12*100/$B$5</f>
        <v>2.2910240151616903</v>
      </c>
      <c r="C31" s="582">
        <f>C12*100/$C$5</f>
        <v>1.425765229029055</v>
      </c>
      <c r="D31" s="582">
        <f>D12*100/$D$5</f>
        <v>3.3486644755611477</v>
      </c>
      <c r="E31" s="581" t="s">
        <v>49</v>
      </c>
      <c r="F31" s="580">
        <v>1.8202963219776205</v>
      </c>
      <c r="G31" s="580">
        <v>1.1918047920197303</v>
      </c>
      <c r="H31" s="580">
        <v>2.6984101633136177</v>
      </c>
      <c r="I31" s="480" t="s">
        <v>189</v>
      </c>
      <c r="J31" s="579">
        <v>2.6791945656662159</v>
      </c>
      <c r="K31" s="579">
        <v>1.6449743258171232</v>
      </c>
      <c r="L31" s="579">
        <v>3.9874420515227977</v>
      </c>
      <c r="M31" s="578" t="s">
        <v>189</v>
      </c>
      <c r="N31" s="577">
        <v>3.6002471875294959</v>
      </c>
      <c r="O31" s="577">
        <v>2.8467728184350056</v>
      </c>
      <c r="P31" s="577">
        <v>4.5149423655837664</v>
      </c>
      <c r="R31" s="17" t="s">
        <v>49</v>
      </c>
      <c r="S31" s="576">
        <f t="shared" si="0"/>
        <v>2.5675978136790403</v>
      </c>
      <c r="T31" s="576">
        <f t="shared" si="0"/>
        <v>1.7346595252338406</v>
      </c>
      <c r="U31" s="576">
        <f>U12/U$5*100</f>
        <v>3.6066554809088451</v>
      </c>
      <c r="V31" s="575"/>
      <c r="W31" s="575"/>
      <c r="X31" s="575"/>
    </row>
    <row r="32" spans="1:26" s="558" customFormat="1" ht="20.25" customHeight="1">
      <c r="A32" s="482" t="s">
        <v>48</v>
      </c>
      <c r="B32" s="582">
        <f>B13*100/$B$5</f>
        <v>16.71844981511672</v>
      </c>
      <c r="C32" s="582">
        <f>C13*100/$C$5</f>
        <v>12.595788542071407</v>
      </c>
      <c r="D32" s="582">
        <f>D13*100/$D$5</f>
        <v>21.757743765985971</v>
      </c>
      <c r="E32" s="581" t="s">
        <v>48</v>
      </c>
      <c r="F32" s="580">
        <v>17.152858085777865</v>
      </c>
      <c r="G32" s="580">
        <v>10.19192879483046</v>
      </c>
      <c r="H32" s="580">
        <v>26.118289244157673</v>
      </c>
      <c r="I32" s="480" t="s">
        <v>188</v>
      </c>
      <c r="J32" s="579">
        <v>16.64216142691744</v>
      </c>
      <c r="K32" s="579">
        <v>11.683275393665971</v>
      </c>
      <c r="L32" s="579">
        <v>22.914955108268295</v>
      </c>
      <c r="M32" s="578" t="s">
        <v>188</v>
      </c>
      <c r="N32" s="577">
        <v>20.543011164399296</v>
      </c>
      <c r="O32" s="577">
        <v>13.716638112328166</v>
      </c>
      <c r="P32" s="577">
        <v>28.830022336170206</v>
      </c>
      <c r="R32" s="17" t="s">
        <v>48</v>
      </c>
      <c r="S32" s="576">
        <f t="shared" si="0"/>
        <v>17.671586596191677</v>
      </c>
      <c r="T32" s="576">
        <f t="shared" si="0"/>
        <v>11.988428726322411</v>
      </c>
      <c r="U32" s="576">
        <f>U13/U$5*100</f>
        <v>24.761470238729988</v>
      </c>
      <c r="V32" s="575"/>
      <c r="W32" s="575"/>
      <c r="X32" s="575"/>
    </row>
    <row r="33" spans="1:24" s="558" customFormat="1" ht="20.25" customHeight="1">
      <c r="A33" s="482" t="s">
        <v>47</v>
      </c>
      <c r="B33" s="582"/>
      <c r="C33" s="582"/>
      <c r="D33" s="582"/>
      <c r="E33" s="581" t="s">
        <v>47</v>
      </c>
      <c r="F33" s="580"/>
      <c r="G33" s="580"/>
      <c r="H33" s="580"/>
      <c r="I33" s="480" t="s">
        <v>187</v>
      </c>
      <c r="J33" s="579"/>
      <c r="K33" s="579"/>
      <c r="L33" s="579"/>
      <c r="M33" s="578" t="s">
        <v>187</v>
      </c>
      <c r="N33" s="577"/>
      <c r="O33" s="577"/>
      <c r="P33" s="577"/>
      <c r="R33" s="17" t="s">
        <v>47</v>
      </c>
      <c r="S33" s="39"/>
      <c r="T33" s="584"/>
      <c r="U33" s="584"/>
      <c r="V33" s="583"/>
      <c r="W33" s="583"/>
      <c r="X33" s="583"/>
    </row>
    <row r="34" spans="1:24" s="558" customFormat="1" ht="20.25" customHeight="1">
      <c r="A34" s="482" t="s">
        <v>46</v>
      </c>
      <c r="B34" s="582">
        <f>B15*100/$B$5</f>
        <v>40.709346270834153</v>
      </c>
      <c r="C34" s="582">
        <f>C15*100/$C$5</f>
        <v>45.1400131675517</v>
      </c>
      <c r="D34" s="582">
        <f>D15*100/$D$5</f>
        <v>35.293564713196602</v>
      </c>
      <c r="E34" s="581" t="s">
        <v>46</v>
      </c>
      <c r="F34" s="580">
        <v>39.255041661916053</v>
      </c>
      <c r="G34" s="580">
        <v>41.699389630609403</v>
      </c>
      <c r="H34" s="580">
        <v>36.106807780421889</v>
      </c>
      <c r="I34" s="480" t="s">
        <v>186</v>
      </c>
      <c r="J34" s="579">
        <v>37.032895855429878</v>
      </c>
      <c r="K34" s="579">
        <v>38.067086306425942</v>
      </c>
      <c r="L34" s="579">
        <v>35.724686051288067</v>
      </c>
      <c r="M34" s="578" t="s">
        <v>186</v>
      </c>
      <c r="N34" s="577">
        <v>24.60388554576264</v>
      </c>
      <c r="O34" s="577">
        <v>27.1205047216155</v>
      </c>
      <c r="P34" s="577">
        <v>21.54878570485107</v>
      </c>
      <c r="R34" s="17" t="s">
        <v>46</v>
      </c>
      <c r="S34" s="576">
        <f>S15/S$5*100</f>
        <v>35.803928603031238</v>
      </c>
      <c r="T34" s="576">
        <f>T15/T$5*100</f>
        <v>38.477557916781208</v>
      </c>
      <c r="U34" s="576">
        <f>U15/U$5*100</f>
        <v>32.468484374810174</v>
      </c>
      <c r="V34" s="575"/>
      <c r="W34" s="575"/>
      <c r="X34" s="575"/>
    </row>
    <row r="35" spans="1:24" s="558" customFormat="1" ht="20.25" customHeight="1">
      <c r="A35" s="482" t="s">
        <v>45</v>
      </c>
      <c r="B35" s="582"/>
      <c r="C35" s="582"/>
      <c r="D35" s="582"/>
      <c r="E35" s="581" t="s">
        <v>45</v>
      </c>
      <c r="F35" s="580"/>
      <c r="G35" s="580"/>
      <c r="H35" s="580"/>
      <c r="I35" s="480" t="s">
        <v>185</v>
      </c>
      <c r="J35" s="579"/>
      <c r="K35" s="579"/>
      <c r="L35" s="579"/>
      <c r="M35" s="578" t="s">
        <v>185</v>
      </c>
      <c r="N35" s="577"/>
      <c r="O35" s="577"/>
      <c r="P35" s="577"/>
      <c r="R35" s="17" t="s">
        <v>45</v>
      </c>
      <c r="S35" s="39"/>
      <c r="T35" s="584"/>
      <c r="U35" s="584"/>
      <c r="V35" s="583"/>
      <c r="W35" s="583"/>
      <c r="X35" s="583"/>
    </row>
    <row r="36" spans="1:24" s="558" customFormat="1" ht="20.25" customHeight="1">
      <c r="A36" s="482" t="s">
        <v>44</v>
      </c>
      <c r="B36" s="582">
        <f>B17*100/$B$5</f>
        <v>6.8956305510434426</v>
      </c>
      <c r="C36" s="582">
        <f>C17*100/$C$5</f>
        <v>8.355863877736045</v>
      </c>
      <c r="D36" s="582">
        <f>D17*100/$D$5</f>
        <v>5.1107288861477169</v>
      </c>
      <c r="E36" s="581" t="s">
        <v>44</v>
      </c>
      <c r="F36" s="580">
        <v>9.0716951044243146</v>
      </c>
      <c r="G36" s="580">
        <v>11.803689772523732</v>
      </c>
      <c r="H36" s="580">
        <v>5.5529824299888029</v>
      </c>
      <c r="I36" s="480" t="s">
        <v>184</v>
      </c>
      <c r="J36" s="579">
        <v>12.324813174535061</v>
      </c>
      <c r="K36" s="579">
        <v>17.063546139594489</v>
      </c>
      <c r="L36" s="579">
        <v>6.3605043718091663</v>
      </c>
      <c r="M36" s="578" t="s">
        <v>184</v>
      </c>
      <c r="N36" s="577">
        <v>13.725675268958909</v>
      </c>
      <c r="O36" s="577">
        <v>18.301355180785503</v>
      </c>
      <c r="P36" s="577">
        <v>8.1709377445790921</v>
      </c>
      <c r="R36" s="17" t="s">
        <v>44</v>
      </c>
      <c r="S36" s="576">
        <f>S17/S$5*100</f>
        <v>10.335355465341944</v>
      </c>
      <c r="T36" s="576">
        <f>T17/T$5*100</f>
        <v>13.633662847109534</v>
      </c>
      <c r="U36" s="576">
        <f>U17/U$5*100</f>
        <v>6.2206042019033783</v>
      </c>
      <c r="V36" s="575"/>
      <c r="W36" s="575"/>
      <c r="X36" s="575"/>
    </row>
    <row r="37" spans="1:24" s="558" customFormat="1" ht="20.25" customHeight="1">
      <c r="A37" s="482" t="s">
        <v>43</v>
      </c>
      <c r="B37" s="582"/>
      <c r="C37" s="582"/>
      <c r="D37" s="582"/>
      <c r="E37" s="581" t="s">
        <v>43</v>
      </c>
      <c r="F37" s="580"/>
      <c r="G37" s="580"/>
      <c r="H37" s="580"/>
      <c r="I37" s="480" t="s">
        <v>183</v>
      </c>
      <c r="J37" s="579"/>
      <c r="K37" s="579"/>
      <c r="L37" s="579"/>
      <c r="M37" s="578" t="s">
        <v>183</v>
      </c>
      <c r="N37" s="577"/>
      <c r="O37" s="577"/>
      <c r="P37" s="577"/>
      <c r="R37" s="17" t="s">
        <v>43</v>
      </c>
      <c r="S37" s="39"/>
      <c r="T37" s="584"/>
      <c r="U37" s="584"/>
      <c r="V37" s="583"/>
      <c r="W37" s="583"/>
      <c r="X37" s="583"/>
    </row>
    <row r="38" spans="1:24" s="558" customFormat="1" ht="20.25" customHeight="1">
      <c r="A38" s="482" t="s">
        <v>42</v>
      </c>
      <c r="B38" s="582">
        <f>B19*100/$B$5</f>
        <v>8.0240010626243414</v>
      </c>
      <c r="C38" s="582">
        <f>C19*100/$C$5</f>
        <v>7.9217124293053578</v>
      </c>
      <c r="D38" s="582">
        <f>D19*100/$D$5</f>
        <v>8.1490325549026945</v>
      </c>
      <c r="E38" s="581" t="s">
        <v>42</v>
      </c>
      <c r="F38" s="580">
        <v>10.542485226559695</v>
      </c>
      <c r="G38" s="580">
        <v>10.972733159729398</v>
      </c>
      <c r="H38" s="580">
        <v>9.9883410793285741</v>
      </c>
      <c r="I38" s="480" t="s">
        <v>182</v>
      </c>
      <c r="J38" s="579">
        <v>12.248544664038022</v>
      </c>
      <c r="K38" s="579">
        <v>12.911606006396076</v>
      </c>
      <c r="L38" s="579">
        <v>11.40979842732234</v>
      </c>
      <c r="M38" s="578" t="s">
        <v>182</v>
      </c>
      <c r="N38" s="577">
        <v>11.592347159569524</v>
      </c>
      <c r="O38" s="577">
        <v>12.298773110744822</v>
      </c>
      <c r="P38" s="577">
        <v>10.734767343060312</v>
      </c>
      <c r="R38" s="17" t="s">
        <v>42</v>
      </c>
      <c r="S38" s="576">
        <f>S19/S$5*100</f>
        <v>10.520918876217253</v>
      </c>
      <c r="T38" s="576">
        <f>T19/T$5*100</f>
        <v>10.933963482955395</v>
      </c>
      <c r="U38" s="576">
        <f>U19/U$5*100</f>
        <v>10.005628874913441</v>
      </c>
      <c r="V38" s="575"/>
      <c r="W38" s="575"/>
      <c r="X38" s="575"/>
    </row>
    <row r="39" spans="1:24" s="558" customFormat="1" ht="20.25" customHeight="1">
      <c r="A39" s="482" t="s">
        <v>41</v>
      </c>
      <c r="B39" s="582"/>
      <c r="C39" s="582"/>
      <c r="D39" s="582"/>
      <c r="E39" s="581" t="s">
        <v>41</v>
      </c>
      <c r="F39" s="580"/>
      <c r="G39" s="580"/>
      <c r="H39" s="580"/>
      <c r="I39" s="480" t="s">
        <v>181</v>
      </c>
      <c r="J39" s="579"/>
      <c r="K39" s="579"/>
      <c r="L39" s="579"/>
      <c r="M39" s="578" t="s">
        <v>181</v>
      </c>
      <c r="N39" s="577"/>
      <c r="O39" s="577"/>
      <c r="P39" s="577"/>
      <c r="R39" s="17" t="s">
        <v>41</v>
      </c>
      <c r="S39" s="39"/>
      <c r="T39" s="584"/>
      <c r="U39" s="584"/>
      <c r="V39" s="583"/>
      <c r="W39" s="583"/>
      <c r="X39" s="583"/>
    </row>
    <row r="40" spans="1:24" s="558" customFormat="1" ht="20.25" customHeight="1">
      <c r="A40" s="482" t="s">
        <v>40</v>
      </c>
      <c r="B40" s="582">
        <f>B21*100/$B$5-0.03</f>
        <v>13.434236977100891</v>
      </c>
      <c r="C40" s="582">
        <f>C21*100/$C$5</f>
        <v>14.796766394681173</v>
      </c>
      <c r="D40" s="582">
        <f>D21*100/$D$5</f>
        <v>11.83543291374707</v>
      </c>
      <c r="E40" s="581" t="s">
        <v>40</v>
      </c>
      <c r="F40" s="580">
        <v>10.820464016715956</v>
      </c>
      <c r="G40" s="580">
        <v>13.713470838672343</v>
      </c>
      <c r="H40" s="580">
        <v>7.0943733729417211</v>
      </c>
      <c r="I40" s="480" t="s">
        <v>180</v>
      </c>
      <c r="J40" s="579">
        <v>9.6169571940960719</v>
      </c>
      <c r="K40" s="579">
        <v>10.336504309957407</v>
      </c>
      <c r="L40" s="579">
        <v>8.70675869960683</v>
      </c>
      <c r="M40" s="578" t="s">
        <v>180</v>
      </c>
      <c r="N40" s="577">
        <v>14.371782154413847</v>
      </c>
      <c r="O40" s="577">
        <v>16.08077494580089</v>
      </c>
      <c r="P40" s="577">
        <v>12.297116406340869</v>
      </c>
      <c r="R40" s="17" t="s">
        <v>40</v>
      </c>
      <c r="S40" s="576">
        <f>S21/S$5*100</f>
        <v>12.034574973904206</v>
      </c>
      <c r="T40" s="576">
        <f>T21/T$5*100</f>
        <v>13.688679993170286</v>
      </c>
      <c r="U40" s="576">
        <f>U21/U$5*100</f>
        <v>9.9710277173719852</v>
      </c>
      <c r="V40" s="575"/>
      <c r="W40" s="575"/>
      <c r="X40" s="575"/>
    </row>
    <row r="41" spans="1:24" s="558" customFormat="1" ht="20.25" customHeight="1">
      <c r="A41" s="467" t="s">
        <v>39</v>
      </c>
      <c r="B41" s="574">
        <f>B22*100/$B$5+0.03</f>
        <v>6.4802431272618796E-2</v>
      </c>
      <c r="C41" s="574">
        <f>C22*100/$C$5</f>
        <v>6.3274403142943483E-2</v>
      </c>
      <c r="D41" s="574" t="s">
        <v>8</v>
      </c>
      <c r="E41" s="573" t="s">
        <v>39</v>
      </c>
      <c r="F41" s="572" t="s">
        <v>8</v>
      </c>
      <c r="G41" s="572" t="s">
        <v>8</v>
      </c>
      <c r="H41" s="572" t="s">
        <v>8</v>
      </c>
      <c r="I41" s="463" t="s">
        <v>39</v>
      </c>
      <c r="J41" s="571" t="s">
        <v>8</v>
      </c>
      <c r="K41" s="571" t="s">
        <v>8</v>
      </c>
      <c r="L41" s="571" t="s">
        <v>8</v>
      </c>
      <c r="M41" s="570" t="s">
        <v>39</v>
      </c>
      <c r="N41" s="569" t="s">
        <v>8</v>
      </c>
      <c r="O41" s="569" t="s">
        <v>8</v>
      </c>
      <c r="P41" s="569" t="s">
        <v>8</v>
      </c>
      <c r="R41" s="15" t="s">
        <v>39</v>
      </c>
      <c r="S41" s="14" t="s">
        <v>8</v>
      </c>
      <c r="T41" s="16" t="s">
        <v>8</v>
      </c>
      <c r="U41" s="14" t="s">
        <v>8</v>
      </c>
    </row>
    <row r="42" spans="1:24" s="558" customFormat="1" ht="9" customHeight="1">
      <c r="A42" s="568"/>
      <c r="B42" s="567"/>
      <c r="C42" s="567"/>
      <c r="D42" s="567"/>
      <c r="E42" s="566"/>
      <c r="F42" s="565"/>
      <c r="G42" s="565"/>
      <c r="H42" s="565"/>
      <c r="I42" s="564"/>
      <c r="J42" s="563"/>
      <c r="K42" s="563"/>
      <c r="L42" s="563"/>
      <c r="M42" s="562"/>
      <c r="N42" s="561"/>
      <c r="O42" s="561"/>
      <c r="P42" s="561"/>
      <c r="R42" s="560"/>
      <c r="S42" s="559"/>
      <c r="T42" s="559"/>
      <c r="U42" s="559"/>
    </row>
    <row r="43" spans="1:24" ht="6" customHeight="1"/>
    <row r="44" spans="1:24" ht="12.75" customHeight="1"/>
    <row r="45" spans="1:24" ht="12.75" customHeight="1"/>
    <row r="46" spans="1:24" ht="12.75" customHeight="1"/>
    <row r="47" spans="1:24" s="424" customFormat="1" ht="36.6" customHeight="1">
      <c r="A47" s="557"/>
      <c r="B47" s="557">
        <v>4</v>
      </c>
      <c r="C47" s="557"/>
      <c r="D47" s="557"/>
      <c r="E47" s="557"/>
      <c r="F47" s="557">
        <v>3</v>
      </c>
      <c r="G47" s="557"/>
      <c r="H47" s="557"/>
      <c r="I47" s="557"/>
      <c r="J47" s="557">
        <v>2</v>
      </c>
      <c r="K47" s="557"/>
      <c r="L47" s="557"/>
      <c r="M47" s="557"/>
      <c r="N47" s="557">
        <v>1</v>
      </c>
      <c r="O47" s="557"/>
      <c r="P47" s="557"/>
      <c r="Q47" s="557"/>
      <c r="R47" s="557">
        <v>2563</v>
      </c>
      <c r="S47" s="557"/>
      <c r="T47" s="557"/>
      <c r="U47" s="557"/>
    </row>
    <row r="48" spans="1:24" ht="12.75" customHeight="1"/>
    <row r="49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S23:U23"/>
    <mergeCell ref="S4:U4"/>
  </mergeCells>
  <printOptions horizontalCentered="1"/>
  <pageMargins left="0.19685039370078741" right="0" top="0.59055118110236227" bottom="0" header="0.51181102362204722" footer="0.51181102362204722"/>
  <pageSetup paperSize="9" scale="55" firstPageNumber="10" orientation="landscape" useFirstPageNumber="1" horizontalDpi="300" verticalDpi="300" r:id="rId1"/>
  <headerFooter alignWithMargins="0">
    <oddHeader>&amp;C&amp;"TH SarabunPSK,ธรรมดา"&amp;16 18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zoomScale="90" zoomScaleNormal="90" workbookViewId="0">
      <selection activeCell="A3" sqref="A3"/>
    </sheetView>
  </sheetViews>
  <sheetFormatPr defaultRowHeight="14.25" customHeight="1"/>
  <cols>
    <col min="1" max="1" width="59.140625" style="558" customWidth="1"/>
    <col min="2" max="2" width="12" style="12" customWidth="1"/>
    <col min="3" max="3" width="12.5703125" style="12" customWidth="1"/>
    <col min="4" max="4" width="11.85546875" style="28" customWidth="1"/>
    <col min="5" max="5" width="36" style="12" hidden="1" customWidth="1"/>
    <col min="6" max="7" width="11.85546875" style="12" customWidth="1"/>
    <col min="8" max="8" width="11.85546875" style="28" customWidth="1"/>
    <col min="9" max="9" width="59.28515625" style="12" hidden="1" customWidth="1"/>
    <col min="10" max="10" width="12" style="12" customWidth="1"/>
    <col min="11" max="11" width="12.5703125" style="12" customWidth="1"/>
    <col min="12" max="12" width="11.85546875" style="28" customWidth="1"/>
    <col min="13" max="13" width="78.28515625" style="12" hidden="1" customWidth="1"/>
    <col min="14" max="14" width="12" style="12" customWidth="1"/>
    <col min="15" max="15" width="12.5703125" style="12" customWidth="1"/>
    <col min="16" max="16" width="11.85546875" style="28" customWidth="1"/>
    <col min="17" max="17" width="80.7109375" style="12" hidden="1" customWidth="1"/>
    <col min="18" max="18" width="12.85546875" style="12" customWidth="1"/>
    <col min="19" max="19" width="11" style="12" customWidth="1"/>
    <col min="20" max="20" width="11.28515625" style="12" customWidth="1"/>
    <col min="21" max="21" width="12.140625" style="12" customWidth="1"/>
    <col min="22" max="16384" width="9.140625" style="12"/>
  </cols>
  <sheetData>
    <row r="1" spans="1:22" s="34" customFormat="1" ht="30.75" customHeight="1">
      <c r="A1" s="825" t="s">
        <v>196</v>
      </c>
      <c r="B1" s="821"/>
      <c r="C1" s="821"/>
      <c r="D1" s="821"/>
      <c r="E1" s="555" t="s">
        <v>196</v>
      </c>
      <c r="F1" s="477"/>
      <c r="G1" s="477"/>
      <c r="H1" s="477"/>
      <c r="I1" s="554" t="s">
        <v>82</v>
      </c>
      <c r="J1" s="824"/>
      <c r="K1" s="824"/>
      <c r="L1" s="824"/>
      <c r="M1" s="553" t="s">
        <v>82</v>
      </c>
      <c r="N1" s="823"/>
      <c r="O1" s="823"/>
      <c r="P1" s="823"/>
      <c r="Q1" s="34" t="s">
        <v>82</v>
      </c>
    </row>
    <row r="2" spans="1:22" s="364" customFormat="1" ht="20.25" customHeight="1">
      <c r="A2" s="822" t="s">
        <v>174</v>
      </c>
      <c r="B2" s="821"/>
      <c r="C2" s="820"/>
      <c r="D2" s="820"/>
      <c r="E2" s="555"/>
      <c r="F2" s="550" t="s">
        <v>173</v>
      </c>
      <c r="G2" s="819"/>
      <c r="H2" s="819"/>
      <c r="I2" s="554"/>
      <c r="J2" s="548" t="s">
        <v>172</v>
      </c>
      <c r="K2" s="818"/>
      <c r="L2" s="818"/>
      <c r="N2" s="546" t="s">
        <v>171</v>
      </c>
      <c r="O2" s="817"/>
      <c r="P2" s="817"/>
      <c r="R2" s="264" t="s">
        <v>170</v>
      </c>
      <c r="T2" s="264"/>
      <c r="U2" s="358"/>
      <c r="V2" s="358"/>
    </row>
    <row r="3" spans="1:22" s="18" customFormat="1" ht="23.25" customHeight="1">
      <c r="A3" s="816" t="s">
        <v>4</v>
      </c>
      <c r="B3" s="815" t="s">
        <v>0</v>
      </c>
      <c r="C3" s="815" t="s">
        <v>1</v>
      </c>
      <c r="D3" s="814" t="s">
        <v>2</v>
      </c>
      <c r="E3" s="813" t="s">
        <v>4</v>
      </c>
      <c r="F3" s="812" t="s">
        <v>0</v>
      </c>
      <c r="G3" s="812" t="s">
        <v>1</v>
      </c>
      <c r="H3" s="811" t="s">
        <v>2</v>
      </c>
      <c r="I3" s="810" t="s">
        <v>4</v>
      </c>
      <c r="J3" s="809" t="s">
        <v>0</v>
      </c>
      <c r="K3" s="809" t="s">
        <v>1</v>
      </c>
      <c r="L3" s="808" t="s">
        <v>2</v>
      </c>
      <c r="M3" s="807" t="s">
        <v>4</v>
      </c>
      <c r="N3" s="806" t="s">
        <v>0</v>
      </c>
      <c r="O3" s="806" t="s">
        <v>1</v>
      </c>
      <c r="P3" s="805" t="s">
        <v>2</v>
      </c>
      <c r="Q3" s="804" t="s">
        <v>4</v>
      </c>
      <c r="R3" s="803" t="s">
        <v>0</v>
      </c>
      <c r="S3" s="803" t="s">
        <v>1</v>
      </c>
      <c r="T3" s="803" t="s">
        <v>2</v>
      </c>
    </row>
    <row r="4" spans="1:22" s="645" customFormat="1" ht="21.75" customHeight="1">
      <c r="A4" s="802"/>
      <c r="B4" s="801" t="s">
        <v>21</v>
      </c>
      <c r="C4" s="801"/>
      <c r="D4" s="801"/>
      <c r="E4" s="612"/>
      <c r="F4" s="651" t="s">
        <v>21</v>
      </c>
      <c r="G4" s="651"/>
      <c r="H4" s="651"/>
      <c r="I4" s="610"/>
      <c r="J4" s="650" t="s">
        <v>21</v>
      </c>
      <c r="K4" s="650"/>
      <c r="L4" s="650"/>
      <c r="M4" s="800"/>
      <c r="N4" s="799" t="s">
        <v>21</v>
      </c>
      <c r="O4" s="799"/>
      <c r="P4" s="799"/>
      <c r="Q4" s="798"/>
      <c r="R4" s="591" t="s">
        <v>21</v>
      </c>
      <c r="U4" s="768"/>
      <c r="V4" s="797"/>
    </row>
    <row r="5" spans="1:22" s="645" customFormat="1" ht="20.25" customHeight="1">
      <c r="A5" s="796" t="s">
        <v>37</v>
      </c>
      <c r="B5" s="779">
        <v>1347607</v>
      </c>
      <c r="C5" s="779">
        <v>741216</v>
      </c>
      <c r="D5" s="795">
        <v>606391</v>
      </c>
      <c r="E5" s="793" t="s">
        <v>37</v>
      </c>
      <c r="F5" s="793">
        <v>1289307</v>
      </c>
      <c r="G5" s="793">
        <v>725790</v>
      </c>
      <c r="H5" s="793">
        <v>563517</v>
      </c>
      <c r="I5" s="792" t="s">
        <v>37</v>
      </c>
      <c r="J5" s="792">
        <v>1235110</v>
      </c>
      <c r="K5" s="792">
        <v>689798</v>
      </c>
      <c r="L5" s="792">
        <v>545312</v>
      </c>
      <c r="M5" s="791" t="s">
        <v>37</v>
      </c>
      <c r="N5" s="791">
        <v>1123034</v>
      </c>
      <c r="O5" s="791">
        <v>615785</v>
      </c>
      <c r="P5" s="791">
        <v>507249</v>
      </c>
      <c r="Q5" s="790" t="s">
        <v>37</v>
      </c>
      <c r="R5" s="769">
        <f>(N5+J5+F5+B5)/4</f>
        <v>1248764.5</v>
      </c>
      <c r="S5" s="769">
        <f>(O5+K5+G5+C5)/4+0.3</f>
        <v>693147.55</v>
      </c>
      <c r="T5" s="769">
        <f>(P5+L5+H5+D5)/4</f>
        <v>555617.25</v>
      </c>
      <c r="U5" s="768"/>
    </row>
    <row r="6" spans="1:22" s="645" customFormat="1" ht="8.25" customHeight="1">
      <c r="A6" s="794"/>
      <c r="B6" s="779"/>
      <c r="C6" s="779"/>
      <c r="D6" s="779"/>
      <c r="E6" s="793"/>
      <c r="F6" s="793"/>
      <c r="G6" s="793"/>
      <c r="H6" s="793"/>
      <c r="I6" s="792"/>
      <c r="J6" s="792"/>
      <c r="K6" s="792"/>
      <c r="L6" s="792"/>
      <c r="M6" s="791"/>
      <c r="N6" s="791"/>
      <c r="O6" s="791"/>
      <c r="P6" s="791"/>
      <c r="Q6" s="790"/>
      <c r="R6" s="790"/>
      <c r="S6" s="790"/>
      <c r="T6" s="790"/>
      <c r="U6" s="768"/>
    </row>
    <row r="7" spans="1:22" s="495" customFormat="1" ht="16.5" customHeight="1">
      <c r="A7" s="789" t="s">
        <v>80</v>
      </c>
      <c r="B7" s="779">
        <v>616547</v>
      </c>
      <c r="C7" s="779">
        <v>378539</v>
      </c>
      <c r="D7" s="779">
        <v>238008</v>
      </c>
      <c r="E7" s="788" t="s">
        <v>80</v>
      </c>
      <c r="F7" s="775">
        <v>539118</v>
      </c>
      <c r="G7" s="775">
        <v>325620</v>
      </c>
      <c r="H7" s="776">
        <v>213498</v>
      </c>
      <c r="I7" s="787" t="s">
        <v>81</v>
      </c>
      <c r="J7" s="773">
        <v>498779</v>
      </c>
      <c r="K7" s="773">
        <v>293560</v>
      </c>
      <c r="L7" s="774">
        <v>205219</v>
      </c>
      <c r="M7" s="786" t="s">
        <v>81</v>
      </c>
      <c r="N7" s="771">
        <v>333938</v>
      </c>
      <c r="O7" s="771">
        <v>206443</v>
      </c>
      <c r="P7" s="771">
        <v>127495</v>
      </c>
      <c r="Q7" s="785" t="s">
        <v>80</v>
      </c>
      <c r="R7" s="769">
        <f t="shared" ref="R7:T8" si="0">(N7+J7+F7+B7)/4</f>
        <v>497095.5</v>
      </c>
      <c r="S7" s="769">
        <f t="shared" si="0"/>
        <v>301040.5</v>
      </c>
      <c r="T7" s="769">
        <f t="shared" si="0"/>
        <v>196055</v>
      </c>
      <c r="U7" s="768"/>
    </row>
    <row r="8" spans="1:22" s="495" customFormat="1" ht="16.5" customHeight="1">
      <c r="A8" s="789" t="s">
        <v>77</v>
      </c>
      <c r="B8" s="779">
        <v>491</v>
      </c>
      <c r="C8" s="779">
        <v>491</v>
      </c>
      <c r="D8" s="779">
        <v>0</v>
      </c>
      <c r="E8" s="788" t="s">
        <v>77</v>
      </c>
      <c r="F8" s="775">
        <v>1093</v>
      </c>
      <c r="G8" s="775">
        <v>1093</v>
      </c>
      <c r="H8" s="775">
        <v>0</v>
      </c>
      <c r="I8" s="787" t="s">
        <v>77</v>
      </c>
      <c r="J8" s="773">
        <v>0</v>
      </c>
      <c r="K8" s="773">
        <v>0</v>
      </c>
      <c r="L8" s="773">
        <v>0</v>
      </c>
      <c r="M8" s="786" t="s">
        <v>77</v>
      </c>
      <c r="N8" s="771">
        <v>0</v>
      </c>
      <c r="O8" s="771">
        <v>0</v>
      </c>
      <c r="P8" s="781">
        <v>0</v>
      </c>
      <c r="Q8" s="785" t="s">
        <v>77</v>
      </c>
      <c r="R8" s="769">
        <f t="shared" si="0"/>
        <v>396</v>
      </c>
      <c r="S8" s="769">
        <f t="shared" si="0"/>
        <v>396</v>
      </c>
      <c r="T8" s="769">
        <f t="shared" si="0"/>
        <v>0</v>
      </c>
      <c r="U8" s="768"/>
    </row>
    <row r="9" spans="1:22" s="495" customFormat="1" ht="16.5" customHeight="1">
      <c r="A9" s="789" t="s">
        <v>76</v>
      </c>
      <c r="B9" s="779">
        <v>173347</v>
      </c>
      <c r="C9" s="779">
        <v>83677</v>
      </c>
      <c r="D9" s="779">
        <v>89670</v>
      </c>
      <c r="E9" s="788" t="s">
        <v>76</v>
      </c>
      <c r="F9" s="775">
        <v>199054</v>
      </c>
      <c r="G9" s="775">
        <v>98434</v>
      </c>
      <c r="H9" s="775">
        <v>100620</v>
      </c>
      <c r="I9" s="787" t="s">
        <v>76</v>
      </c>
      <c r="J9" s="773">
        <v>226117</v>
      </c>
      <c r="K9" s="773">
        <v>116132</v>
      </c>
      <c r="L9" s="773">
        <v>109985</v>
      </c>
      <c r="M9" s="786" t="s">
        <v>76</v>
      </c>
      <c r="N9" s="771">
        <v>241990</v>
      </c>
      <c r="O9" s="771">
        <v>125707</v>
      </c>
      <c r="P9" s="771">
        <v>116283</v>
      </c>
      <c r="Q9" s="785" t="s">
        <v>76</v>
      </c>
      <c r="R9" s="769">
        <f>(N9+J9+F9+B9)/4</f>
        <v>210127</v>
      </c>
      <c r="S9" s="769">
        <f>(O9+K9+G9+C9)/4</f>
        <v>105987.5</v>
      </c>
      <c r="T9" s="769">
        <f>(P9+L9+H9+D9)/4-0.1</f>
        <v>104139.4</v>
      </c>
      <c r="U9" s="768"/>
    </row>
    <row r="10" spans="1:22" s="495" customFormat="1" ht="16.5" customHeight="1">
      <c r="A10" s="789" t="s">
        <v>75</v>
      </c>
      <c r="B10" s="779">
        <v>4946</v>
      </c>
      <c r="C10" s="779">
        <v>1669</v>
      </c>
      <c r="D10" s="779">
        <v>3277</v>
      </c>
      <c r="E10" s="788" t="s">
        <v>75</v>
      </c>
      <c r="F10" s="775">
        <v>3068</v>
      </c>
      <c r="G10" s="775">
        <v>3068</v>
      </c>
      <c r="H10" s="775">
        <v>0</v>
      </c>
      <c r="I10" s="787" t="s">
        <v>75</v>
      </c>
      <c r="J10" s="773">
        <v>3178</v>
      </c>
      <c r="K10" s="773">
        <v>3178</v>
      </c>
      <c r="L10" s="773">
        <v>0</v>
      </c>
      <c r="M10" s="786" t="s">
        <v>75</v>
      </c>
      <c r="N10" s="771">
        <v>1469</v>
      </c>
      <c r="O10" s="771">
        <v>1061</v>
      </c>
      <c r="P10" s="772">
        <v>408</v>
      </c>
      <c r="Q10" s="785" t="s">
        <v>75</v>
      </c>
      <c r="R10" s="769">
        <f>(N10+J10+F10+B10)/4</f>
        <v>3165.25</v>
      </c>
      <c r="S10" s="769">
        <f>(O10+K10+G10+C10)/4</f>
        <v>2244</v>
      </c>
      <c r="T10" s="769">
        <f>(P10+L10+H10+D10)/4</f>
        <v>921.25</v>
      </c>
      <c r="U10" s="768"/>
    </row>
    <row r="11" spans="1:22" s="495" customFormat="1" ht="16.5" customHeight="1">
      <c r="A11" s="789" t="s">
        <v>74</v>
      </c>
      <c r="B11" s="779">
        <v>1335</v>
      </c>
      <c r="C11" s="779">
        <v>820</v>
      </c>
      <c r="D11" s="779">
        <v>515</v>
      </c>
      <c r="E11" s="788" t="s">
        <v>74</v>
      </c>
      <c r="F11" s="775">
        <v>740</v>
      </c>
      <c r="G11" s="775">
        <v>383</v>
      </c>
      <c r="H11" s="775">
        <v>357</v>
      </c>
      <c r="I11" s="787" t="s">
        <v>74</v>
      </c>
      <c r="J11" s="773">
        <v>3419</v>
      </c>
      <c r="K11" s="773">
        <v>1722</v>
      </c>
      <c r="L11" s="773">
        <v>1697</v>
      </c>
      <c r="M11" s="786" t="s">
        <v>74</v>
      </c>
      <c r="N11" s="771">
        <v>2184</v>
      </c>
      <c r="O11" s="771">
        <v>1281</v>
      </c>
      <c r="P11" s="771">
        <v>903</v>
      </c>
      <c r="Q11" s="785" t="s">
        <v>74</v>
      </c>
      <c r="R11" s="769">
        <f>(N11+J11+F11+B11)/4-0.1</f>
        <v>1919.4</v>
      </c>
      <c r="S11" s="769">
        <f>(O11+K11+G11+C11)/4-0.1</f>
        <v>1051.4000000000001</v>
      </c>
      <c r="T11" s="769">
        <f>(P11+L11+H11+D11)/4</f>
        <v>868</v>
      </c>
      <c r="U11" s="768"/>
    </row>
    <row r="12" spans="1:22" s="495" customFormat="1" ht="16.5" customHeight="1">
      <c r="A12" s="789" t="s">
        <v>73</v>
      </c>
      <c r="B12" s="779">
        <v>64318</v>
      </c>
      <c r="C12" s="779">
        <v>60501</v>
      </c>
      <c r="D12" s="779">
        <v>3817</v>
      </c>
      <c r="E12" s="788" t="s">
        <v>73</v>
      </c>
      <c r="F12" s="775">
        <v>95856</v>
      </c>
      <c r="G12" s="775">
        <v>86536</v>
      </c>
      <c r="H12" s="775">
        <v>9320</v>
      </c>
      <c r="I12" s="787" t="s">
        <v>73</v>
      </c>
      <c r="J12" s="773">
        <v>99663</v>
      </c>
      <c r="K12" s="773">
        <v>85116</v>
      </c>
      <c r="L12" s="773">
        <v>14547</v>
      </c>
      <c r="M12" s="786" t="s">
        <v>73</v>
      </c>
      <c r="N12" s="771">
        <v>94711</v>
      </c>
      <c r="O12" s="771">
        <v>84001</v>
      </c>
      <c r="P12" s="771">
        <v>10710</v>
      </c>
      <c r="Q12" s="785" t="s">
        <v>73</v>
      </c>
      <c r="R12" s="769">
        <f>(N12+J12+F12+B12)/4</f>
        <v>88637</v>
      </c>
      <c r="S12" s="769">
        <f>(O12+K12+G12+C12)/4</f>
        <v>79038.5</v>
      </c>
      <c r="T12" s="769">
        <f>(P12+L12+H12+D12)/4-0.1</f>
        <v>9598.4</v>
      </c>
      <c r="U12" s="768"/>
    </row>
    <row r="13" spans="1:22" s="495" customFormat="1" ht="16.5" customHeight="1">
      <c r="A13" s="789" t="s">
        <v>72</v>
      </c>
      <c r="B13" s="777">
        <v>186871</v>
      </c>
      <c r="C13" s="777">
        <v>86212</v>
      </c>
      <c r="D13" s="777">
        <v>100659</v>
      </c>
      <c r="E13" s="788" t="s">
        <v>72</v>
      </c>
      <c r="F13" s="775">
        <v>176530</v>
      </c>
      <c r="G13" s="775">
        <v>82815</v>
      </c>
      <c r="H13" s="776">
        <v>93715</v>
      </c>
      <c r="I13" s="787" t="s">
        <v>72</v>
      </c>
      <c r="J13" s="773">
        <v>166892</v>
      </c>
      <c r="K13" s="773">
        <v>81305</v>
      </c>
      <c r="L13" s="774">
        <v>85587</v>
      </c>
      <c r="M13" s="786" t="s">
        <v>72</v>
      </c>
      <c r="N13" s="771">
        <v>184921</v>
      </c>
      <c r="O13" s="771">
        <v>87256</v>
      </c>
      <c r="P13" s="771">
        <v>97665</v>
      </c>
      <c r="Q13" s="785" t="s">
        <v>72</v>
      </c>
      <c r="R13" s="769">
        <f>(N13+J13+F13+B13)/4-0.1</f>
        <v>178803.4</v>
      </c>
      <c r="S13" s="769">
        <f t="shared" ref="S13:S26" si="1">(O13+K13+G13+C13)/4</f>
        <v>84397</v>
      </c>
      <c r="T13" s="769">
        <f>(P13+L13+H13+D13)/4-0.1</f>
        <v>94406.399999999994</v>
      </c>
      <c r="U13" s="768"/>
    </row>
    <row r="14" spans="1:22" s="495" customFormat="1" ht="16.5" customHeight="1">
      <c r="A14" s="789" t="s">
        <v>71</v>
      </c>
      <c r="B14" s="777">
        <v>24635</v>
      </c>
      <c r="C14" s="777">
        <v>20350</v>
      </c>
      <c r="D14" s="777">
        <v>4285</v>
      </c>
      <c r="E14" s="788" t="s">
        <v>71</v>
      </c>
      <c r="F14" s="775">
        <v>12653</v>
      </c>
      <c r="G14" s="775">
        <v>11898</v>
      </c>
      <c r="H14" s="775">
        <v>755</v>
      </c>
      <c r="I14" s="787" t="s">
        <v>71</v>
      </c>
      <c r="J14" s="773">
        <v>15359</v>
      </c>
      <c r="K14" s="773">
        <v>13166</v>
      </c>
      <c r="L14" s="773">
        <v>2193</v>
      </c>
      <c r="M14" s="786" t="s">
        <v>71</v>
      </c>
      <c r="N14" s="771">
        <v>28660</v>
      </c>
      <c r="O14" s="771">
        <v>26522</v>
      </c>
      <c r="P14" s="771">
        <v>2138</v>
      </c>
      <c r="Q14" s="785" t="s">
        <v>71</v>
      </c>
      <c r="R14" s="769">
        <f t="shared" ref="R14:R23" si="2">(N14+J14+F14+B14)/4</f>
        <v>20326.75</v>
      </c>
      <c r="S14" s="769">
        <f t="shared" si="1"/>
        <v>17984</v>
      </c>
      <c r="T14" s="769">
        <f t="shared" ref="T14:T26" si="3">(P14+L14+H14+D14)/4</f>
        <v>2342.75</v>
      </c>
      <c r="U14" s="768"/>
    </row>
    <row r="15" spans="1:22" s="701" customFormat="1" ht="16.5" customHeight="1">
      <c r="A15" s="784" t="s">
        <v>69</v>
      </c>
      <c r="B15" s="777">
        <v>97535</v>
      </c>
      <c r="C15" s="777">
        <v>34709</v>
      </c>
      <c r="D15" s="777">
        <v>62826</v>
      </c>
      <c r="E15" s="783" t="s">
        <v>69</v>
      </c>
      <c r="F15" s="775">
        <v>74928</v>
      </c>
      <c r="G15" s="775">
        <v>28486</v>
      </c>
      <c r="H15" s="775">
        <v>46442</v>
      </c>
      <c r="I15" s="782" t="s">
        <v>70</v>
      </c>
      <c r="J15" s="773">
        <v>69884</v>
      </c>
      <c r="K15" s="773">
        <v>21208</v>
      </c>
      <c r="L15" s="773">
        <v>48676</v>
      </c>
      <c r="M15" s="781" t="s">
        <v>70</v>
      </c>
      <c r="N15" s="771">
        <v>73734</v>
      </c>
      <c r="O15" s="771">
        <v>19669</v>
      </c>
      <c r="P15" s="771">
        <v>54065</v>
      </c>
      <c r="Q15" s="780" t="s">
        <v>69</v>
      </c>
      <c r="R15" s="769">
        <f t="shared" si="2"/>
        <v>79020.25</v>
      </c>
      <c r="S15" s="769">
        <f t="shared" si="1"/>
        <v>26018</v>
      </c>
      <c r="T15" s="769">
        <f t="shared" si="3"/>
        <v>53002.25</v>
      </c>
      <c r="U15" s="768"/>
    </row>
    <row r="16" spans="1:22" s="495" customFormat="1" ht="16.5" customHeight="1">
      <c r="A16" s="778" t="s">
        <v>68</v>
      </c>
      <c r="B16" s="777">
        <v>0</v>
      </c>
      <c r="C16" s="777">
        <v>0</v>
      </c>
      <c r="D16" s="777">
        <v>0</v>
      </c>
      <c r="E16" s="776" t="s">
        <v>68</v>
      </c>
      <c r="F16" s="775">
        <v>1106</v>
      </c>
      <c r="G16" s="775">
        <v>811</v>
      </c>
      <c r="H16" s="775">
        <v>295</v>
      </c>
      <c r="I16" s="774" t="s">
        <v>68</v>
      </c>
      <c r="J16" s="773">
        <v>1379</v>
      </c>
      <c r="K16" s="773">
        <v>1379</v>
      </c>
      <c r="L16" s="773">
        <v>0</v>
      </c>
      <c r="M16" s="772" t="s">
        <v>68</v>
      </c>
      <c r="N16" s="771">
        <v>1058</v>
      </c>
      <c r="O16" s="771">
        <v>276</v>
      </c>
      <c r="P16" s="771">
        <v>782</v>
      </c>
      <c r="Q16" s="770" t="s">
        <v>68</v>
      </c>
      <c r="R16" s="769">
        <f t="shared" si="2"/>
        <v>885.75</v>
      </c>
      <c r="S16" s="769">
        <f t="shared" si="1"/>
        <v>616.5</v>
      </c>
      <c r="T16" s="769">
        <f t="shared" si="3"/>
        <v>269.25</v>
      </c>
      <c r="U16" s="768"/>
    </row>
    <row r="17" spans="1:22" s="495" customFormat="1" ht="16.5" customHeight="1">
      <c r="A17" s="778" t="s">
        <v>67</v>
      </c>
      <c r="B17" s="777">
        <v>6587</v>
      </c>
      <c r="C17" s="777">
        <v>2577</v>
      </c>
      <c r="D17" s="777">
        <v>4010</v>
      </c>
      <c r="E17" s="776" t="s">
        <v>67</v>
      </c>
      <c r="F17" s="775">
        <v>10628</v>
      </c>
      <c r="G17" s="775">
        <v>4034</v>
      </c>
      <c r="H17" s="776">
        <v>6594</v>
      </c>
      <c r="I17" s="774" t="s">
        <v>67</v>
      </c>
      <c r="J17" s="773">
        <v>6011</v>
      </c>
      <c r="K17" s="773">
        <v>1758</v>
      </c>
      <c r="L17" s="774">
        <v>4253</v>
      </c>
      <c r="M17" s="772" t="s">
        <v>67</v>
      </c>
      <c r="N17" s="771">
        <v>8956</v>
      </c>
      <c r="O17" s="771">
        <v>2245</v>
      </c>
      <c r="P17" s="771">
        <v>6711</v>
      </c>
      <c r="Q17" s="770" t="s">
        <v>67</v>
      </c>
      <c r="R17" s="769">
        <f t="shared" si="2"/>
        <v>8045.5</v>
      </c>
      <c r="S17" s="769">
        <f t="shared" si="1"/>
        <v>2653.5</v>
      </c>
      <c r="T17" s="769">
        <f t="shared" si="3"/>
        <v>5392</v>
      </c>
      <c r="U17" s="768"/>
    </row>
    <row r="18" spans="1:22" s="495" customFormat="1" ht="16.5" customHeight="1">
      <c r="A18" s="778" t="s">
        <v>66</v>
      </c>
      <c r="B18" s="777">
        <v>10251</v>
      </c>
      <c r="C18" s="777">
        <v>4908</v>
      </c>
      <c r="D18" s="777">
        <v>5343</v>
      </c>
      <c r="E18" s="776" t="s">
        <v>66</v>
      </c>
      <c r="F18" s="775">
        <v>9078</v>
      </c>
      <c r="G18" s="775">
        <v>3158</v>
      </c>
      <c r="H18" s="775">
        <v>5920</v>
      </c>
      <c r="I18" s="774" t="s">
        <v>66</v>
      </c>
      <c r="J18" s="773">
        <v>6824</v>
      </c>
      <c r="K18" s="773">
        <v>1839</v>
      </c>
      <c r="L18" s="773">
        <v>4985</v>
      </c>
      <c r="M18" s="772" t="s">
        <v>66</v>
      </c>
      <c r="N18" s="771">
        <v>6473</v>
      </c>
      <c r="O18" s="771">
        <v>2102</v>
      </c>
      <c r="P18" s="771">
        <v>4371</v>
      </c>
      <c r="Q18" s="770" t="s">
        <v>66</v>
      </c>
      <c r="R18" s="769">
        <f t="shared" si="2"/>
        <v>8156.5</v>
      </c>
      <c r="S18" s="769">
        <f t="shared" si="1"/>
        <v>3001.75</v>
      </c>
      <c r="T18" s="769">
        <f t="shared" si="3"/>
        <v>5154.75</v>
      </c>
      <c r="U18" s="768"/>
    </row>
    <row r="19" spans="1:22" s="495" customFormat="1" ht="16.5" customHeight="1">
      <c r="A19" s="765" t="s">
        <v>65</v>
      </c>
      <c r="B19" s="777">
        <v>8856</v>
      </c>
      <c r="C19" s="777">
        <v>4046</v>
      </c>
      <c r="D19" s="779">
        <v>4810</v>
      </c>
      <c r="E19" s="775" t="s">
        <v>65</v>
      </c>
      <c r="F19" s="775">
        <v>5664</v>
      </c>
      <c r="G19" s="775">
        <v>2389</v>
      </c>
      <c r="H19" s="775">
        <v>3275</v>
      </c>
      <c r="I19" s="773" t="s">
        <v>65</v>
      </c>
      <c r="J19" s="773">
        <v>2704</v>
      </c>
      <c r="K19" s="773">
        <v>0</v>
      </c>
      <c r="L19" s="773">
        <v>2704</v>
      </c>
      <c r="M19" s="771" t="s">
        <v>65</v>
      </c>
      <c r="N19" s="771">
        <v>7748</v>
      </c>
      <c r="O19" s="771">
        <v>1506</v>
      </c>
      <c r="P19" s="771">
        <v>6242</v>
      </c>
      <c r="Q19" s="769" t="s">
        <v>65</v>
      </c>
      <c r="R19" s="769">
        <f t="shared" si="2"/>
        <v>6243</v>
      </c>
      <c r="S19" s="769">
        <f t="shared" si="1"/>
        <v>1985.25</v>
      </c>
      <c r="T19" s="769">
        <f t="shared" si="3"/>
        <v>4257.75</v>
      </c>
      <c r="U19" s="768"/>
    </row>
    <row r="20" spans="1:22" s="495" customFormat="1" ht="16.5" customHeight="1">
      <c r="A20" s="765" t="s">
        <v>64</v>
      </c>
      <c r="B20" s="777">
        <v>11439</v>
      </c>
      <c r="C20" s="777">
        <v>8110</v>
      </c>
      <c r="D20" s="777">
        <v>3329</v>
      </c>
      <c r="E20" s="775" t="s">
        <v>64</v>
      </c>
      <c r="F20" s="775">
        <v>9409</v>
      </c>
      <c r="G20" s="775">
        <v>4287</v>
      </c>
      <c r="H20" s="775">
        <v>5122</v>
      </c>
      <c r="I20" s="773" t="s">
        <v>64</v>
      </c>
      <c r="J20" s="773">
        <v>5249</v>
      </c>
      <c r="K20" s="773">
        <v>3303</v>
      </c>
      <c r="L20" s="773">
        <v>1946</v>
      </c>
      <c r="M20" s="771" t="s">
        <v>64</v>
      </c>
      <c r="N20" s="771">
        <v>7363</v>
      </c>
      <c r="O20" s="771">
        <v>5945</v>
      </c>
      <c r="P20" s="771">
        <v>1418</v>
      </c>
      <c r="Q20" s="769" t="s">
        <v>64</v>
      </c>
      <c r="R20" s="769">
        <f t="shared" si="2"/>
        <v>8365</v>
      </c>
      <c r="S20" s="769">
        <f t="shared" si="1"/>
        <v>5411.25</v>
      </c>
      <c r="T20" s="769">
        <f t="shared" si="3"/>
        <v>2953.75</v>
      </c>
      <c r="U20" s="768"/>
    </row>
    <row r="21" spans="1:22" s="495" customFormat="1" ht="16.5" customHeight="1">
      <c r="A21" s="765" t="s">
        <v>63</v>
      </c>
      <c r="B21" s="777">
        <v>45679</v>
      </c>
      <c r="C21" s="777">
        <v>24869</v>
      </c>
      <c r="D21" s="777">
        <v>20810</v>
      </c>
      <c r="E21" s="775" t="s">
        <v>63</v>
      </c>
      <c r="F21" s="775">
        <v>54279</v>
      </c>
      <c r="G21" s="775">
        <v>36427</v>
      </c>
      <c r="H21" s="775">
        <v>17852</v>
      </c>
      <c r="I21" s="773" t="s">
        <v>63</v>
      </c>
      <c r="J21" s="773">
        <v>50853</v>
      </c>
      <c r="K21" s="773">
        <v>35276</v>
      </c>
      <c r="L21" s="773">
        <v>15577</v>
      </c>
      <c r="M21" s="771" t="s">
        <v>63</v>
      </c>
      <c r="N21" s="771">
        <v>41341</v>
      </c>
      <c r="O21" s="771">
        <v>26212</v>
      </c>
      <c r="P21" s="771">
        <v>15129</v>
      </c>
      <c r="Q21" s="769" t="s">
        <v>63</v>
      </c>
      <c r="R21" s="769">
        <f t="shared" si="2"/>
        <v>48038</v>
      </c>
      <c r="S21" s="769">
        <f t="shared" si="1"/>
        <v>30696</v>
      </c>
      <c r="T21" s="769">
        <f t="shared" si="3"/>
        <v>17342</v>
      </c>
      <c r="U21" s="768"/>
    </row>
    <row r="22" spans="1:22" s="495" customFormat="1" ht="16.5" customHeight="1">
      <c r="A22" s="765" t="s">
        <v>62</v>
      </c>
      <c r="B22" s="777">
        <v>44235</v>
      </c>
      <c r="C22" s="777">
        <v>13464</v>
      </c>
      <c r="D22" s="777">
        <v>30771</v>
      </c>
      <c r="E22" s="775" t="s">
        <v>62</v>
      </c>
      <c r="F22" s="775">
        <v>43327</v>
      </c>
      <c r="G22" s="775">
        <v>9803</v>
      </c>
      <c r="H22" s="775">
        <v>33524</v>
      </c>
      <c r="I22" s="773" t="s">
        <v>62</v>
      </c>
      <c r="J22" s="773">
        <v>30343</v>
      </c>
      <c r="K22" s="773">
        <v>9925</v>
      </c>
      <c r="L22" s="773">
        <v>20418</v>
      </c>
      <c r="M22" s="771" t="s">
        <v>62</v>
      </c>
      <c r="N22" s="771">
        <v>40329</v>
      </c>
      <c r="O22" s="771">
        <v>10576</v>
      </c>
      <c r="P22" s="771">
        <v>29753</v>
      </c>
      <c r="Q22" s="769" t="s">
        <v>62</v>
      </c>
      <c r="R22" s="769">
        <f t="shared" si="2"/>
        <v>39558.5</v>
      </c>
      <c r="S22" s="769">
        <f t="shared" si="1"/>
        <v>10942</v>
      </c>
      <c r="T22" s="769">
        <f t="shared" si="3"/>
        <v>28616.5</v>
      </c>
      <c r="U22" s="768"/>
    </row>
    <row r="23" spans="1:22" s="495" customFormat="1" ht="16.5" customHeight="1">
      <c r="A23" s="765" t="s">
        <v>61</v>
      </c>
      <c r="B23" s="777">
        <v>13764</v>
      </c>
      <c r="C23" s="777">
        <v>2044</v>
      </c>
      <c r="D23" s="777">
        <v>11720</v>
      </c>
      <c r="E23" s="775" t="s">
        <v>61</v>
      </c>
      <c r="F23" s="775">
        <v>14462</v>
      </c>
      <c r="G23" s="775">
        <v>3921</v>
      </c>
      <c r="H23" s="775">
        <v>10541</v>
      </c>
      <c r="I23" s="773" t="s">
        <v>61</v>
      </c>
      <c r="J23" s="773">
        <v>12350</v>
      </c>
      <c r="K23" s="773">
        <v>3061</v>
      </c>
      <c r="L23" s="773">
        <v>9289</v>
      </c>
      <c r="M23" s="771" t="s">
        <v>61</v>
      </c>
      <c r="N23" s="771">
        <v>14331</v>
      </c>
      <c r="O23" s="771">
        <v>3787</v>
      </c>
      <c r="P23" s="771">
        <v>10544</v>
      </c>
      <c r="Q23" s="769" t="s">
        <v>61</v>
      </c>
      <c r="R23" s="769">
        <f t="shared" si="2"/>
        <v>13726.75</v>
      </c>
      <c r="S23" s="769">
        <f t="shared" si="1"/>
        <v>3203.25</v>
      </c>
      <c r="T23" s="769">
        <f t="shared" si="3"/>
        <v>10523.5</v>
      </c>
      <c r="U23" s="768"/>
    </row>
    <row r="24" spans="1:22" s="495" customFormat="1" ht="21" customHeight="1">
      <c r="A24" s="765" t="s">
        <v>60</v>
      </c>
      <c r="B24" s="777">
        <v>12524</v>
      </c>
      <c r="C24" s="777">
        <v>5958</v>
      </c>
      <c r="D24" s="777">
        <v>6566</v>
      </c>
      <c r="E24" s="775" t="s">
        <v>60</v>
      </c>
      <c r="F24" s="775">
        <v>8445</v>
      </c>
      <c r="G24" s="775">
        <v>4547</v>
      </c>
      <c r="H24" s="776">
        <v>3898</v>
      </c>
      <c r="I24" s="773" t="s">
        <v>60</v>
      </c>
      <c r="J24" s="773">
        <v>14012</v>
      </c>
      <c r="K24" s="773">
        <v>6177</v>
      </c>
      <c r="L24" s="774">
        <v>7835</v>
      </c>
      <c r="M24" s="771" t="s">
        <v>60</v>
      </c>
      <c r="N24" s="771">
        <v>13813</v>
      </c>
      <c r="O24" s="771">
        <v>4687</v>
      </c>
      <c r="P24" s="771">
        <v>9126</v>
      </c>
      <c r="Q24" s="769" t="s">
        <v>60</v>
      </c>
      <c r="R24" s="769">
        <f>(N24+J24+F24+B24)/4-0.1</f>
        <v>12198.4</v>
      </c>
      <c r="S24" s="769">
        <f t="shared" si="1"/>
        <v>5342.25</v>
      </c>
      <c r="T24" s="769">
        <f t="shared" si="3"/>
        <v>6856.25</v>
      </c>
      <c r="U24" s="768"/>
    </row>
    <row r="25" spans="1:22" s="495" customFormat="1" ht="16.5" customHeight="1">
      <c r="A25" s="765" t="s">
        <v>59</v>
      </c>
      <c r="B25" s="777">
        <v>17183</v>
      </c>
      <c r="C25" s="777">
        <v>7503</v>
      </c>
      <c r="D25" s="777">
        <v>9680</v>
      </c>
      <c r="E25" s="775" t="s">
        <v>59</v>
      </c>
      <c r="F25" s="775">
        <v>22727</v>
      </c>
      <c r="G25" s="775">
        <v>15811</v>
      </c>
      <c r="H25" s="775">
        <v>6916</v>
      </c>
      <c r="I25" s="773" t="s">
        <v>59</v>
      </c>
      <c r="J25" s="773">
        <v>14666</v>
      </c>
      <c r="K25" s="773">
        <v>10740</v>
      </c>
      <c r="L25" s="773">
        <v>3926</v>
      </c>
      <c r="M25" s="771" t="s">
        <v>59</v>
      </c>
      <c r="N25" s="771">
        <v>9751</v>
      </c>
      <c r="O25" s="771">
        <v>3179</v>
      </c>
      <c r="P25" s="771">
        <v>6572</v>
      </c>
      <c r="Q25" s="769" t="s">
        <v>59</v>
      </c>
      <c r="R25" s="769">
        <f>(N25+J25+F25+B25)/4</f>
        <v>16081.75</v>
      </c>
      <c r="S25" s="769">
        <f t="shared" si="1"/>
        <v>9308.25</v>
      </c>
      <c r="T25" s="769">
        <f t="shared" si="3"/>
        <v>6773.5</v>
      </c>
      <c r="U25" s="768"/>
    </row>
    <row r="26" spans="1:22" s="495" customFormat="1" ht="16.5" customHeight="1">
      <c r="A26" s="778" t="s">
        <v>58</v>
      </c>
      <c r="B26" s="777">
        <v>6595</v>
      </c>
      <c r="C26" s="777">
        <v>300</v>
      </c>
      <c r="D26" s="777">
        <v>6295</v>
      </c>
      <c r="E26" s="776" t="s">
        <v>58</v>
      </c>
      <c r="F26" s="775">
        <v>7142</v>
      </c>
      <c r="G26" s="775">
        <v>2269</v>
      </c>
      <c r="H26" s="775">
        <v>4873</v>
      </c>
      <c r="I26" s="774" t="s">
        <v>58</v>
      </c>
      <c r="J26" s="773">
        <v>7428</v>
      </c>
      <c r="K26" s="773">
        <v>953</v>
      </c>
      <c r="L26" s="773">
        <v>6475</v>
      </c>
      <c r="M26" s="772" t="s">
        <v>58</v>
      </c>
      <c r="N26" s="771">
        <v>10264</v>
      </c>
      <c r="O26" s="771">
        <v>3330</v>
      </c>
      <c r="P26" s="771">
        <v>6934</v>
      </c>
      <c r="Q26" s="770" t="s">
        <v>58</v>
      </c>
      <c r="R26" s="769">
        <f>(N26+J26+F26+B26)/4</f>
        <v>7857.25</v>
      </c>
      <c r="S26" s="769">
        <f t="shared" si="1"/>
        <v>1713</v>
      </c>
      <c r="T26" s="769">
        <f t="shared" si="3"/>
        <v>6144.25</v>
      </c>
      <c r="U26" s="768"/>
    </row>
    <row r="27" spans="1:22" s="495" customFormat="1" ht="16.5" customHeight="1">
      <c r="A27" s="765" t="s">
        <v>57</v>
      </c>
      <c r="B27" s="767" t="s">
        <v>8</v>
      </c>
      <c r="C27" s="767" t="s">
        <v>8</v>
      </c>
      <c r="D27" s="766" t="s">
        <v>8</v>
      </c>
      <c r="E27" s="672" t="s">
        <v>57</v>
      </c>
      <c r="F27" s="762" t="s">
        <v>8</v>
      </c>
      <c r="G27" s="762" t="s">
        <v>8</v>
      </c>
      <c r="H27" s="761" t="s">
        <v>8</v>
      </c>
      <c r="I27" s="670" t="s">
        <v>57</v>
      </c>
      <c r="J27" s="760" t="s">
        <v>8</v>
      </c>
      <c r="K27" s="760" t="s">
        <v>7</v>
      </c>
      <c r="L27" s="759" t="s">
        <v>8</v>
      </c>
      <c r="M27" s="758" t="s">
        <v>57</v>
      </c>
      <c r="N27" s="757" t="s">
        <v>8</v>
      </c>
      <c r="O27" s="757" t="s">
        <v>8</v>
      </c>
      <c r="P27" s="757" t="s">
        <v>8</v>
      </c>
      <c r="Q27" s="756" t="s">
        <v>57</v>
      </c>
      <c r="R27" s="420"/>
      <c r="S27" s="420"/>
      <c r="T27" s="420"/>
    </row>
    <row r="28" spans="1:22" s="645" customFormat="1" ht="21.75" customHeight="1">
      <c r="A28" s="765" t="s">
        <v>56</v>
      </c>
      <c r="B28" s="764">
        <v>469</v>
      </c>
      <c r="C28" s="764">
        <v>469</v>
      </c>
      <c r="D28" s="763" t="s">
        <v>8</v>
      </c>
      <c r="E28" s="672" t="s">
        <v>56</v>
      </c>
      <c r="F28" s="762" t="s">
        <v>8</v>
      </c>
      <c r="G28" s="762" t="s">
        <v>8</v>
      </c>
      <c r="H28" s="761" t="s">
        <v>8</v>
      </c>
      <c r="I28" s="670" t="s">
        <v>56</v>
      </c>
      <c r="J28" s="760" t="s">
        <v>8</v>
      </c>
      <c r="K28" s="760" t="s">
        <v>7</v>
      </c>
      <c r="L28" s="759" t="s">
        <v>8</v>
      </c>
      <c r="M28" s="758" t="s">
        <v>56</v>
      </c>
      <c r="N28" s="757" t="s">
        <v>8</v>
      </c>
      <c r="O28" s="757" t="s">
        <v>8</v>
      </c>
      <c r="P28" s="757" t="s">
        <v>8</v>
      </c>
      <c r="Q28" s="756" t="s">
        <v>56</v>
      </c>
      <c r="R28" s="755">
        <f>B28/4</f>
        <v>117.25</v>
      </c>
      <c r="S28" s="755">
        <f>C28/4</f>
        <v>117.25</v>
      </c>
      <c r="T28" s="667"/>
    </row>
    <row r="29" spans="1:22" s="645" customFormat="1" ht="19.5" customHeight="1">
      <c r="A29" s="754"/>
      <c r="B29" s="753"/>
      <c r="C29" s="753" t="s">
        <v>20</v>
      </c>
      <c r="D29" s="753"/>
      <c r="E29" s="752"/>
      <c r="F29" s="751"/>
      <c r="G29" s="751" t="s">
        <v>20</v>
      </c>
      <c r="H29" s="751"/>
      <c r="I29" s="750"/>
      <c r="J29" s="749"/>
      <c r="K29" s="749" t="s">
        <v>20</v>
      </c>
      <c r="L29" s="749"/>
      <c r="M29" s="748"/>
      <c r="N29" s="747"/>
      <c r="O29" s="747" t="s">
        <v>20</v>
      </c>
      <c r="P29" s="747"/>
      <c r="Q29" s="746"/>
      <c r="R29" s="667"/>
      <c r="S29" s="667"/>
      <c r="T29" s="667"/>
    </row>
    <row r="30" spans="1:22" s="495" customFormat="1" ht="18" customHeight="1">
      <c r="A30" s="745" t="s">
        <v>37</v>
      </c>
      <c r="B30" s="744">
        <v>100</v>
      </c>
      <c r="C30" s="744">
        <v>100</v>
      </c>
      <c r="D30" s="744">
        <v>100</v>
      </c>
      <c r="E30" s="743" t="s">
        <v>37</v>
      </c>
      <c r="F30" s="742">
        <v>100</v>
      </c>
      <c r="G30" s="742">
        <v>100</v>
      </c>
      <c r="H30" s="742">
        <v>100</v>
      </c>
      <c r="I30" s="741" t="s">
        <v>37</v>
      </c>
      <c r="J30" s="740">
        <v>100</v>
      </c>
      <c r="K30" s="740">
        <v>100</v>
      </c>
      <c r="L30" s="740">
        <v>100</v>
      </c>
      <c r="M30" s="739" t="s">
        <v>37</v>
      </c>
      <c r="N30" s="738">
        <v>100</v>
      </c>
      <c r="O30" s="738">
        <v>100</v>
      </c>
      <c r="P30" s="738">
        <v>100</v>
      </c>
      <c r="Q30" s="737" t="s">
        <v>37</v>
      </c>
      <c r="R30" s="736">
        <v>100</v>
      </c>
      <c r="S30" s="736">
        <v>100</v>
      </c>
      <c r="T30" s="736">
        <v>100</v>
      </c>
      <c r="U30" s="735"/>
      <c r="V30" s="735"/>
    </row>
    <row r="31" spans="1:22" s="495" customFormat="1" ht="16.5" customHeight="1">
      <c r="A31" s="733" t="s">
        <v>78</v>
      </c>
      <c r="B31" s="718">
        <v>45.721246468740517</v>
      </c>
      <c r="C31" s="718">
        <v>51.069998488969475</v>
      </c>
      <c r="D31" s="718">
        <v>39.279922904528597</v>
      </c>
      <c r="E31" s="732" t="s">
        <v>78</v>
      </c>
      <c r="F31" s="716">
        <v>41.814556191814674</v>
      </c>
      <c r="G31" s="716">
        <v>44.864216922250236</v>
      </c>
      <c r="H31" s="716">
        <v>37.886700844872472</v>
      </c>
      <c r="I31" s="731" t="s">
        <v>79</v>
      </c>
      <c r="J31" s="714">
        <v>40.38336666369797</v>
      </c>
      <c r="K31" s="714">
        <v>42.557386365283747</v>
      </c>
      <c r="L31" s="714">
        <v>37.633318173816093</v>
      </c>
      <c r="M31" s="730" t="s">
        <v>79</v>
      </c>
      <c r="N31" s="712">
        <v>29.735341939780987</v>
      </c>
      <c r="O31" s="712">
        <v>33.525175182896625</v>
      </c>
      <c r="P31" s="712">
        <v>25.134598589647293</v>
      </c>
      <c r="Q31" s="729" t="s">
        <v>78</v>
      </c>
      <c r="R31" s="710">
        <f t="shared" ref="R31:R52" si="4">R7*100/$R$5</f>
        <v>39.806985224195593</v>
      </c>
      <c r="S31" s="710">
        <f>S7*100/$S$5</f>
        <v>43.430940497445313</v>
      </c>
      <c r="T31" s="710">
        <f>T7*100/$T$5+0.01</f>
        <v>35.295981491755342</v>
      </c>
      <c r="U31" s="458"/>
      <c r="V31" s="458"/>
    </row>
    <row r="32" spans="1:22" s="495" customFormat="1" ht="16.5" customHeight="1">
      <c r="A32" s="733" t="s">
        <v>77</v>
      </c>
      <c r="B32" s="734">
        <v>6.6434954701185128E-2</v>
      </c>
      <c r="C32" s="734">
        <v>6.624249881276173E-2</v>
      </c>
      <c r="D32" s="734" t="s">
        <v>8</v>
      </c>
      <c r="E32" s="732" t="s">
        <v>77</v>
      </c>
      <c r="F32" s="716">
        <v>8.4774223672096721E-2</v>
      </c>
      <c r="G32" s="716">
        <v>0.15059452458700176</v>
      </c>
      <c r="H32" s="716" t="s">
        <v>8</v>
      </c>
      <c r="I32" s="731" t="s">
        <v>77</v>
      </c>
      <c r="J32" s="714">
        <v>0</v>
      </c>
      <c r="K32" s="714">
        <v>0</v>
      </c>
      <c r="L32" s="714">
        <v>0</v>
      </c>
      <c r="M32" s="730" t="s">
        <v>77</v>
      </c>
      <c r="N32" s="712">
        <v>0</v>
      </c>
      <c r="O32" s="712">
        <v>0</v>
      </c>
      <c r="P32" s="712">
        <v>0</v>
      </c>
      <c r="Q32" s="729" t="s">
        <v>77</v>
      </c>
      <c r="R32" s="710">
        <f t="shared" si="4"/>
        <v>3.17113434919074E-2</v>
      </c>
      <c r="S32" s="710">
        <f>S8*100/$S$5</f>
        <v>5.7130693169152799E-2</v>
      </c>
      <c r="T32" s="710">
        <f t="shared" ref="T32:T39" si="5">T8*100/$T$5</f>
        <v>0</v>
      </c>
      <c r="U32" s="458"/>
      <c r="V32" s="458"/>
    </row>
    <row r="33" spans="1:22" s="495" customFormat="1" ht="16.5" customHeight="1">
      <c r="A33" s="733" t="s">
        <v>76</v>
      </c>
      <c r="B33" s="718">
        <v>12.863319944167699</v>
      </c>
      <c r="C33" s="718">
        <v>11.289151880153693</v>
      </c>
      <c r="D33" s="718">
        <v>14.78748860058939</v>
      </c>
      <c r="E33" s="732" t="s">
        <v>76</v>
      </c>
      <c r="F33" s="716">
        <v>15.438836522255755</v>
      </c>
      <c r="G33" s="716">
        <v>13.562325190482095</v>
      </c>
      <c r="H33" s="716">
        <v>17.85571686391005</v>
      </c>
      <c r="I33" s="731" t="s">
        <v>76</v>
      </c>
      <c r="J33" s="714">
        <v>18.307438203884676</v>
      </c>
      <c r="K33" s="714">
        <v>16.835653336194074</v>
      </c>
      <c r="L33" s="714">
        <v>20.169187547679126</v>
      </c>
      <c r="M33" s="730" t="s">
        <v>76</v>
      </c>
      <c r="N33" s="712">
        <v>21.547878336719993</v>
      </c>
      <c r="O33" s="712">
        <v>20.414105572561851</v>
      </c>
      <c r="P33" s="712">
        <v>22.924244306050873</v>
      </c>
      <c r="Q33" s="729" t="s">
        <v>76</v>
      </c>
      <c r="R33" s="710">
        <f t="shared" si="4"/>
        <v>16.82679160081825</v>
      </c>
      <c r="S33" s="710">
        <f>S9*100/$S$5</f>
        <v>15.290755914812076</v>
      </c>
      <c r="T33" s="710">
        <f t="shared" si="5"/>
        <v>18.743010588674128</v>
      </c>
      <c r="U33" s="458"/>
      <c r="V33" s="458"/>
    </row>
    <row r="34" spans="1:22" s="495" customFormat="1" ht="16.5" customHeight="1">
      <c r="A34" s="733" t="s">
        <v>75</v>
      </c>
      <c r="B34" s="718">
        <v>0.36702094898586901</v>
      </c>
      <c r="C34" s="718">
        <v>0.22517053058757502</v>
      </c>
      <c r="D34" s="718">
        <v>0.54041039527301693</v>
      </c>
      <c r="E34" s="732" t="s">
        <v>75</v>
      </c>
      <c r="F34" s="716">
        <v>0.23795729023421108</v>
      </c>
      <c r="G34" s="716">
        <v>0.42271180368977251</v>
      </c>
      <c r="H34" s="716" t="s">
        <v>8</v>
      </c>
      <c r="I34" s="731" t="s">
        <v>75</v>
      </c>
      <c r="J34" s="714">
        <v>0.25730501736687422</v>
      </c>
      <c r="K34" s="714">
        <v>0.46071458600923748</v>
      </c>
      <c r="L34" s="714" t="s">
        <v>7</v>
      </c>
      <c r="M34" s="730" t="s">
        <v>75</v>
      </c>
      <c r="N34" s="712">
        <v>0.13080636917493149</v>
      </c>
      <c r="O34" s="712">
        <v>0.17230039705416664</v>
      </c>
      <c r="P34" s="712">
        <v>8.0433869756273549E-2</v>
      </c>
      <c r="Q34" s="729" t="s">
        <v>75</v>
      </c>
      <c r="R34" s="710">
        <f t="shared" si="4"/>
        <v>0.25347053027212096</v>
      </c>
      <c r="S34" s="710">
        <f>S10*100/$S$5</f>
        <v>0.32374059462519916</v>
      </c>
      <c r="T34" s="710">
        <f t="shared" si="5"/>
        <v>0.16580658717849384</v>
      </c>
      <c r="U34" s="458"/>
      <c r="V34" s="458"/>
    </row>
    <row r="35" spans="1:22" s="495" customFormat="1" ht="16.5" customHeight="1">
      <c r="A35" s="733" t="s">
        <v>74</v>
      </c>
      <c r="B35" s="718">
        <v>9.9064489869821096E-2</v>
      </c>
      <c r="C35" s="718">
        <v>0.11062902042049821</v>
      </c>
      <c r="D35" s="718">
        <v>8.4928701118585206E-2</v>
      </c>
      <c r="E35" s="732" t="s">
        <v>74</v>
      </c>
      <c r="F35" s="716">
        <v>5.7395174306817537E-2</v>
      </c>
      <c r="G35" s="716">
        <v>5.2770085010815801E-2</v>
      </c>
      <c r="H35" s="716">
        <v>6.3352126022817409E-2</v>
      </c>
      <c r="I35" s="731" t="s">
        <v>74</v>
      </c>
      <c r="J35" s="714">
        <v>0.27681744945794301</v>
      </c>
      <c r="K35" s="714">
        <v>0.24963829990808903</v>
      </c>
      <c r="L35" s="714">
        <v>0.31119799307552376</v>
      </c>
      <c r="M35" s="730" t="s">
        <v>74</v>
      </c>
      <c r="N35" s="712">
        <v>0.19447318602998662</v>
      </c>
      <c r="O35" s="712">
        <v>0.20802715233401267</v>
      </c>
      <c r="P35" s="712">
        <v>0.17801907938704659</v>
      </c>
      <c r="Q35" s="729" t="s">
        <v>74</v>
      </c>
      <c r="R35" s="710">
        <f t="shared" si="4"/>
        <v>0.15370392095547239</v>
      </c>
      <c r="S35" s="710">
        <f>S11*100/$S$5-0.03</f>
        <v>0.12168487575264458</v>
      </c>
      <c r="T35" s="710">
        <f t="shared" si="5"/>
        <v>0.15622265147455375</v>
      </c>
      <c r="U35" s="458"/>
      <c r="V35" s="458"/>
    </row>
    <row r="36" spans="1:22" s="495" customFormat="1" ht="16.5" customHeight="1">
      <c r="A36" s="733" t="s">
        <v>73</v>
      </c>
      <c r="B36" s="718">
        <v>4.7727564490240848</v>
      </c>
      <c r="C36" s="718">
        <v>8.1623980054397105</v>
      </c>
      <c r="D36" s="718">
        <v>0.62946184887308687</v>
      </c>
      <c r="E36" s="732" t="s">
        <v>73</v>
      </c>
      <c r="F36" s="716">
        <v>7.4346916599382462</v>
      </c>
      <c r="G36" s="716">
        <v>11.923008032626518</v>
      </c>
      <c r="H36" s="716">
        <v>1.6238986401475022</v>
      </c>
      <c r="I36" s="731" t="s">
        <v>73</v>
      </c>
      <c r="J36" s="714">
        <v>8.0691598319178048</v>
      </c>
      <c r="K36" s="714">
        <v>12.339264538314115</v>
      </c>
      <c r="L36" s="714">
        <v>2.6676471451205916</v>
      </c>
      <c r="M36" s="730" t="s">
        <v>73</v>
      </c>
      <c r="N36" s="712">
        <v>8.4334935540687095</v>
      </c>
      <c r="O36" s="712">
        <v>13.641287137556128</v>
      </c>
      <c r="P36" s="712">
        <v>2.1113890811021805</v>
      </c>
      <c r="Q36" s="729" t="s">
        <v>73</v>
      </c>
      <c r="R36" s="710">
        <f t="shared" si="4"/>
        <v>7.0979756391217075</v>
      </c>
      <c r="S36" s="710">
        <f t="shared" ref="S36:S52" si="6">S12*100/$S$5</f>
        <v>11.402839121338594</v>
      </c>
      <c r="T36" s="710">
        <f t="shared" si="5"/>
        <v>1.7275201588863556</v>
      </c>
      <c r="U36" s="458"/>
      <c r="V36" s="458"/>
    </row>
    <row r="37" spans="1:22" s="495" customFormat="1" ht="16.5" customHeight="1">
      <c r="A37" s="733" t="s">
        <v>72</v>
      </c>
      <c r="B37" s="718">
        <v>13.866876619073661</v>
      </c>
      <c r="C37" s="718">
        <v>11.631157449380478</v>
      </c>
      <c r="D37" s="718">
        <v>16.599685681350813</v>
      </c>
      <c r="E37" s="732" t="s">
        <v>72</v>
      </c>
      <c r="F37" s="716">
        <v>13.691851514030406</v>
      </c>
      <c r="G37" s="716">
        <v>11.410325300706816</v>
      </c>
      <c r="H37" s="716">
        <v>16.630376723328666</v>
      </c>
      <c r="I37" s="731" t="s">
        <v>72</v>
      </c>
      <c r="J37" s="714">
        <v>13.512318740840897</v>
      </c>
      <c r="K37" s="714">
        <v>11.786783957042497</v>
      </c>
      <c r="L37" s="714">
        <v>15.695051640161962</v>
      </c>
      <c r="M37" s="730" t="s">
        <v>72</v>
      </c>
      <c r="N37" s="712">
        <v>16.466197817697417</v>
      </c>
      <c r="O37" s="712">
        <v>14.169880721355668</v>
      </c>
      <c r="P37" s="712">
        <v>19.223857572907978</v>
      </c>
      <c r="Q37" s="729" t="s">
        <v>72</v>
      </c>
      <c r="R37" s="710">
        <f t="shared" si="4"/>
        <v>14.318424330608373</v>
      </c>
      <c r="S37" s="710">
        <f t="shared" si="6"/>
        <v>12.175906846962093</v>
      </c>
      <c r="T37" s="710">
        <f t="shared" si="5"/>
        <v>16.991265120008425</v>
      </c>
      <c r="U37" s="458"/>
      <c r="V37" s="458"/>
    </row>
    <row r="38" spans="1:22" s="701" customFormat="1" ht="16.5" customHeight="1">
      <c r="A38" s="728" t="s">
        <v>71</v>
      </c>
      <c r="B38" s="718">
        <v>1.8280552119423541</v>
      </c>
      <c r="C38" s="718">
        <v>2.7454884945818763</v>
      </c>
      <c r="D38" s="718">
        <v>0.70663977532648081</v>
      </c>
      <c r="E38" s="727" t="s">
        <v>71</v>
      </c>
      <c r="F38" s="716">
        <v>0.98137991960021931</v>
      </c>
      <c r="G38" s="716">
        <v>1.6393171578555781</v>
      </c>
      <c r="H38" s="716">
        <v>0.13397998640679873</v>
      </c>
      <c r="I38" s="726" t="s">
        <v>71</v>
      </c>
      <c r="J38" s="714">
        <v>1.2435329646752111</v>
      </c>
      <c r="K38" s="714">
        <v>1.9086747134668409</v>
      </c>
      <c r="L38" s="714">
        <v>0.40215509653189369</v>
      </c>
      <c r="M38" s="725" t="s">
        <v>71</v>
      </c>
      <c r="N38" s="712">
        <v>2.5220153441480848</v>
      </c>
      <c r="O38" s="712">
        <v>4.3070227433276225</v>
      </c>
      <c r="P38" s="712">
        <v>0.42148924886988443</v>
      </c>
      <c r="Q38" s="724" t="s">
        <v>71</v>
      </c>
      <c r="R38" s="710">
        <f t="shared" si="4"/>
        <v>1.6277488669801232</v>
      </c>
      <c r="S38" s="710">
        <f t="shared" si="6"/>
        <v>2.5945413786718281</v>
      </c>
      <c r="T38" s="710">
        <f t="shared" si="5"/>
        <v>0.42164817597005855</v>
      </c>
      <c r="U38" s="458"/>
      <c r="V38" s="458"/>
    </row>
    <row r="39" spans="1:22" s="495" customFormat="1" ht="16.5" customHeight="1">
      <c r="A39" s="709" t="s">
        <v>69</v>
      </c>
      <c r="B39" s="718">
        <v>7.2376442093280904</v>
      </c>
      <c r="C39" s="718">
        <v>4.68271057289643</v>
      </c>
      <c r="D39" s="718">
        <v>10.360641896070357</v>
      </c>
      <c r="E39" s="717" t="s">
        <v>69</v>
      </c>
      <c r="F39" s="716">
        <v>5.8114940817043577</v>
      </c>
      <c r="G39" s="716">
        <v>3.9248267405172297</v>
      </c>
      <c r="H39" s="716">
        <v>8.241455004906685</v>
      </c>
      <c r="I39" s="715" t="s">
        <v>70</v>
      </c>
      <c r="J39" s="714">
        <v>5.6581195197188912</v>
      </c>
      <c r="K39" s="714">
        <v>3.0745232662315636</v>
      </c>
      <c r="L39" s="714">
        <v>8.92626606419811</v>
      </c>
      <c r="M39" s="713" t="s">
        <v>70</v>
      </c>
      <c r="N39" s="712">
        <v>6.5656070964904005</v>
      </c>
      <c r="O39" s="712">
        <v>3.1941343163604179</v>
      </c>
      <c r="P39" s="712">
        <v>10.658473451894434</v>
      </c>
      <c r="Q39" s="711" t="s">
        <v>69</v>
      </c>
      <c r="R39" s="710">
        <f t="shared" si="4"/>
        <v>6.3278744711272621</v>
      </c>
      <c r="S39" s="710">
        <f t="shared" si="6"/>
        <v>3.7536019567550949</v>
      </c>
      <c r="T39" s="710">
        <f t="shared" si="5"/>
        <v>9.5393456556649383</v>
      </c>
      <c r="U39" s="458"/>
      <c r="V39" s="458"/>
    </row>
    <row r="40" spans="1:22" s="495" customFormat="1" ht="16.5" customHeight="1">
      <c r="A40" s="709" t="s">
        <v>68</v>
      </c>
      <c r="B40" s="718" t="s">
        <v>8</v>
      </c>
      <c r="C40" s="718" t="s">
        <v>8</v>
      </c>
      <c r="D40" s="718" t="s">
        <v>8</v>
      </c>
      <c r="E40" s="717" t="s">
        <v>68</v>
      </c>
      <c r="F40" s="716">
        <v>8.5782517274784045E-2</v>
      </c>
      <c r="G40" s="716">
        <v>0.11174031055815042</v>
      </c>
      <c r="H40" s="716">
        <v>5.2349796013252486E-2</v>
      </c>
      <c r="I40" s="715" t="s">
        <v>68</v>
      </c>
      <c r="J40" s="714">
        <v>0.11164997449619872</v>
      </c>
      <c r="K40" s="714">
        <v>0.19991359789387617</v>
      </c>
      <c r="L40" s="714" t="s">
        <v>7</v>
      </c>
      <c r="M40" s="713" t="s">
        <v>68</v>
      </c>
      <c r="N40" s="712">
        <v>9.4209080045662016E-2</v>
      </c>
      <c r="O40" s="712">
        <v>7.4820838441988682E-2</v>
      </c>
      <c r="P40" s="712">
        <v>0.12416491703285762</v>
      </c>
      <c r="Q40" s="711" t="s">
        <v>68</v>
      </c>
      <c r="R40" s="710">
        <f t="shared" si="4"/>
        <v>7.0930107318073185E-2</v>
      </c>
      <c r="S40" s="710">
        <f t="shared" si="6"/>
        <v>8.8942101865612883E-2</v>
      </c>
      <c r="T40" s="710">
        <f>T16*100/$T$5+0.03</f>
        <v>7.8459618559358985E-2</v>
      </c>
      <c r="U40" s="458"/>
      <c r="V40" s="458"/>
    </row>
    <row r="41" spans="1:22" s="495" customFormat="1" ht="16.5" customHeight="1">
      <c r="A41" s="709" t="s">
        <v>67</v>
      </c>
      <c r="B41" s="718">
        <v>0.48879235563484014</v>
      </c>
      <c r="C41" s="718">
        <v>0.34767193368734622</v>
      </c>
      <c r="D41" s="718">
        <v>0.66128949803014891</v>
      </c>
      <c r="E41" s="717" t="s">
        <v>67</v>
      </c>
      <c r="F41" s="716">
        <v>0.82431880072007679</v>
      </c>
      <c r="G41" s="716">
        <v>0.55580815387371008</v>
      </c>
      <c r="H41" s="716">
        <v>1.1701510335979217</v>
      </c>
      <c r="I41" s="715" t="s">
        <v>67</v>
      </c>
      <c r="J41" s="714">
        <v>0.48667729999757109</v>
      </c>
      <c r="K41" s="714">
        <v>0.25485721906993064</v>
      </c>
      <c r="L41" s="714">
        <v>0.77992048588697849</v>
      </c>
      <c r="M41" s="713" t="s">
        <v>67</v>
      </c>
      <c r="N41" s="712">
        <v>0.79748253392150192</v>
      </c>
      <c r="O41" s="712">
        <v>0.36457529819661083</v>
      </c>
      <c r="P41" s="712">
        <v>1.3230188723881171</v>
      </c>
      <c r="Q41" s="711" t="s">
        <v>67</v>
      </c>
      <c r="R41" s="710">
        <f t="shared" si="4"/>
        <v>0.6442768031922752</v>
      </c>
      <c r="S41" s="710">
        <f t="shared" si="6"/>
        <v>0.38281892506148218</v>
      </c>
      <c r="T41" s="710">
        <f t="shared" ref="T41:T52" si="7">T17*100/$T$5</f>
        <v>0.97045223127971636</v>
      </c>
      <c r="U41" s="458"/>
      <c r="V41" s="458"/>
    </row>
    <row r="42" spans="1:22" s="495" customFormat="1" ht="16.5" customHeight="1">
      <c r="A42" s="723" t="s">
        <v>66</v>
      </c>
      <c r="B42" s="718">
        <v>0.76068171210152513</v>
      </c>
      <c r="C42" s="718">
        <v>0.6621551612485429</v>
      </c>
      <c r="D42" s="718">
        <v>0.88111466034291408</v>
      </c>
      <c r="E42" s="722" t="s">
        <v>66</v>
      </c>
      <c r="F42" s="716">
        <v>0.70409917886120221</v>
      </c>
      <c r="G42" s="716">
        <v>0.43511208476281016</v>
      </c>
      <c r="H42" s="716">
        <v>1.0205450589778124</v>
      </c>
      <c r="I42" s="721" t="s">
        <v>66</v>
      </c>
      <c r="J42" s="714">
        <v>0.52250139663673678</v>
      </c>
      <c r="K42" s="714">
        <v>0.26659978718407418</v>
      </c>
      <c r="L42" s="714">
        <v>0.91415556598791148</v>
      </c>
      <c r="M42" s="720" t="s">
        <v>66</v>
      </c>
      <c r="N42" s="712">
        <v>0.57638504266121948</v>
      </c>
      <c r="O42" s="712">
        <v>0.3413529072647109</v>
      </c>
      <c r="P42" s="712">
        <v>0.86170697231537174</v>
      </c>
      <c r="Q42" s="719" t="s">
        <v>66</v>
      </c>
      <c r="R42" s="710">
        <f t="shared" si="4"/>
        <v>0.65316558886803722</v>
      </c>
      <c r="S42" s="710">
        <f t="shared" si="6"/>
        <v>0.43306075308208186</v>
      </c>
      <c r="T42" s="710">
        <f t="shared" si="7"/>
        <v>0.92775197314338242</v>
      </c>
      <c r="U42" s="458"/>
      <c r="V42" s="458"/>
    </row>
    <row r="43" spans="1:22" s="495" customFormat="1" ht="16.5" customHeight="1">
      <c r="A43" s="723" t="s">
        <v>65</v>
      </c>
      <c r="B43" s="718">
        <v>0.62716488560834127</v>
      </c>
      <c r="C43" s="718">
        <v>0.54585977636748262</v>
      </c>
      <c r="D43" s="718">
        <v>0.79321757743765986</v>
      </c>
      <c r="E43" s="722" t="s">
        <v>65</v>
      </c>
      <c r="F43" s="716">
        <v>0.43930576658623588</v>
      </c>
      <c r="G43" s="716">
        <v>0.32915857203874399</v>
      </c>
      <c r="H43" s="716">
        <v>0.58117146421492161</v>
      </c>
      <c r="I43" s="721" t="s">
        <v>65</v>
      </c>
      <c r="J43" s="714">
        <v>0.21892786877282186</v>
      </c>
      <c r="K43" s="714" t="s">
        <v>7</v>
      </c>
      <c r="L43" s="714">
        <v>0.49586291884279093</v>
      </c>
      <c r="M43" s="720" t="s">
        <v>65</v>
      </c>
      <c r="N43" s="712">
        <v>0.68991677901114301</v>
      </c>
      <c r="O43" s="712">
        <v>0.24456587932476431</v>
      </c>
      <c r="P43" s="712">
        <v>1.23055935053593</v>
      </c>
      <c r="Q43" s="719" t="s">
        <v>65</v>
      </c>
      <c r="R43" s="710">
        <f t="shared" si="4"/>
        <v>0.49993413489893412</v>
      </c>
      <c r="S43" s="710">
        <f t="shared" si="6"/>
        <v>0.28641088033853684</v>
      </c>
      <c r="T43" s="710">
        <f t="shared" si="7"/>
        <v>0.76630990128546228</v>
      </c>
      <c r="U43" s="458"/>
      <c r="V43" s="458"/>
    </row>
    <row r="44" spans="1:22" s="495" customFormat="1" ht="16.5" customHeight="1">
      <c r="A44" s="723" t="s">
        <v>64</v>
      </c>
      <c r="B44" s="718">
        <v>0.84883797724410748</v>
      </c>
      <c r="C44" s="718">
        <v>1.0941479946466348</v>
      </c>
      <c r="D44" s="718">
        <v>0.54898572043450511</v>
      </c>
      <c r="E44" s="722" t="s">
        <v>64</v>
      </c>
      <c r="F44" s="716">
        <v>0.7297718852065489</v>
      </c>
      <c r="G44" s="716">
        <v>0.59066672177902702</v>
      </c>
      <c r="H44" s="716">
        <v>0.90893442433857363</v>
      </c>
      <c r="I44" s="721" t="s">
        <v>64</v>
      </c>
      <c r="J44" s="714">
        <v>0.42498239023244894</v>
      </c>
      <c r="K44" s="714">
        <v>0.47883583309896521</v>
      </c>
      <c r="L44" s="714">
        <v>0.35685992606067718</v>
      </c>
      <c r="M44" s="720" t="s">
        <v>64</v>
      </c>
      <c r="N44" s="712">
        <v>0.65563464685842099</v>
      </c>
      <c r="O44" s="712">
        <v>0.965434364266749</v>
      </c>
      <c r="P44" s="712">
        <v>0.27954712577057816</v>
      </c>
      <c r="Q44" s="719" t="s">
        <v>64</v>
      </c>
      <c r="R44" s="710">
        <f t="shared" si="4"/>
        <v>0.66986209169142785</v>
      </c>
      <c r="S44" s="710">
        <f t="shared" si="6"/>
        <v>0.78067793790802542</v>
      </c>
      <c r="T44" s="710">
        <f t="shared" si="7"/>
        <v>0.53161596404719258</v>
      </c>
      <c r="U44" s="458"/>
      <c r="V44" s="458"/>
    </row>
    <row r="45" spans="1:22" s="495" customFormat="1" ht="16.5" customHeight="1">
      <c r="A45" s="723" t="s">
        <v>63</v>
      </c>
      <c r="B45" s="718">
        <v>3.389638076976448</v>
      </c>
      <c r="C45" s="718">
        <v>3.3551623278504512</v>
      </c>
      <c r="D45" s="718">
        <v>3.43177916558788</v>
      </c>
      <c r="E45" s="722" t="s">
        <v>63</v>
      </c>
      <c r="F45" s="716">
        <v>4.2099360354050663</v>
      </c>
      <c r="G45" s="716">
        <v>5.0189448738615852</v>
      </c>
      <c r="H45" s="716">
        <v>3.1679612150121468</v>
      </c>
      <c r="I45" s="721" t="s">
        <v>63</v>
      </c>
      <c r="J45" s="714">
        <v>4.1172851001125403</v>
      </c>
      <c r="K45" s="714">
        <v>5.1139608986978793</v>
      </c>
      <c r="L45" s="714">
        <v>2.8565298397981338</v>
      </c>
      <c r="M45" s="720" t="s">
        <v>63</v>
      </c>
      <c r="N45" s="712">
        <v>3.681188637209559</v>
      </c>
      <c r="O45" s="712">
        <v>4.2566804972514758</v>
      </c>
      <c r="P45" s="712">
        <v>2.9825588616241729</v>
      </c>
      <c r="Q45" s="719" t="s">
        <v>63</v>
      </c>
      <c r="R45" s="710">
        <f t="shared" si="4"/>
        <v>3.8468422188491105</v>
      </c>
      <c r="S45" s="710">
        <f t="shared" si="6"/>
        <v>4.428494337172511</v>
      </c>
      <c r="T45" s="710">
        <f t="shared" si="7"/>
        <v>3.1212133892531235</v>
      </c>
      <c r="U45" s="458"/>
      <c r="V45" s="458"/>
    </row>
    <row r="46" spans="1:22" s="495" customFormat="1" ht="16.5" customHeight="1">
      <c r="A46" s="723" t="s">
        <v>62</v>
      </c>
      <c r="B46" s="718">
        <v>3.2824851755741844</v>
      </c>
      <c r="C46" s="718">
        <v>1.8164745499287658</v>
      </c>
      <c r="D46" s="718">
        <v>5.0744486643106512</v>
      </c>
      <c r="E46" s="722" t="s">
        <v>62</v>
      </c>
      <c r="F46" s="716">
        <v>3.3604874556641668</v>
      </c>
      <c r="G46" s="716">
        <v>1.3506661706554237</v>
      </c>
      <c r="H46" s="716">
        <v>5.9490663103331398</v>
      </c>
      <c r="I46" s="721" t="s">
        <v>62</v>
      </c>
      <c r="J46" s="714">
        <v>2.4567042611589249</v>
      </c>
      <c r="K46" s="714">
        <v>1.4388270189243808</v>
      </c>
      <c r="L46" s="714">
        <v>3.7442785047825833</v>
      </c>
      <c r="M46" s="720" t="s">
        <v>62</v>
      </c>
      <c r="N46" s="712">
        <v>3.5910756041224041</v>
      </c>
      <c r="O46" s="712">
        <v>1.7174825629075083</v>
      </c>
      <c r="P46" s="712">
        <v>5.8655610952411932</v>
      </c>
      <c r="Q46" s="719" t="s">
        <v>62</v>
      </c>
      <c r="R46" s="710">
        <f t="shared" si="4"/>
        <v>3.1678110644561084</v>
      </c>
      <c r="S46" s="710">
        <f t="shared" si="6"/>
        <v>1.5785960723658332</v>
      </c>
      <c r="T46" s="710">
        <f t="shared" si="7"/>
        <v>5.1503980482967364</v>
      </c>
      <c r="U46" s="458"/>
      <c r="V46" s="458"/>
    </row>
    <row r="47" spans="1:22" s="495" customFormat="1" ht="16.5" customHeight="1">
      <c r="A47" s="723" t="s">
        <v>61</v>
      </c>
      <c r="B47" s="718">
        <v>0.99136602139941399</v>
      </c>
      <c r="C47" s="718">
        <v>0.27576307041402237</v>
      </c>
      <c r="D47" s="718">
        <v>1.9327463633200361</v>
      </c>
      <c r="E47" s="722" t="s">
        <v>61</v>
      </c>
      <c r="F47" s="716">
        <v>1.12168785246648</v>
      </c>
      <c r="G47" s="716">
        <v>0.54023891208200714</v>
      </c>
      <c r="H47" s="716">
        <v>1.8705735585616761</v>
      </c>
      <c r="I47" s="721" t="s">
        <v>61</v>
      </c>
      <c r="J47" s="714">
        <v>0.99991093910663831</v>
      </c>
      <c r="K47" s="714">
        <v>0.44375309873325236</v>
      </c>
      <c r="L47" s="714">
        <v>1.7034284959802828</v>
      </c>
      <c r="M47" s="720" t="s">
        <v>61</v>
      </c>
      <c r="N47" s="712">
        <v>1.2760967165731403</v>
      </c>
      <c r="O47" s="712">
        <v>0.61498737383989543</v>
      </c>
      <c r="P47" s="712">
        <v>2.0786635360542851</v>
      </c>
      <c r="Q47" s="719" t="s">
        <v>61</v>
      </c>
      <c r="R47" s="710">
        <f t="shared" si="4"/>
        <v>1.0992264754483332</v>
      </c>
      <c r="S47" s="710">
        <f t="shared" si="6"/>
        <v>0.46213104266184013</v>
      </c>
      <c r="T47" s="710">
        <f t="shared" si="7"/>
        <v>1.8940196691157447</v>
      </c>
      <c r="U47" s="458"/>
      <c r="V47" s="458"/>
    </row>
    <row r="48" spans="1:22" s="495" customFormat="1" ht="16.5" customHeight="1">
      <c r="A48" s="723" t="s">
        <v>60</v>
      </c>
      <c r="B48" s="718">
        <v>0.92935106451658389</v>
      </c>
      <c r="C48" s="718">
        <v>0.80381427276259554</v>
      </c>
      <c r="D48" s="718">
        <v>1.0827997117371464</v>
      </c>
      <c r="E48" s="722" t="s">
        <v>60</v>
      </c>
      <c r="F48" s="716">
        <v>0.65500303651496505</v>
      </c>
      <c r="G48" s="716">
        <v>0.62648975599002465</v>
      </c>
      <c r="H48" s="716">
        <v>0.6917271351174854</v>
      </c>
      <c r="I48" s="721" t="s">
        <v>60</v>
      </c>
      <c r="J48" s="714">
        <v>1.1344738525313536</v>
      </c>
      <c r="K48" s="714">
        <v>0.89547954618598491</v>
      </c>
      <c r="L48" s="714">
        <v>1.4367921483481016</v>
      </c>
      <c r="M48" s="720" t="s">
        <v>60</v>
      </c>
      <c r="N48" s="712">
        <v>1.229971666040387</v>
      </c>
      <c r="O48" s="712">
        <v>0.761142281802902</v>
      </c>
      <c r="P48" s="712">
        <v>1.7991164102837067</v>
      </c>
      <c r="Q48" s="719" t="s">
        <v>60</v>
      </c>
      <c r="R48" s="710">
        <f t="shared" si="4"/>
        <v>0.97683750619111931</v>
      </c>
      <c r="S48" s="710">
        <f t="shared" si="6"/>
        <v>0.77072334743158211</v>
      </c>
      <c r="T48" s="710">
        <f t="shared" si="7"/>
        <v>1.2339879656364161</v>
      </c>
      <c r="U48" s="458"/>
      <c r="V48" s="458"/>
    </row>
    <row r="49" spans="1:22" s="701" customFormat="1" ht="16.5" customHeight="1">
      <c r="A49" s="709" t="s">
        <v>59</v>
      </c>
      <c r="B49" s="718">
        <v>1.275075003320701</v>
      </c>
      <c r="C49" s="718">
        <v>1.0122555368475585</v>
      </c>
      <c r="D49" s="718">
        <v>1.5963297608308831</v>
      </c>
      <c r="E49" s="717" t="s">
        <v>59</v>
      </c>
      <c r="F49" s="716">
        <v>1.7627299006365436</v>
      </c>
      <c r="G49" s="716">
        <v>2.1784538227310932</v>
      </c>
      <c r="H49" s="716">
        <v>1.227292166873404</v>
      </c>
      <c r="I49" s="715" t="s">
        <v>59</v>
      </c>
      <c r="J49" s="714">
        <v>1.1874246018573245</v>
      </c>
      <c r="K49" s="714">
        <v>1.5569775499494054</v>
      </c>
      <c r="L49" s="714">
        <v>0.71995481485828294</v>
      </c>
      <c r="M49" s="713" t="s">
        <v>59</v>
      </c>
      <c r="N49" s="712">
        <v>0.86827291070439538</v>
      </c>
      <c r="O49" s="712">
        <v>0.51625161379377538</v>
      </c>
      <c r="P49" s="712">
        <v>1.2956161569564455</v>
      </c>
      <c r="Q49" s="711" t="s">
        <v>59</v>
      </c>
      <c r="R49" s="710">
        <f t="shared" si="4"/>
        <v>1.2878128742449038</v>
      </c>
      <c r="S49" s="710">
        <f t="shared" si="6"/>
        <v>1.3428958956862791</v>
      </c>
      <c r="T49" s="710">
        <f t="shared" si="7"/>
        <v>1.2190946195424999</v>
      </c>
      <c r="U49" s="458"/>
      <c r="V49" s="458"/>
    </row>
    <row r="50" spans="1:22" s="701" customFormat="1" ht="16.5" customHeight="1">
      <c r="A50" s="709" t="s">
        <v>58</v>
      </c>
      <c r="B50" s="718">
        <v>0.48938600051795517</v>
      </c>
      <c r="C50" s="718">
        <v>4.0474031861157882E-2</v>
      </c>
      <c r="D50" s="718">
        <v>1.0381090748378521</v>
      </c>
      <c r="E50" s="717" t="s">
        <v>58</v>
      </c>
      <c r="F50" s="716">
        <v>0.55394099310714984</v>
      </c>
      <c r="G50" s="716">
        <v>0.31262486394136046</v>
      </c>
      <c r="H50" s="716">
        <v>0.8647476473646758</v>
      </c>
      <c r="I50" s="715" t="s">
        <v>58</v>
      </c>
      <c r="J50" s="714">
        <v>0.60140392353717487</v>
      </c>
      <c r="K50" s="714">
        <v>0.13815638781208411</v>
      </c>
      <c r="L50" s="714">
        <v>1.1873936388709583</v>
      </c>
      <c r="M50" s="713" t="s">
        <v>58</v>
      </c>
      <c r="N50" s="712">
        <v>0.91395273874165872</v>
      </c>
      <c r="O50" s="712">
        <v>0.54077315946312432</v>
      </c>
      <c r="P50" s="712">
        <v>1.3669815021813745</v>
      </c>
      <c r="Q50" s="711" t="s">
        <v>58</v>
      </c>
      <c r="R50" s="710">
        <f t="shared" si="4"/>
        <v>0.62920190316108437</v>
      </c>
      <c r="S50" s="710">
        <f t="shared" si="6"/>
        <v>0.24713352878474429</v>
      </c>
      <c r="T50" s="710">
        <f t="shared" si="7"/>
        <v>1.1058421962241094</v>
      </c>
      <c r="U50" s="458"/>
      <c r="V50" s="458"/>
    </row>
    <row r="51" spans="1:22" s="701" customFormat="1" ht="16.5" customHeight="1">
      <c r="A51" s="709" t="s">
        <v>57</v>
      </c>
      <c r="B51" s="708" t="s">
        <v>8</v>
      </c>
      <c r="C51" s="708" t="s">
        <v>8</v>
      </c>
      <c r="D51" s="708" t="s">
        <v>8</v>
      </c>
      <c r="E51" s="707" t="s">
        <v>57</v>
      </c>
      <c r="F51" s="706" t="s">
        <v>8</v>
      </c>
      <c r="G51" s="706" t="s">
        <v>8</v>
      </c>
      <c r="H51" s="706" t="s">
        <v>8</v>
      </c>
      <c r="I51" s="705" t="s">
        <v>57</v>
      </c>
      <c r="J51" s="704">
        <v>0</v>
      </c>
      <c r="K51" s="704">
        <v>0</v>
      </c>
      <c r="L51" s="704">
        <v>0</v>
      </c>
      <c r="M51" s="703" t="s">
        <v>57</v>
      </c>
      <c r="N51" s="703">
        <v>0</v>
      </c>
      <c r="O51" s="703">
        <v>0</v>
      </c>
      <c r="P51" s="703">
        <v>0</v>
      </c>
      <c r="Q51" s="702" t="s">
        <v>57</v>
      </c>
      <c r="R51" s="459">
        <f t="shared" si="4"/>
        <v>0</v>
      </c>
      <c r="S51" s="459">
        <f t="shared" si="6"/>
        <v>0</v>
      </c>
      <c r="T51" s="459">
        <f t="shared" si="7"/>
        <v>0</v>
      </c>
      <c r="U51" s="458"/>
      <c r="V51" s="458"/>
    </row>
    <row r="52" spans="1:22" s="495" customFormat="1" ht="21.75" customHeight="1">
      <c r="A52" s="700" t="s">
        <v>56</v>
      </c>
      <c r="B52" s="699">
        <v>6.4802431272618796E-2</v>
      </c>
      <c r="C52" s="699">
        <v>6.3274403142943483E-2</v>
      </c>
      <c r="D52" s="699" t="s">
        <v>8</v>
      </c>
      <c r="E52" s="698" t="s">
        <v>56</v>
      </c>
      <c r="F52" s="698" t="s">
        <v>8</v>
      </c>
      <c r="G52" s="698" t="s">
        <v>8</v>
      </c>
      <c r="H52" s="698" t="s">
        <v>8</v>
      </c>
      <c r="I52" s="697" t="s">
        <v>56</v>
      </c>
      <c r="J52" s="697">
        <v>0</v>
      </c>
      <c r="K52" s="697">
        <v>0</v>
      </c>
      <c r="L52" s="697">
        <v>0</v>
      </c>
      <c r="M52" s="696" t="s">
        <v>56</v>
      </c>
      <c r="N52" s="696">
        <v>0</v>
      </c>
      <c r="O52" s="696">
        <v>0</v>
      </c>
      <c r="P52" s="696">
        <v>0</v>
      </c>
      <c r="Q52" s="695"/>
      <c r="R52" s="694">
        <f t="shared" si="4"/>
        <v>9.3892803647124823E-3</v>
      </c>
      <c r="S52" s="694">
        <f t="shared" si="6"/>
        <v>1.6915590338593852E-2</v>
      </c>
      <c r="T52" s="694">
        <f t="shared" si="7"/>
        <v>0</v>
      </c>
    </row>
    <row r="53" spans="1:22" s="495" customFormat="1" ht="8.25" customHeight="1">
      <c r="A53" s="693"/>
      <c r="B53" s="688"/>
      <c r="C53" s="692"/>
      <c r="D53" s="692"/>
      <c r="E53" s="685"/>
      <c r="F53" s="685"/>
      <c r="G53" s="691"/>
      <c r="H53" s="691"/>
      <c r="I53" s="500"/>
      <c r="J53" s="500"/>
      <c r="K53" s="690"/>
      <c r="L53" s="690"/>
      <c r="M53" s="680"/>
      <c r="N53" s="680"/>
      <c r="O53" s="680"/>
      <c r="P53" s="679"/>
      <c r="Q53" s="689"/>
    </row>
    <row r="54" spans="1:22" s="495" customFormat="1" ht="0.75" hidden="1" customHeight="1">
      <c r="A54" s="440"/>
      <c r="B54" s="688"/>
      <c r="C54" s="688"/>
      <c r="D54" s="687"/>
      <c r="E54" s="686"/>
      <c r="F54" s="685"/>
      <c r="G54" s="685"/>
      <c r="H54" s="684"/>
      <c r="I54" s="683"/>
      <c r="J54" s="500"/>
      <c r="K54" s="500"/>
      <c r="L54" s="682"/>
      <c r="M54" s="681"/>
      <c r="N54" s="680"/>
      <c r="O54" s="680"/>
      <c r="P54" s="679"/>
    </row>
    <row r="55" spans="1:22" s="495" customFormat="1" ht="14.25" customHeight="1">
      <c r="A55" s="12" t="s">
        <v>22</v>
      </c>
      <c r="D55" s="678"/>
      <c r="E55" s="495" t="s">
        <v>22</v>
      </c>
      <c r="H55" s="678"/>
      <c r="I55" s="495" t="s">
        <v>22</v>
      </c>
      <c r="L55" s="678"/>
      <c r="M55" s="495" t="s">
        <v>22</v>
      </c>
      <c r="P55" s="678"/>
    </row>
    <row r="56" spans="1:22" s="677" customFormat="1" ht="26.25" customHeight="1">
      <c r="B56" s="677">
        <v>4</v>
      </c>
      <c r="F56" s="677">
        <v>3</v>
      </c>
      <c r="J56" s="677">
        <v>2</v>
      </c>
      <c r="N56" s="677">
        <v>1</v>
      </c>
      <c r="R56" s="677">
        <v>2563</v>
      </c>
    </row>
    <row r="57" spans="1:22" ht="14.25" customHeight="1">
      <c r="M57" s="12">
        <v>1</v>
      </c>
      <c r="Q57" s="12">
        <v>1</v>
      </c>
    </row>
    <row r="59" spans="1:22" ht="14.25" customHeight="1">
      <c r="A59" s="676"/>
    </row>
    <row r="75" spans="2:16" ht="14.25" customHeight="1">
      <c r="B75" s="19"/>
      <c r="C75" s="19"/>
      <c r="D75" s="12"/>
      <c r="F75" s="19"/>
      <c r="G75" s="19"/>
      <c r="H75" s="12"/>
      <c r="J75" s="19"/>
      <c r="K75" s="19"/>
      <c r="L75" s="12"/>
      <c r="N75" s="19"/>
      <c r="O75" s="19"/>
      <c r="P75" s="12"/>
    </row>
    <row r="76" spans="2:16" ht="14.25" customHeight="1">
      <c r="B76" s="19"/>
      <c r="C76" s="19"/>
      <c r="D76" s="12"/>
      <c r="F76" s="19"/>
      <c r="G76" s="19"/>
      <c r="H76" s="12"/>
      <c r="J76" s="19"/>
      <c r="K76" s="19"/>
      <c r="L76" s="12"/>
      <c r="N76" s="19"/>
      <c r="O76" s="19"/>
      <c r="P76" s="12"/>
    </row>
    <row r="77" spans="2:16" ht="14.25" customHeight="1">
      <c r="B77" s="19"/>
      <c r="C77" s="19"/>
      <c r="D77" s="12"/>
      <c r="F77" s="19"/>
      <c r="G77" s="19"/>
      <c r="H77" s="12"/>
      <c r="J77" s="19"/>
      <c r="K77" s="19"/>
      <c r="L77" s="12"/>
      <c r="N77" s="19"/>
      <c r="O77" s="19"/>
      <c r="P77" s="12"/>
    </row>
    <row r="78" spans="2:16" ht="14.25" customHeight="1">
      <c r="B78" s="19"/>
      <c r="C78" s="19"/>
      <c r="D78" s="12"/>
      <c r="F78" s="19"/>
      <c r="G78" s="19"/>
      <c r="H78" s="12"/>
      <c r="J78" s="19"/>
      <c r="K78" s="19"/>
      <c r="L78" s="12"/>
      <c r="N78" s="19"/>
      <c r="O78" s="19"/>
      <c r="P78" s="12"/>
    </row>
    <row r="79" spans="2:16" ht="14.25" customHeight="1">
      <c r="B79" s="19"/>
      <c r="C79" s="19"/>
      <c r="D79" s="12"/>
      <c r="F79" s="19"/>
      <c r="G79" s="19"/>
      <c r="H79" s="12"/>
      <c r="J79" s="19"/>
      <c r="K79" s="19"/>
      <c r="L79" s="12"/>
      <c r="N79" s="19"/>
      <c r="O79" s="19"/>
      <c r="P79" s="12"/>
    </row>
    <row r="84" spans="2:16" ht="14.25" customHeight="1">
      <c r="B84" s="19"/>
      <c r="C84" s="19"/>
      <c r="D84" s="12"/>
      <c r="F84" s="19"/>
      <c r="G84" s="19"/>
      <c r="H84" s="12"/>
      <c r="J84" s="19"/>
      <c r="K84" s="19"/>
      <c r="L84" s="12"/>
      <c r="N84" s="19"/>
      <c r="O84" s="19"/>
      <c r="P84" s="12"/>
    </row>
    <row r="85" spans="2:16" ht="14.25" customHeight="1">
      <c r="B85" s="19"/>
      <c r="C85" s="19"/>
      <c r="D85" s="12"/>
      <c r="F85" s="19"/>
      <c r="G85" s="19"/>
      <c r="H85" s="12"/>
      <c r="J85" s="19"/>
      <c r="K85" s="19"/>
      <c r="L85" s="12"/>
      <c r="N85" s="19"/>
      <c r="O85" s="19"/>
      <c r="P85" s="12"/>
    </row>
    <row r="86" spans="2:16" ht="14.25" customHeight="1">
      <c r="B86" s="19"/>
      <c r="C86" s="19"/>
      <c r="D86" s="12"/>
      <c r="F86" s="19"/>
      <c r="G86" s="19"/>
      <c r="H86" s="12"/>
      <c r="J86" s="19"/>
      <c r="K86" s="19"/>
      <c r="L86" s="12"/>
      <c r="N86" s="19"/>
      <c r="O86" s="19"/>
      <c r="P86" s="12"/>
    </row>
    <row r="87" spans="2:16" ht="14.25" customHeight="1">
      <c r="B87" s="19"/>
      <c r="C87" s="19"/>
      <c r="D87" s="12"/>
      <c r="F87" s="19"/>
      <c r="G87" s="19"/>
      <c r="H87" s="12"/>
      <c r="J87" s="19"/>
      <c r="K87" s="19"/>
      <c r="L87" s="12"/>
      <c r="N87" s="19"/>
      <c r="O87" s="19"/>
      <c r="P87" s="12"/>
    </row>
    <row r="88" spans="2:16" ht="14.25" customHeight="1">
      <c r="B88" s="19"/>
      <c r="C88" s="19"/>
      <c r="D88" s="12"/>
      <c r="F88" s="19"/>
      <c r="G88" s="19"/>
      <c r="H88" s="12"/>
      <c r="J88" s="19"/>
      <c r="K88" s="19"/>
      <c r="L88" s="12"/>
      <c r="N88" s="19"/>
      <c r="O88" s="19"/>
      <c r="P88" s="12"/>
    </row>
    <row r="89" spans="2:16" ht="14.25" customHeight="1">
      <c r="B89" s="19"/>
      <c r="C89" s="19"/>
      <c r="D89" s="12"/>
      <c r="F89" s="19"/>
      <c r="G89" s="19"/>
      <c r="H89" s="12"/>
      <c r="J89" s="19"/>
      <c r="K89" s="19"/>
      <c r="L89" s="12"/>
      <c r="N89" s="19"/>
      <c r="O89" s="19"/>
      <c r="P89" s="12"/>
    </row>
    <row r="90" spans="2:16" ht="14.25" customHeight="1">
      <c r="B90" s="19"/>
      <c r="C90" s="19"/>
      <c r="D90" s="12"/>
      <c r="F90" s="19"/>
      <c r="G90" s="19"/>
      <c r="H90" s="12"/>
      <c r="J90" s="19"/>
      <c r="K90" s="19"/>
      <c r="L90" s="12"/>
      <c r="N90" s="19"/>
      <c r="O90" s="19"/>
      <c r="P90" s="12"/>
    </row>
    <row r="91" spans="2:16" ht="14.25" customHeight="1">
      <c r="B91" s="19"/>
      <c r="C91" s="19"/>
      <c r="D91" s="12"/>
      <c r="F91" s="19"/>
      <c r="G91" s="19"/>
      <c r="H91" s="12"/>
      <c r="J91" s="19"/>
      <c r="K91" s="19"/>
      <c r="L91" s="12"/>
      <c r="N91" s="19"/>
      <c r="O91" s="19"/>
      <c r="P91" s="12"/>
    </row>
    <row r="92" spans="2:16" ht="14.25" customHeight="1">
      <c r="B92" s="19"/>
      <c r="C92" s="19"/>
      <c r="D92" s="12"/>
      <c r="F92" s="19"/>
      <c r="G92" s="19"/>
      <c r="H92" s="12"/>
      <c r="J92" s="19"/>
      <c r="K92" s="19"/>
      <c r="L92" s="12"/>
      <c r="N92" s="19"/>
      <c r="O92" s="19"/>
      <c r="P92" s="12"/>
    </row>
    <row r="93" spans="2:16" ht="14.25" customHeight="1">
      <c r="B93" s="19"/>
      <c r="C93" s="19"/>
      <c r="D93" s="12"/>
      <c r="F93" s="19"/>
      <c r="G93" s="19"/>
      <c r="H93" s="12"/>
      <c r="J93" s="19"/>
      <c r="K93" s="19"/>
      <c r="L93" s="12"/>
      <c r="N93" s="19"/>
      <c r="O93" s="19"/>
      <c r="P93" s="12"/>
    </row>
    <row r="94" spans="2:16" ht="14.25" customHeight="1">
      <c r="B94" s="19"/>
      <c r="C94" s="19"/>
      <c r="D94" s="12"/>
      <c r="F94" s="19"/>
      <c r="G94" s="19"/>
      <c r="H94" s="12"/>
      <c r="J94" s="19"/>
      <c r="K94" s="19"/>
      <c r="L94" s="12"/>
      <c r="N94" s="19"/>
      <c r="O94" s="19"/>
      <c r="P94" s="12"/>
    </row>
  </sheetData>
  <sheetProtection selectLockedCells="1" selectUnlockedCells="1"/>
  <printOptions horizontalCentered="1"/>
  <pageMargins left="0.23622047244094491" right="0" top="0.39370078740157483" bottom="0" header="0.51181102362204722" footer="0.51181102362204722"/>
  <pageSetup paperSize="9" scale="60" firstPageNumber="11" orientation="landscape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69" zoomScaleNormal="69" workbookViewId="0">
      <selection activeCell="R5" sqref="R5:T7"/>
    </sheetView>
  </sheetViews>
  <sheetFormatPr defaultRowHeight="30.75" customHeight="1"/>
  <cols>
    <col min="1" max="1" width="18.140625" style="415" customWidth="1"/>
    <col min="2" max="2" width="11.5703125" style="415" customWidth="1"/>
    <col min="3" max="4" width="9.7109375" style="415" customWidth="1"/>
    <col min="5" max="5" width="17.85546875" style="415" customWidth="1"/>
    <col min="6" max="6" width="9.5703125" style="415" customWidth="1"/>
    <col min="7" max="8" width="8.5703125" style="415" customWidth="1"/>
    <col min="9" max="9" width="17.5703125" style="415" customWidth="1"/>
    <col min="10" max="10" width="10.140625" style="415" customWidth="1"/>
    <col min="11" max="12" width="8.7109375" style="415" customWidth="1"/>
    <col min="13" max="13" width="18" style="415" customWidth="1"/>
    <col min="14" max="14" width="9.85546875" style="415" customWidth="1"/>
    <col min="15" max="16" width="8.140625" style="415" customWidth="1"/>
    <col min="17" max="17" width="18.28515625" style="415" customWidth="1"/>
    <col min="18" max="18" width="10.5703125" style="415" customWidth="1"/>
    <col min="19" max="20" width="8.7109375" style="415" customWidth="1"/>
    <col min="21" max="21" width="12.7109375" style="415" customWidth="1"/>
    <col min="22" max="22" width="10" style="415" bestFit="1" customWidth="1"/>
    <col min="23" max="16384" width="9.140625" style="415"/>
  </cols>
  <sheetData>
    <row r="1" spans="1:25" s="421" customFormat="1" ht="30.75" customHeight="1">
      <c r="A1" s="675" t="s">
        <v>197</v>
      </c>
      <c r="B1" s="905"/>
      <c r="C1" s="905"/>
      <c r="D1" s="905"/>
      <c r="E1" s="673" t="s">
        <v>197</v>
      </c>
      <c r="F1" s="904"/>
      <c r="G1" s="904"/>
      <c r="H1" s="904"/>
      <c r="I1" s="671" t="s">
        <v>89</v>
      </c>
      <c r="J1" s="903"/>
      <c r="K1" s="903"/>
      <c r="L1" s="903"/>
      <c r="M1" s="669" t="s">
        <v>89</v>
      </c>
      <c r="N1" s="902"/>
      <c r="O1" s="902"/>
      <c r="P1" s="902"/>
      <c r="Q1" s="421" t="s">
        <v>197</v>
      </c>
    </row>
    <row r="2" spans="1:25" ht="26.25" customHeight="1">
      <c r="A2" s="901" t="s">
        <v>174</v>
      </c>
      <c r="B2" s="900"/>
      <c r="C2" s="900"/>
      <c r="D2" s="900"/>
      <c r="E2" s="899" t="s">
        <v>173</v>
      </c>
      <c r="F2" s="898"/>
      <c r="G2" s="898"/>
      <c r="H2" s="898"/>
      <c r="I2" s="897" t="s">
        <v>172</v>
      </c>
      <c r="J2" s="896"/>
      <c r="K2" s="896"/>
      <c r="L2" s="896"/>
      <c r="M2" s="895" t="s">
        <v>171</v>
      </c>
      <c r="N2" s="894"/>
      <c r="O2" s="894"/>
      <c r="P2" s="894"/>
      <c r="Q2" s="417" t="s">
        <v>170</v>
      </c>
    </row>
    <row r="3" spans="1:25" s="417" customFormat="1" ht="30.75" customHeight="1">
      <c r="A3" s="661" t="s">
        <v>5</v>
      </c>
      <c r="B3" s="660" t="s">
        <v>0</v>
      </c>
      <c r="C3" s="660" t="s">
        <v>1</v>
      </c>
      <c r="D3" s="660" t="s">
        <v>2</v>
      </c>
      <c r="E3" s="659" t="s">
        <v>5</v>
      </c>
      <c r="F3" s="658" t="s">
        <v>0</v>
      </c>
      <c r="G3" s="658" t="s">
        <v>1</v>
      </c>
      <c r="H3" s="658" t="s">
        <v>2</v>
      </c>
      <c r="I3" s="657" t="s">
        <v>5</v>
      </c>
      <c r="J3" s="656" t="s">
        <v>0</v>
      </c>
      <c r="K3" s="656" t="s">
        <v>1</v>
      </c>
      <c r="L3" s="656" t="s">
        <v>2</v>
      </c>
      <c r="M3" s="655" t="s">
        <v>5</v>
      </c>
      <c r="N3" s="654" t="s">
        <v>0</v>
      </c>
      <c r="O3" s="654" t="s">
        <v>1</v>
      </c>
      <c r="P3" s="654" t="s">
        <v>2</v>
      </c>
      <c r="Q3" s="31" t="s">
        <v>5</v>
      </c>
      <c r="R3" s="30" t="s">
        <v>0</v>
      </c>
      <c r="S3" s="30" t="s">
        <v>1</v>
      </c>
      <c r="T3" s="30" t="s">
        <v>2</v>
      </c>
    </row>
    <row r="4" spans="1:25" s="648" customFormat="1" ht="30.75" customHeight="1">
      <c r="A4" s="614"/>
      <c r="B4" s="652" t="s">
        <v>21</v>
      </c>
      <c r="C4" s="652"/>
      <c r="D4" s="652"/>
      <c r="E4" s="612"/>
      <c r="F4" s="651" t="s">
        <v>21</v>
      </c>
      <c r="G4" s="651"/>
      <c r="H4" s="651"/>
      <c r="I4" s="610"/>
      <c r="J4" s="650" t="s">
        <v>21</v>
      </c>
      <c r="K4" s="650"/>
      <c r="L4" s="650"/>
      <c r="M4" s="608"/>
      <c r="N4" s="649" t="s">
        <v>21</v>
      </c>
      <c r="O4" s="649"/>
      <c r="P4" s="649"/>
      <c r="Q4" s="647"/>
      <c r="R4" s="1181" t="s">
        <v>21</v>
      </c>
      <c r="S4" s="1181"/>
      <c r="T4" s="1181"/>
      <c r="V4" s="417"/>
      <c r="W4" s="417"/>
      <c r="X4" s="417"/>
      <c r="Y4" s="417"/>
    </row>
    <row r="5" spans="1:25" s="18" customFormat="1" ht="24.95" customHeight="1">
      <c r="A5" s="524" t="s">
        <v>37</v>
      </c>
      <c r="B5" s="893">
        <v>1347607</v>
      </c>
      <c r="C5" s="893">
        <v>741216</v>
      </c>
      <c r="D5" s="893">
        <v>606391</v>
      </c>
      <c r="E5" s="638" t="s">
        <v>37</v>
      </c>
      <c r="F5" s="892">
        <v>1289307</v>
      </c>
      <c r="G5" s="892">
        <v>725790</v>
      </c>
      <c r="H5" s="892">
        <v>563517</v>
      </c>
      <c r="I5" s="520" t="s">
        <v>37</v>
      </c>
      <c r="J5" s="891">
        <v>1235110</v>
      </c>
      <c r="K5" s="891">
        <v>689798</v>
      </c>
      <c r="L5" s="891">
        <v>545312</v>
      </c>
      <c r="M5" s="637" t="s">
        <v>37</v>
      </c>
      <c r="N5" s="890">
        <v>1123034</v>
      </c>
      <c r="O5" s="890">
        <v>615785</v>
      </c>
      <c r="P5" s="890">
        <v>507249</v>
      </c>
      <c r="Q5" s="23" t="s">
        <v>37</v>
      </c>
      <c r="R5" s="640">
        <f>(N5+J5+F5+B5)/4</f>
        <v>1248764.5</v>
      </c>
      <c r="S5" s="640">
        <f>(O5+K5+G5+C5)/4+0.3</f>
        <v>693147.55</v>
      </c>
      <c r="T5" s="640">
        <f>(P5+L5+H5+D5)/4</f>
        <v>555617.25</v>
      </c>
      <c r="U5" s="868"/>
      <c r="V5" s="417"/>
      <c r="W5" s="417"/>
      <c r="X5" s="417"/>
      <c r="Y5" s="417"/>
    </row>
    <row r="6" spans="1:25" s="18" customFormat="1" ht="7.9" customHeight="1">
      <c r="A6" s="524"/>
      <c r="B6" s="889"/>
      <c r="C6" s="889"/>
      <c r="D6" s="889"/>
      <c r="E6" s="638"/>
      <c r="F6" s="888"/>
      <c r="G6" s="888"/>
      <c r="H6" s="888"/>
      <c r="I6" s="520"/>
      <c r="J6" s="887"/>
      <c r="K6" s="887"/>
      <c r="L6" s="887"/>
      <c r="M6" s="637"/>
      <c r="N6" s="878"/>
      <c r="O6" s="878"/>
      <c r="P6" s="878"/>
      <c r="Q6" s="23"/>
      <c r="R6" s="886"/>
      <c r="S6" s="886"/>
      <c r="T6" s="886"/>
      <c r="V6" s="417"/>
      <c r="W6" s="417"/>
      <c r="X6" s="417"/>
      <c r="Y6" s="417"/>
    </row>
    <row r="7" spans="1:25" s="12" customFormat="1" ht="24.95" customHeight="1">
      <c r="A7" s="885" t="s">
        <v>88</v>
      </c>
      <c r="B7" s="884">
        <v>15642</v>
      </c>
      <c r="C7" s="884">
        <v>11848</v>
      </c>
      <c r="D7" s="884">
        <v>3794</v>
      </c>
      <c r="E7" s="883" t="s">
        <v>88</v>
      </c>
      <c r="F7" s="882">
        <v>23091</v>
      </c>
      <c r="G7" s="882">
        <v>14836</v>
      </c>
      <c r="H7" s="882">
        <v>8255</v>
      </c>
      <c r="I7" s="881" t="s">
        <v>88</v>
      </c>
      <c r="J7" s="880">
        <v>18232</v>
      </c>
      <c r="K7" s="880">
        <v>14882</v>
      </c>
      <c r="L7" s="880">
        <v>3350</v>
      </c>
      <c r="M7" s="879" t="s">
        <v>88</v>
      </c>
      <c r="N7" s="878">
        <v>19984</v>
      </c>
      <c r="O7" s="878">
        <v>14217</v>
      </c>
      <c r="P7" s="878">
        <v>5767</v>
      </c>
      <c r="Q7" s="877" t="s">
        <v>88</v>
      </c>
      <c r="R7" s="624">
        <f>(N7+J7+F7+B7)/4</f>
        <v>19237.25</v>
      </c>
      <c r="S7" s="624">
        <f>(O7+K7+G7+C7)/4-0.3</f>
        <v>13945.45</v>
      </c>
      <c r="T7" s="624">
        <f>(P7+L7+H7+D7)/4</f>
        <v>5291.5</v>
      </c>
      <c r="U7" s="868"/>
      <c r="V7" s="417"/>
      <c r="W7" s="417"/>
      <c r="X7" s="417"/>
      <c r="Y7" s="417"/>
    </row>
    <row r="8" spans="1:25" s="12" customFormat="1" ht="24.95" customHeight="1">
      <c r="A8" s="885" t="s">
        <v>87</v>
      </c>
      <c r="B8" s="884">
        <v>108429</v>
      </c>
      <c r="C8" s="884">
        <v>46241</v>
      </c>
      <c r="D8" s="884">
        <v>62188</v>
      </c>
      <c r="E8" s="883" t="s">
        <v>87</v>
      </c>
      <c r="F8" s="882">
        <v>112185</v>
      </c>
      <c r="G8" s="882">
        <v>55744</v>
      </c>
      <c r="H8" s="882">
        <v>56441</v>
      </c>
      <c r="I8" s="881" t="s">
        <v>87</v>
      </c>
      <c r="J8" s="880">
        <v>96313</v>
      </c>
      <c r="K8" s="880">
        <v>55240</v>
      </c>
      <c r="L8" s="880">
        <v>41073</v>
      </c>
      <c r="M8" s="879" t="s">
        <v>87</v>
      </c>
      <c r="N8" s="878">
        <v>98978</v>
      </c>
      <c r="O8" s="878">
        <v>44494</v>
      </c>
      <c r="P8" s="878">
        <v>54484</v>
      </c>
      <c r="Q8" s="877" t="s">
        <v>87</v>
      </c>
      <c r="R8" s="624">
        <f>(N8+J8+F8+B8)/4</f>
        <v>103976.25</v>
      </c>
      <c r="S8" s="624">
        <f>(O8+K8+G8+C8)/4+0.3</f>
        <v>50430.05</v>
      </c>
      <c r="T8" s="624">
        <f>(P8+L8+H8+D8)/4-0.1</f>
        <v>53546.400000000001</v>
      </c>
      <c r="U8" s="868"/>
      <c r="V8" s="417"/>
      <c r="W8" s="417"/>
      <c r="X8" s="417"/>
      <c r="Y8" s="417"/>
    </row>
    <row r="9" spans="1:25" s="12" customFormat="1" ht="24.95" customHeight="1">
      <c r="A9" s="885" t="s">
        <v>86</v>
      </c>
      <c r="B9" s="884">
        <v>456418</v>
      </c>
      <c r="C9" s="884">
        <v>258861</v>
      </c>
      <c r="D9" s="884">
        <v>197557</v>
      </c>
      <c r="E9" s="883" t="s">
        <v>86</v>
      </c>
      <c r="F9" s="882">
        <v>449281</v>
      </c>
      <c r="G9" s="882">
        <v>272421</v>
      </c>
      <c r="H9" s="882">
        <v>176860</v>
      </c>
      <c r="I9" s="881" t="s">
        <v>86</v>
      </c>
      <c r="J9" s="880">
        <v>441750</v>
      </c>
      <c r="K9" s="880">
        <v>257775</v>
      </c>
      <c r="L9" s="880">
        <v>183975</v>
      </c>
      <c r="M9" s="879" t="s">
        <v>86</v>
      </c>
      <c r="N9" s="878">
        <v>487112</v>
      </c>
      <c r="O9" s="878">
        <v>293627</v>
      </c>
      <c r="P9" s="878">
        <v>193485</v>
      </c>
      <c r="Q9" s="877" t="s">
        <v>86</v>
      </c>
      <c r="R9" s="624">
        <f>(N9+J9+F9+B9)/4</f>
        <v>458640.25</v>
      </c>
      <c r="S9" s="624">
        <f>(O9+K9+G9+C9)/4+0.3</f>
        <v>270671.3</v>
      </c>
      <c r="T9" s="624">
        <f>(P9+L9+H9+D9)/4</f>
        <v>187969.25</v>
      </c>
      <c r="U9" s="868"/>
      <c r="V9" s="417"/>
      <c r="W9" s="417"/>
      <c r="X9" s="417"/>
      <c r="Y9" s="417"/>
    </row>
    <row r="10" spans="1:25" s="12" customFormat="1" ht="24.95" customHeight="1">
      <c r="A10" s="885" t="s">
        <v>85</v>
      </c>
      <c r="B10" s="884">
        <v>498045</v>
      </c>
      <c r="C10" s="884">
        <v>293736</v>
      </c>
      <c r="D10" s="884">
        <v>204309</v>
      </c>
      <c r="E10" s="883" t="s">
        <v>85</v>
      </c>
      <c r="F10" s="882">
        <v>468455</v>
      </c>
      <c r="G10" s="882">
        <v>284612</v>
      </c>
      <c r="H10" s="882">
        <v>183843</v>
      </c>
      <c r="I10" s="881" t="s">
        <v>85</v>
      </c>
      <c r="J10" s="880">
        <v>447025</v>
      </c>
      <c r="K10" s="880">
        <v>251340</v>
      </c>
      <c r="L10" s="880">
        <v>195685</v>
      </c>
      <c r="M10" s="879" t="s">
        <v>85</v>
      </c>
      <c r="N10" s="878">
        <v>344728</v>
      </c>
      <c r="O10" s="878">
        <v>205382</v>
      </c>
      <c r="P10" s="878">
        <v>139346</v>
      </c>
      <c r="Q10" s="877" t="s">
        <v>85</v>
      </c>
      <c r="R10" s="624">
        <f>(N10+J10+F10+B10)/4+0.3</f>
        <v>439563.55</v>
      </c>
      <c r="S10" s="624">
        <f>(O10+K10+G10+C10)/4+0.3</f>
        <v>258767.8</v>
      </c>
      <c r="T10" s="624">
        <f>(P10+L10+H10+D10)/4</f>
        <v>180795.75</v>
      </c>
      <c r="U10" s="868"/>
      <c r="V10" s="417"/>
      <c r="W10" s="417"/>
      <c r="X10" s="417"/>
      <c r="Y10" s="417"/>
    </row>
    <row r="11" spans="1:25" ht="24.95" customHeight="1">
      <c r="A11" s="885" t="s">
        <v>84</v>
      </c>
      <c r="B11" s="884">
        <v>268698</v>
      </c>
      <c r="C11" s="884">
        <v>130530</v>
      </c>
      <c r="D11" s="884">
        <v>138168</v>
      </c>
      <c r="E11" s="883" t="s">
        <v>84</v>
      </c>
      <c r="F11" s="882">
        <v>235971</v>
      </c>
      <c r="G11" s="882">
        <v>97853</v>
      </c>
      <c r="H11" s="882">
        <v>138118</v>
      </c>
      <c r="I11" s="881" t="s">
        <v>84</v>
      </c>
      <c r="J11" s="880">
        <v>223503</v>
      </c>
      <c r="K11" s="880">
        <v>106051</v>
      </c>
      <c r="L11" s="880">
        <v>117452</v>
      </c>
      <c r="M11" s="879" t="s">
        <v>84</v>
      </c>
      <c r="N11" s="878">
        <v>172232</v>
      </c>
      <c r="O11" s="878">
        <v>58065</v>
      </c>
      <c r="P11" s="878">
        <v>114167</v>
      </c>
      <c r="Q11" s="877" t="s">
        <v>84</v>
      </c>
      <c r="R11" s="624">
        <f>(N11+J11+F11+B11)/4</f>
        <v>225101</v>
      </c>
      <c r="S11" s="624">
        <f>(O11+K11+G11+C11)/4+0.3</f>
        <v>98125.05</v>
      </c>
      <c r="T11" s="624">
        <f>(P11+L11+H11+D11)/4</f>
        <v>126976.25</v>
      </c>
      <c r="U11" s="868"/>
      <c r="V11" s="417"/>
      <c r="W11" s="417"/>
      <c r="X11" s="417"/>
      <c r="Y11" s="417"/>
    </row>
    <row r="12" spans="1:25" ht="24.95" customHeight="1">
      <c r="A12" s="487" t="s">
        <v>83</v>
      </c>
      <c r="B12" s="876">
        <v>375</v>
      </c>
      <c r="C12" s="876" t="s">
        <v>7</v>
      </c>
      <c r="D12" s="876">
        <v>375</v>
      </c>
      <c r="E12" s="875" t="s">
        <v>83</v>
      </c>
      <c r="F12" s="874">
        <v>324</v>
      </c>
      <c r="G12" s="873">
        <v>324</v>
      </c>
      <c r="H12" s="873" t="s">
        <v>8</v>
      </c>
      <c r="I12" s="485" t="s">
        <v>83</v>
      </c>
      <c r="J12" s="872">
        <v>8287</v>
      </c>
      <c r="K12" s="872">
        <v>4510</v>
      </c>
      <c r="L12" s="872">
        <v>3777</v>
      </c>
      <c r="M12" s="871" t="s">
        <v>83</v>
      </c>
      <c r="N12" s="870" t="s">
        <v>8</v>
      </c>
      <c r="O12" s="870" t="s">
        <v>8</v>
      </c>
      <c r="P12" s="869" t="s">
        <v>8</v>
      </c>
      <c r="Q12" s="483" t="s">
        <v>83</v>
      </c>
      <c r="R12" s="624">
        <f>(J12+F12+B12)/4</f>
        <v>2246.5</v>
      </c>
      <c r="S12" s="624">
        <f>(K12+G12)/4</f>
        <v>1208.5</v>
      </c>
      <c r="T12" s="624">
        <f>(L12+D12)/4</f>
        <v>1038</v>
      </c>
      <c r="U12" s="868"/>
      <c r="V12" s="417"/>
      <c r="W12" s="417"/>
      <c r="X12" s="417"/>
      <c r="Y12" s="417"/>
    </row>
    <row r="13" spans="1:25" s="24" customFormat="1" ht="24.95" customHeight="1">
      <c r="A13" s="622"/>
      <c r="B13" s="867" t="s">
        <v>20</v>
      </c>
      <c r="C13" s="867"/>
      <c r="D13" s="867"/>
      <c r="E13" s="621"/>
      <c r="F13" s="866" t="s">
        <v>20</v>
      </c>
      <c r="G13" s="866"/>
      <c r="H13" s="866"/>
      <c r="I13" s="620"/>
      <c r="J13" s="865" t="s">
        <v>20</v>
      </c>
      <c r="K13" s="865"/>
      <c r="L13" s="865"/>
      <c r="M13" s="619"/>
      <c r="N13" s="864" t="s">
        <v>20</v>
      </c>
      <c r="O13" s="864"/>
      <c r="P13" s="864"/>
      <c r="R13" s="1182" t="s">
        <v>20</v>
      </c>
      <c r="S13" s="1182"/>
      <c r="T13" s="1182"/>
      <c r="V13" s="417"/>
      <c r="W13" s="417"/>
      <c r="X13" s="417"/>
      <c r="Y13" s="417"/>
    </row>
    <row r="14" spans="1:25" s="32" customFormat="1" ht="24.95" customHeight="1">
      <c r="A14" s="863" t="s">
        <v>37</v>
      </c>
      <c r="B14" s="862">
        <v>100</v>
      </c>
      <c r="C14" s="862">
        <v>100</v>
      </c>
      <c r="D14" s="862">
        <v>100</v>
      </c>
      <c r="E14" s="861" t="s">
        <v>37</v>
      </c>
      <c r="F14" s="844">
        <v>100</v>
      </c>
      <c r="G14" s="844">
        <v>100</v>
      </c>
      <c r="H14" s="844">
        <v>100</v>
      </c>
      <c r="I14" s="860" t="s">
        <v>37</v>
      </c>
      <c r="J14" s="842">
        <v>100</v>
      </c>
      <c r="K14" s="842">
        <v>100</v>
      </c>
      <c r="L14" s="842">
        <v>100</v>
      </c>
      <c r="M14" s="859" t="s">
        <v>37</v>
      </c>
      <c r="N14" s="840">
        <v>100</v>
      </c>
      <c r="O14" s="840">
        <v>100</v>
      </c>
      <c r="P14" s="840">
        <v>100</v>
      </c>
      <c r="Q14" s="29" t="s">
        <v>37</v>
      </c>
      <c r="R14" s="839">
        <f t="shared" ref="R14:T15" si="0">R5/R$5*100</f>
        <v>100</v>
      </c>
      <c r="S14" s="839">
        <f t="shared" si="0"/>
        <v>100</v>
      </c>
      <c r="T14" s="839">
        <f t="shared" si="0"/>
        <v>100</v>
      </c>
      <c r="V14" s="858"/>
      <c r="W14" s="858"/>
      <c r="X14" s="858"/>
    </row>
    <row r="15" spans="1:25" s="18" customFormat="1" ht="6" customHeight="1">
      <c r="A15" s="524"/>
      <c r="B15" s="857"/>
      <c r="C15" s="857"/>
      <c r="D15" s="857"/>
      <c r="E15" s="638"/>
      <c r="F15" s="856"/>
      <c r="G15" s="856"/>
      <c r="H15" s="856"/>
      <c r="I15" s="520"/>
      <c r="J15" s="855"/>
      <c r="K15" s="855"/>
      <c r="L15" s="855"/>
      <c r="M15" s="637"/>
      <c r="N15" s="854"/>
      <c r="O15" s="854"/>
      <c r="P15" s="854"/>
      <c r="Q15" s="23"/>
      <c r="R15" s="839">
        <f t="shared" si="0"/>
        <v>0</v>
      </c>
      <c r="S15" s="839">
        <f t="shared" si="0"/>
        <v>0</v>
      </c>
      <c r="T15" s="839">
        <f t="shared" si="0"/>
        <v>0</v>
      </c>
      <c r="V15" s="838"/>
      <c r="W15" s="838"/>
      <c r="X15" s="838"/>
    </row>
    <row r="16" spans="1:25" s="12" customFormat="1" ht="24.95" customHeight="1">
      <c r="A16" s="853" t="s">
        <v>88</v>
      </c>
      <c r="B16" s="852">
        <v>1.1607241577106679</v>
      </c>
      <c r="C16" s="852">
        <v>1.598454431636662</v>
      </c>
      <c r="D16" s="852">
        <v>0.62566891659012092</v>
      </c>
      <c r="E16" s="851" t="s">
        <v>88</v>
      </c>
      <c r="F16" s="844">
        <v>1.7909621215117888</v>
      </c>
      <c r="G16" s="844">
        <v>2.0741174444398514</v>
      </c>
      <c r="H16" s="844">
        <v>1.4649070036928789</v>
      </c>
      <c r="I16" s="850" t="s">
        <v>88</v>
      </c>
      <c r="J16" s="842">
        <v>1.4461438252463343</v>
      </c>
      <c r="K16" s="842">
        <v>2.1274431935146234</v>
      </c>
      <c r="L16" s="842">
        <v>0.61432721084443398</v>
      </c>
      <c r="M16" s="849" t="s">
        <v>88</v>
      </c>
      <c r="N16" s="840">
        <v>1.7794652699740168</v>
      </c>
      <c r="O16" s="840">
        <v>2.3087603627889606</v>
      </c>
      <c r="P16" s="840">
        <v>1.1369169776579156</v>
      </c>
      <c r="Q16" s="44" t="s">
        <v>88</v>
      </c>
      <c r="R16" s="839">
        <f>R7/R$5*100+0.03</f>
        <v>1.5705026328022618</v>
      </c>
      <c r="S16" s="839">
        <f t="shared" ref="S16:T21" si="1">S7/S$5*100</f>
        <v>2.0119020834741463</v>
      </c>
      <c r="T16" s="839">
        <f t="shared" si="1"/>
        <v>0.95236423995115338</v>
      </c>
      <c r="V16" s="838"/>
      <c r="W16" s="838"/>
      <c r="X16" s="838"/>
    </row>
    <row r="17" spans="1:24" s="12" customFormat="1" ht="24.95" customHeight="1">
      <c r="A17" s="853" t="s">
        <v>87</v>
      </c>
      <c r="B17" s="852">
        <v>8.0460401289099863</v>
      </c>
      <c r="C17" s="852">
        <v>6.268532357639339</v>
      </c>
      <c r="D17" s="852">
        <v>10.225429252742869</v>
      </c>
      <c r="E17" s="851" t="s">
        <v>87</v>
      </c>
      <c r="F17" s="844">
        <v>8.7011859859598992</v>
      </c>
      <c r="G17" s="844">
        <v>7.6804585348379009</v>
      </c>
      <c r="H17" s="844">
        <v>10.015846904352486</v>
      </c>
      <c r="I17" s="850" t="s">
        <v>87</v>
      </c>
      <c r="J17" s="842">
        <v>7.7979289294070968</v>
      </c>
      <c r="K17" s="842">
        <v>8.0081415138924719</v>
      </c>
      <c r="L17" s="842">
        <v>7.5620183674666981</v>
      </c>
      <c r="M17" s="849" t="s">
        <v>87</v>
      </c>
      <c r="N17" s="840">
        <v>8.8134464317197878</v>
      </c>
      <c r="O17" s="840">
        <v>7.2255738610066826</v>
      </c>
      <c r="P17" s="840">
        <v>10.771075881864725</v>
      </c>
      <c r="Q17" s="44" t="s">
        <v>87</v>
      </c>
      <c r="R17" s="839">
        <f>R8/R$5*100</f>
        <v>8.3263297443192865</v>
      </c>
      <c r="S17" s="839">
        <f t="shared" si="1"/>
        <v>7.2755144269066525</v>
      </c>
      <c r="T17" s="839">
        <f t="shared" si="1"/>
        <v>9.6372817798583483</v>
      </c>
      <c r="V17" s="838"/>
      <c r="W17" s="838"/>
      <c r="X17" s="838"/>
    </row>
    <row r="18" spans="1:24" s="12" customFormat="1" ht="24.95" customHeight="1">
      <c r="A18" s="853" t="s">
        <v>86</v>
      </c>
      <c r="B18" s="852">
        <v>33.868776282699628</v>
      </c>
      <c r="C18" s="852">
        <v>34.9238278720373</v>
      </c>
      <c r="D18" s="852">
        <v>32.579144479387061</v>
      </c>
      <c r="E18" s="851" t="s">
        <v>86</v>
      </c>
      <c r="F18" s="844">
        <v>34.876704469920661</v>
      </c>
      <c r="G18" s="844">
        <v>37.534410779977676</v>
      </c>
      <c r="H18" s="844">
        <v>31.385033636962149</v>
      </c>
      <c r="I18" s="850" t="s">
        <v>86</v>
      </c>
      <c r="J18" s="842">
        <v>35.766045129583603</v>
      </c>
      <c r="K18" s="842">
        <v>37.369635748436494</v>
      </c>
      <c r="L18" s="842">
        <v>33.737566750777539</v>
      </c>
      <c r="M18" s="849" t="s">
        <v>86</v>
      </c>
      <c r="N18" s="840">
        <v>43.374644044614854</v>
      </c>
      <c r="O18" s="840">
        <v>47.683363511615255</v>
      </c>
      <c r="P18" s="840">
        <v>38.143988455373986</v>
      </c>
      <c r="Q18" s="44" t="s">
        <v>86</v>
      </c>
      <c r="R18" s="839">
        <f>R9/R$5*100</f>
        <v>36.727521482233037</v>
      </c>
      <c r="S18" s="839">
        <f t="shared" si="1"/>
        <v>39.049593409080067</v>
      </c>
      <c r="T18" s="839">
        <f t="shared" si="1"/>
        <v>33.830708099865511</v>
      </c>
      <c r="V18" s="838"/>
      <c r="W18" s="838"/>
      <c r="X18" s="838"/>
    </row>
    <row r="19" spans="1:24" s="12" customFormat="1" ht="24.95" customHeight="1">
      <c r="A19" s="853" t="s">
        <v>85</v>
      </c>
      <c r="B19" s="852">
        <v>36.927733226378315</v>
      </c>
      <c r="C19" s="852">
        <v>39.628934075896908</v>
      </c>
      <c r="D19" s="852">
        <v>33.692617469586452</v>
      </c>
      <c r="E19" s="851" t="s">
        <v>85</v>
      </c>
      <c r="F19" s="844">
        <v>36.33385997283812</v>
      </c>
      <c r="G19" s="844">
        <v>39.214097741771035</v>
      </c>
      <c r="H19" s="844">
        <v>32.624215418523313</v>
      </c>
      <c r="I19" s="850" t="s">
        <v>85</v>
      </c>
      <c r="J19" s="842">
        <v>36.19313259547733</v>
      </c>
      <c r="K19" s="842">
        <v>36.436753948257319</v>
      </c>
      <c r="L19" s="842">
        <v>35.884961269878531</v>
      </c>
      <c r="M19" s="849" t="s">
        <v>85</v>
      </c>
      <c r="N19" s="840">
        <v>30.69613208504818</v>
      </c>
      <c r="O19" s="840">
        <v>33.352874785842459</v>
      </c>
      <c r="P19" s="840">
        <v>27.470926507494347</v>
      </c>
      <c r="Q19" s="44" t="s">
        <v>85</v>
      </c>
      <c r="R19" s="839">
        <f>R10/R$5*100</f>
        <v>35.199875557000539</v>
      </c>
      <c r="S19" s="839">
        <f t="shared" si="1"/>
        <v>37.332282282466409</v>
      </c>
      <c r="T19" s="839">
        <f t="shared" si="1"/>
        <v>32.539621475035197</v>
      </c>
      <c r="V19" s="838"/>
      <c r="W19" s="838"/>
      <c r="X19" s="838"/>
    </row>
    <row r="20" spans="1:24" ht="24.95" customHeight="1">
      <c r="A20" s="853" t="s">
        <v>84</v>
      </c>
      <c r="B20" s="852">
        <v>19.938899100405386</v>
      </c>
      <c r="C20" s="852">
        <v>17.610251262789795</v>
      </c>
      <c r="D20" s="852">
        <v>22.785298594471225</v>
      </c>
      <c r="E20" s="851" t="s">
        <v>84</v>
      </c>
      <c r="F20" s="844">
        <v>18.302157670748706</v>
      </c>
      <c r="G20" s="844">
        <v>13.482274487110598</v>
      </c>
      <c r="H20" s="844">
        <v>24.509997036469176</v>
      </c>
      <c r="I20" s="850" t="s">
        <v>84</v>
      </c>
      <c r="J20" s="842">
        <v>18.095797135477813</v>
      </c>
      <c r="K20" s="842">
        <v>15.374211000901713</v>
      </c>
      <c r="L20" s="842">
        <v>21.538495393462824</v>
      </c>
      <c r="M20" s="849" t="s">
        <v>84</v>
      </c>
      <c r="N20" s="840">
        <v>15.336312168643158</v>
      </c>
      <c r="O20" s="840">
        <v>9.429427478746641</v>
      </c>
      <c r="P20" s="840">
        <v>22.507092177609024</v>
      </c>
      <c r="Q20" s="44" t="s">
        <v>84</v>
      </c>
      <c r="R20" s="839">
        <f>R11/R$5*100</f>
        <v>18.025896796393557</v>
      </c>
      <c r="S20" s="839">
        <f t="shared" si="1"/>
        <v>14.156444756964085</v>
      </c>
      <c r="T20" s="839">
        <f t="shared" si="1"/>
        <v>22.853187153566594</v>
      </c>
      <c r="V20" s="838"/>
      <c r="W20" s="838"/>
      <c r="X20" s="838"/>
    </row>
    <row r="21" spans="1:24" ht="24.95" customHeight="1">
      <c r="A21" s="848" t="s">
        <v>83</v>
      </c>
      <c r="B21" s="846">
        <v>5.7827103896017161E-2</v>
      </c>
      <c r="C21" s="847" t="s">
        <v>7</v>
      </c>
      <c r="D21" s="846">
        <v>6.184128722227078E-2</v>
      </c>
      <c r="E21" s="845" t="s">
        <v>83</v>
      </c>
      <c r="F21" s="844">
        <v>2.5129779020822814E-2</v>
      </c>
      <c r="G21" s="844">
        <v>2.5129779020822814E-2</v>
      </c>
      <c r="H21" s="844" t="s">
        <v>8</v>
      </c>
      <c r="I21" s="843" t="s">
        <v>83</v>
      </c>
      <c r="J21" s="842">
        <v>0.67095238480783093</v>
      </c>
      <c r="K21" s="842">
        <v>0.65381459499737604</v>
      </c>
      <c r="L21" s="842">
        <v>0.69263100756997831</v>
      </c>
      <c r="M21" s="841" t="s">
        <v>83</v>
      </c>
      <c r="N21" s="840" t="s">
        <v>8</v>
      </c>
      <c r="O21" s="840" t="s">
        <v>8</v>
      </c>
      <c r="P21" s="840" t="s">
        <v>8</v>
      </c>
      <c r="Q21" s="45" t="s">
        <v>83</v>
      </c>
      <c r="R21" s="839">
        <f>R12/R$5*100</f>
        <v>0.17989781099638885</v>
      </c>
      <c r="S21" s="839">
        <f t="shared" si="1"/>
        <v>0.17434960276495243</v>
      </c>
      <c r="T21" s="839">
        <f t="shared" si="1"/>
        <v>0.18681925372187419</v>
      </c>
      <c r="V21" s="838"/>
      <c r="W21" s="838"/>
      <c r="X21" s="838"/>
    </row>
    <row r="22" spans="1:24" ht="18.75" customHeight="1">
      <c r="A22" s="837"/>
      <c r="B22" s="836"/>
      <c r="C22" s="836"/>
      <c r="D22" s="836"/>
      <c r="E22" s="835"/>
      <c r="F22" s="834"/>
      <c r="G22" s="834"/>
      <c r="H22" s="834"/>
      <c r="I22" s="833"/>
      <c r="J22" s="832"/>
      <c r="K22" s="832"/>
      <c r="L22" s="832"/>
      <c r="M22" s="831"/>
      <c r="N22" s="830"/>
      <c r="O22" s="830"/>
      <c r="P22" s="830"/>
      <c r="Q22" s="829"/>
      <c r="R22" s="828"/>
      <c r="S22" s="828"/>
      <c r="T22" s="828"/>
    </row>
    <row r="23" spans="1:24" ht="30.75" customHeight="1">
      <c r="A23" s="415" t="s">
        <v>22</v>
      </c>
      <c r="E23" s="415" t="s">
        <v>22</v>
      </c>
      <c r="I23" s="9" t="s">
        <v>22</v>
      </c>
      <c r="M23" s="9" t="s">
        <v>22</v>
      </c>
      <c r="Q23" s="9" t="s">
        <v>22</v>
      </c>
    </row>
    <row r="24" spans="1:24" s="827" customFormat="1" ht="48" customHeight="1">
      <c r="B24" s="827">
        <v>4</v>
      </c>
      <c r="F24" s="827">
        <v>3</v>
      </c>
      <c r="J24" s="827">
        <v>2</v>
      </c>
      <c r="N24" s="827">
        <v>1</v>
      </c>
      <c r="R24" s="827">
        <v>2563</v>
      </c>
    </row>
    <row r="26" spans="1:24" ht="30.75" customHeight="1">
      <c r="B26" s="826"/>
      <c r="C26" s="826"/>
      <c r="D26" s="826"/>
      <c r="F26" s="826"/>
      <c r="G26" s="826"/>
      <c r="H26" s="826"/>
      <c r="J26" s="826"/>
      <c r="K26" s="826"/>
      <c r="L26" s="826"/>
      <c r="N26" s="826"/>
      <c r="O26" s="826"/>
      <c r="P26" s="826"/>
    </row>
    <row r="27" spans="1:24" s="12" customFormat="1" ht="18.75" customHeight="1"/>
    <row r="28" spans="1:24" s="12" customFormat="1" ht="18.75" customHeight="1"/>
    <row r="29" spans="1:24" s="12" customFormat="1" ht="18.75" customHeight="1"/>
    <row r="30" spans="1:24" s="12" customFormat="1" ht="18.75" customHeight="1"/>
  </sheetData>
  <sheetProtection selectLockedCells="1" selectUnlockedCells="1"/>
  <mergeCells count="2">
    <mergeCell ref="R4:T4"/>
    <mergeCell ref="R13:T13"/>
  </mergeCells>
  <printOptions horizontalCentered="1"/>
  <pageMargins left="0.23622047244094491" right="0" top="0.98425196850393704" bottom="0.78740157480314965" header="0.51181102362204722" footer="0.51181102362204722"/>
  <pageSetup paperSize="9" scale="65" firstPageNumber="12" orientation="landscape" useFirstPageNumber="1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535"/>
  <sheetViews>
    <sheetView zoomScale="66" zoomScaleNormal="66" workbookViewId="0">
      <selection activeCell="B5" sqref="B5"/>
    </sheetView>
  </sheetViews>
  <sheetFormatPr defaultRowHeight="17.25" customHeight="1"/>
  <cols>
    <col min="1" max="1" width="15.140625" style="27" customWidth="1"/>
    <col min="2" max="2" width="11.85546875" style="27" customWidth="1"/>
    <col min="3" max="4" width="10.42578125" style="27" customWidth="1"/>
    <col min="5" max="5" width="12.42578125" style="27" customWidth="1"/>
    <col min="6" max="6" width="10.42578125" style="27" customWidth="1"/>
    <col min="7" max="8" width="9.85546875" style="27" customWidth="1"/>
    <col min="9" max="9" width="12.28515625" style="27" customWidth="1"/>
    <col min="10" max="10" width="11.28515625" style="27" customWidth="1"/>
    <col min="11" max="12" width="10.85546875" style="27" customWidth="1"/>
    <col min="13" max="13" width="12.140625" style="27" customWidth="1"/>
    <col min="14" max="14" width="12.5703125" style="27" customWidth="1"/>
    <col min="15" max="15" width="9.7109375" style="27" customWidth="1"/>
    <col min="16" max="16" width="9.5703125" style="27" customWidth="1"/>
    <col min="17" max="17" width="15.5703125" style="27" customWidth="1"/>
    <col min="18" max="18" width="9.7109375" style="27" customWidth="1"/>
    <col min="19" max="20" width="10" style="27" customWidth="1"/>
    <col min="21" max="16384" width="9.140625" style="27"/>
  </cols>
  <sheetData>
    <row r="1" spans="1:20" s="35" customFormat="1" ht="30.75" customHeight="1">
      <c r="A1" s="414" t="s">
        <v>99</v>
      </c>
      <c r="B1" s="413"/>
      <c r="C1" s="413"/>
      <c r="D1" s="413"/>
      <c r="E1" s="412" t="s">
        <v>99</v>
      </c>
      <c r="F1" s="995"/>
      <c r="G1" s="995"/>
      <c r="H1" s="995"/>
      <c r="I1" s="410" t="s">
        <v>99</v>
      </c>
      <c r="J1" s="994"/>
      <c r="K1" s="994"/>
      <c r="L1" s="994"/>
      <c r="M1" s="408" t="s">
        <v>99</v>
      </c>
      <c r="N1" s="993"/>
      <c r="O1" s="993"/>
      <c r="P1" s="993"/>
      <c r="Q1" s="35" t="s">
        <v>200</v>
      </c>
    </row>
    <row r="2" spans="1:20" ht="24" customHeight="1">
      <c r="A2" s="992" t="s">
        <v>174</v>
      </c>
      <c r="B2" s="921"/>
      <c r="C2" s="921"/>
      <c r="D2" s="921"/>
      <c r="E2" s="991" t="s">
        <v>173</v>
      </c>
      <c r="F2" s="916"/>
      <c r="G2" s="916"/>
      <c r="H2" s="916"/>
      <c r="I2" s="990" t="s">
        <v>172</v>
      </c>
      <c r="J2" s="913"/>
      <c r="K2" s="913"/>
      <c r="L2" s="913"/>
      <c r="M2" s="989" t="s">
        <v>171</v>
      </c>
      <c r="N2" s="910"/>
      <c r="O2" s="910"/>
      <c r="P2" s="910"/>
      <c r="Q2" s="32" t="s">
        <v>170</v>
      </c>
    </row>
    <row r="3" spans="1:20" s="32" customFormat="1" ht="30.75" customHeight="1">
      <c r="A3" s="988" t="s">
        <v>98</v>
      </c>
      <c r="B3" s="987" t="s">
        <v>0</v>
      </c>
      <c r="C3" s="987" t="s">
        <v>1</v>
      </c>
      <c r="D3" s="987" t="s">
        <v>2</v>
      </c>
      <c r="E3" s="986" t="s">
        <v>98</v>
      </c>
      <c r="F3" s="985" t="s">
        <v>0</v>
      </c>
      <c r="G3" s="985" t="s">
        <v>1</v>
      </c>
      <c r="H3" s="985" t="s">
        <v>2</v>
      </c>
      <c r="I3" s="984" t="s">
        <v>98</v>
      </c>
      <c r="J3" s="983" t="s">
        <v>0</v>
      </c>
      <c r="K3" s="983" t="s">
        <v>1</v>
      </c>
      <c r="L3" s="983" t="s">
        <v>2</v>
      </c>
      <c r="M3" s="982" t="s">
        <v>98</v>
      </c>
      <c r="N3" s="981" t="s">
        <v>0</v>
      </c>
      <c r="O3" s="981" t="s">
        <v>1</v>
      </c>
      <c r="P3" s="981" t="s">
        <v>2</v>
      </c>
      <c r="Q3" s="980" t="s">
        <v>98</v>
      </c>
      <c r="R3" s="37" t="s">
        <v>0</v>
      </c>
      <c r="S3" s="37" t="s">
        <v>1</v>
      </c>
      <c r="T3" s="37" t="s">
        <v>2</v>
      </c>
    </row>
    <row r="4" spans="1:20" s="667" customFormat="1" ht="30.75" customHeight="1">
      <c r="A4" s="960"/>
      <c r="B4" s="979" t="s">
        <v>21</v>
      </c>
      <c r="C4" s="979"/>
      <c r="D4" s="979"/>
      <c r="E4" s="959"/>
      <c r="F4" s="978" t="s">
        <v>21</v>
      </c>
      <c r="G4" s="978"/>
      <c r="H4" s="978"/>
      <c r="I4" s="958"/>
      <c r="J4" s="977" t="s">
        <v>21</v>
      </c>
      <c r="K4" s="977"/>
      <c r="L4" s="977"/>
      <c r="M4" s="957"/>
      <c r="N4" s="976" t="s">
        <v>21</v>
      </c>
      <c r="O4" s="976"/>
      <c r="P4" s="976"/>
      <c r="Q4" s="975"/>
      <c r="R4" s="1184" t="s">
        <v>21</v>
      </c>
      <c r="S4" s="1184"/>
      <c r="T4" s="1184"/>
    </row>
    <row r="5" spans="1:20" s="32" customFormat="1" ht="30.75" customHeight="1">
      <c r="A5" s="863" t="s">
        <v>37</v>
      </c>
      <c r="B5" s="974">
        <v>1347607</v>
      </c>
      <c r="C5" s="974">
        <v>741216</v>
      </c>
      <c r="D5" s="974">
        <v>606391</v>
      </c>
      <c r="E5" s="861" t="s">
        <v>37</v>
      </c>
      <c r="F5" s="973">
        <v>1289307</v>
      </c>
      <c r="G5" s="970">
        <v>725790</v>
      </c>
      <c r="H5" s="970">
        <v>563517</v>
      </c>
      <c r="I5" s="860" t="s">
        <v>37</v>
      </c>
      <c r="J5" s="968">
        <v>1235110</v>
      </c>
      <c r="K5" s="968">
        <v>689798</v>
      </c>
      <c r="L5" s="968">
        <v>545312</v>
      </c>
      <c r="M5" s="859" t="s">
        <v>37</v>
      </c>
      <c r="N5" s="966">
        <v>1123034</v>
      </c>
      <c r="O5" s="966">
        <v>615785</v>
      </c>
      <c r="P5" s="966">
        <v>507249</v>
      </c>
      <c r="Q5" s="29" t="s">
        <v>37</v>
      </c>
      <c r="R5" s="38">
        <f>(N5+J5+F5+B5)/4</f>
        <v>1248764.5</v>
      </c>
      <c r="S5" s="38">
        <f>(O5+K5+G5+C5)/4+0.3</f>
        <v>693147.55</v>
      </c>
      <c r="T5" s="38">
        <f>(P5+L5+H5+D5)/4</f>
        <v>555617.25</v>
      </c>
    </row>
    <row r="6" spans="1:20" s="32" customFormat="1" ht="7.15" customHeight="1">
      <c r="A6" s="863"/>
      <c r="B6" s="972"/>
      <c r="C6" s="972"/>
      <c r="D6" s="972"/>
      <c r="E6" s="861"/>
      <c r="F6" s="963"/>
      <c r="G6" s="971"/>
      <c r="H6" s="970"/>
      <c r="I6" s="860"/>
      <c r="J6" s="962"/>
      <c r="K6" s="969"/>
      <c r="L6" s="968"/>
      <c r="M6" s="859"/>
      <c r="N6" s="961"/>
      <c r="O6" s="967"/>
      <c r="P6" s="966"/>
      <c r="Q6" s="29"/>
      <c r="R6" s="965"/>
      <c r="S6" s="965"/>
      <c r="T6" s="965"/>
    </row>
    <row r="7" spans="1:20" ht="30.75" customHeight="1">
      <c r="A7" s="939" t="s">
        <v>199</v>
      </c>
      <c r="B7" s="964">
        <v>274</v>
      </c>
      <c r="C7" s="964">
        <v>0</v>
      </c>
      <c r="D7" s="767">
        <v>274</v>
      </c>
      <c r="E7" s="938" t="s">
        <v>199</v>
      </c>
      <c r="F7" s="963">
        <v>12621</v>
      </c>
      <c r="G7" s="963">
        <v>6747</v>
      </c>
      <c r="H7" s="963">
        <v>5874</v>
      </c>
      <c r="I7" s="937" t="s">
        <v>199</v>
      </c>
      <c r="J7" s="962">
        <v>51334</v>
      </c>
      <c r="K7" s="962">
        <v>21350</v>
      </c>
      <c r="L7" s="962">
        <v>29984</v>
      </c>
      <c r="M7" s="936" t="s">
        <v>199</v>
      </c>
      <c r="N7" s="961">
        <v>51770</v>
      </c>
      <c r="O7" s="961">
        <v>38297</v>
      </c>
      <c r="P7" s="961">
        <v>13473</v>
      </c>
      <c r="Q7" s="36" t="s">
        <v>97</v>
      </c>
      <c r="R7" s="25">
        <f t="shared" ref="R7:T8" si="0">(N7+J7+F7+B7)/4</f>
        <v>28999.75</v>
      </c>
      <c r="S7" s="25">
        <f t="shared" si="0"/>
        <v>16598.5</v>
      </c>
      <c r="T7" s="25">
        <f t="shared" si="0"/>
        <v>12401.25</v>
      </c>
    </row>
    <row r="8" spans="1:20" ht="30.75" customHeight="1">
      <c r="A8" s="939" t="s">
        <v>96</v>
      </c>
      <c r="B8" s="767">
        <v>9352</v>
      </c>
      <c r="C8" s="767">
        <v>7579</v>
      </c>
      <c r="D8" s="767">
        <v>1773</v>
      </c>
      <c r="E8" s="938" t="s">
        <v>96</v>
      </c>
      <c r="F8" s="963">
        <v>7915</v>
      </c>
      <c r="G8" s="963">
        <v>5814</v>
      </c>
      <c r="H8" s="963">
        <v>2101</v>
      </c>
      <c r="I8" s="937" t="s">
        <v>96</v>
      </c>
      <c r="J8" s="962">
        <v>8650</v>
      </c>
      <c r="K8" s="962">
        <v>8069</v>
      </c>
      <c r="L8" s="962">
        <v>581</v>
      </c>
      <c r="M8" s="936" t="s">
        <v>96</v>
      </c>
      <c r="N8" s="961">
        <v>19961</v>
      </c>
      <c r="O8" s="961">
        <v>12869</v>
      </c>
      <c r="P8" s="961">
        <v>7092</v>
      </c>
      <c r="Q8" s="36" t="s">
        <v>96</v>
      </c>
      <c r="R8" s="25">
        <f t="shared" si="0"/>
        <v>11469.5</v>
      </c>
      <c r="S8" s="25">
        <f t="shared" si="0"/>
        <v>8582.75</v>
      </c>
      <c r="T8" s="25">
        <f t="shared" si="0"/>
        <v>2886.75</v>
      </c>
    </row>
    <row r="9" spans="1:20" ht="30.75" customHeight="1">
      <c r="A9" s="943" t="s">
        <v>95</v>
      </c>
      <c r="B9" s="964">
        <v>80988</v>
      </c>
      <c r="C9" s="964">
        <v>54042</v>
      </c>
      <c r="D9" s="964">
        <v>26946</v>
      </c>
      <c r="E9" s="942" t="s">
        <v>95</v>
      </c>
      <c r="F9" s="963">
        <v>70279</v>
      </c>
      <c r="G9" s="963">
        <v>35467</v>
      </c>
      <c r="H9" s="963">
        <v>34812</v>
      </c>
      <c r="I9" s="941" t="s">
        <v>95</v>
      </c>
      <c r="J9" s="962">
        <v>77694</v>
      </c>
      <c r="K9" s="962">
        <v>42947</v>
      </c>
      <c r="L9" s="962">
        <v>34747</v>
      </c>
      <c r="M9" s="940" t="s">
        <v>95</v>
      </c>
      <c r="N9" s="961">
        <v>44065</v>
      </c>
      <c r="O9" s="961">
        <v>21513</v>
      </c>
      <c r="P9" s="961">
        <v>22552</v>
      </c>
      <c r="Q9" s="40" t="s">
        <v>95</v>
      </c>
      <c r="R9" s="25">
        <f>(N9+J9+F9+B9)/4-0.1</f>
        <v>68256.399999999994</v>
      </c>
      <c r="S9" s="25">
        <f t="shared" ref="S9:T12" si="1">(O9+K9+G9+C9)/4</f>
        <v>38492.25</v>
      </c>
      <c r="T9" s="25">
        <f t="shared" si="1"/>
        <v>29764.25</v>
      </c>
    </row>
    <row r="10" spans="1:20" ht="30.75" customHeight="1">
      <c r="A10" s="939" t="s">
        <v>94</v>
      </c>
      <c r="B10" s="964">
        <v>125358</v>
      </c>
      <c r="C10" s="964">
        <v>72596</v>
      </c>
      <c r="D10" s="964">
        <v>52762</v>
      </c>
      <c r="E10" s="938" t="s">
        <v>94</v>
      </c>
      <c r="F10" s="963">
        <v>165137</v>
      </c>
      <c r="G10" s="963">
        <v>79429</v>
      </c>
      <c r="H10" s="963">
        <v>85708</v>
      </c>
      <c r="I10" s="937" t="s">
        <v>94</v>
      </c>
      <c r="J10" s="962">
        <v>163009</v>
      </c>
      <c r="K10" s="962">
        <v>90492</v>
      </c>
      <c r="L10" s="962">
        <v>72517</v>
      </c>
      <c r="M10" s="936" t="s">
        <v>94</v>
      </c>
      <c r="N10" s="961">
        <v>76024</v>
      </c>
      <c r="O10" s="961">
        <v>42346</v>
      </c>
      <c r="P10" s="961">
        <v>33678</v>
      </c>
      <c r="Q10" s="36" t="s">
        <v>94</v>
      </c>
      <c r="R10" s="25">
        <f>(N10+J10+F10+B10)/4</f>
        <v>132382</v>
      </c>
      <c r="S10" s="25">
        <f t="shared" si="1"/>
        <v>71215.75</v>
      </c>
      <c r="T10" s="25">
        <f t="shared" si="1"/>
        <v>61166.25</v>
      </c>
    </row>
    <row r="11" spans="1:20" ht="30.75" customHeight="1">
      <c r="A11" s="939" t="s">
        <v>93</v>
      </c>
      <c r="B11" s="964">
        <v>102947</v>
      </c>
      <c r="C11" s="964">
        <v>57277</v>
      </c>
      <c r="D11" s="964">
        <v>45670</v>
      </c>
      <c r="E11" s="938" t="s">
        <v>93</v>
      </c>
      <c r="F11" s="963">
        <v>161082</v>
      </c>
      <c r="G11" s="963">
        <v>98330</v>
      </c>
      <c r="H11" s="963">
        <v>62752</v>
      </c>
      <c r="I11" s="937" t="s">
        <v>93</v>
      </c>
      <c r="J11" s="962">
        <v>134723</v>
      </c>
      <c r="K11" s="962">
        <v>77221</v>
      </c>
      <c r="L11" s="962">
        <v>57502</v>
      </c>
      <c r="M11" s="936" t="s">
        <v>93</v>
      </c>
      <c r="N11" s="961">
        <v>99803</v>
      </c>
      <c r="O11" s="961">
        <v>59535</v>
      </c>
      <c r="P11" s="961">
        <v>40268</v>
      </c>
      <c r="Q11" s="36" t="s">
        <v>93</v>
      </c>
      <c r="R11" s="25">
        <f>(N11+J11+F11+B11)/4</f>
        <v>124638.75</v>
      </c>
      <c r="S11" s="25">
        <f t="shared" si="1"/>
        <v>73090.75</v>
      </c>
      <c r="T11" s="25">
        <f t="shared" si="1"/>
        <v>51548</v>
      </c>
    </row>
    <row r="12" spans="1:20" ht="30.75" customHeight="1">
      <c r="A12" s="939" t="s">
        <v>92</v>
      </c>
      <c r="B12" s="964">
        <v>237796</v>
      </c>
      <c r="C12" s="964">
        <v>119935</v>
      </c>
      <c r="D12" s="964">
        <v>117861</v>
      </c>
      <c r="E12" s="938" t="s">
        <v>92</v>
      </c>
      <c r="F12" s="963">
        <v>188048</v>
      </c>
      <c r="G12" s="963">
        <v>107736</v>
      </c>
      <c r="H12" s="963">
        <v>80312</v>
      </c>
      <c r="I12" s="937" t="s">
        <v>92</v>
      </c>
      <c r="J12" s="962">
        <v>175137</v>
      </c>
      <c r="K12" s="962">
        <v>96342</v>
      </c>
      <c r="L12" s="962">
        <v>78795</v>
      </c>
      <c r="M12" s="936" t="s">
        <v>92</v>
      </c>
      <c r="N12" s="961">
        <v>152441</v>
      </c>
      <c r="O12" s="961">
        <v>66685</v>
      </c>
      <c r="P12" s="961">
        <v>85756</v>
      </c>
      <c r="Q12" s="36" t="s">
        <v>92</v>
      </c>
      <c r="R12" s="25">
        <f>(N12+J12+F12+B12)/4</f>
        <v>188355.5</v>
      </c>
      <c r="S12" s="25">
        <f t="shared" si="1"/>
        <v>97674.5</v>
      </c>
      <c r="T12" s="25">
        <f t="shared" si="1"/>
        <v>90681</v>
      </c>
    </row>
    <row r="13" spans="1:20" ht="30.75" customHeight="1">
      <c r="A13" s="939" t="s">
        <v>91</v>
      </c>
      <c r="B13" s="964">
        <v>612099</v>
      </c>
      <c r="C13" s="964">
        <v>347725</v>
      </c>
      <c r="D13" s="964">
        <v>264374</v>
      </c>
      <c r="E13" s="938" t="s">
        <v>91</v>
      </c>
      <c r="F13" s="963">
        <v>505718</v>
      </c>
      <c r="G13" s="963">
        <v>303932</v>
      </c>
      <c r="H13" s="963">
        <v>201786</v>
      </c>
      <c r="I13" s="937" t="s">
        <v>91</v>
      </c>
      <c r="J13" s="962">
        <v>425387</v>
      </c>
      <c r="K13" s="962">
        <v>250546</v>
      </c>
      <c r="L13" s="962">
        <v>174841</v>
      </c>
      <c r="M13" s="936" t="s">
        <v>91</v>
      </c>
      <c r="N13" s="961">
        <v>526749</v>
      </c>
      <c r="O13" s="961">
        <v>304667</v>
      </c>
      <c r="P13" s="961">
        <v>222082</v>
      </c>
      <c r="Q13" s="36" t="s">
        <v>91</v>
      </c>
      <c r="R13" s="25">
        <f>(N13+J13+F13+B13)/4</f>
        <v>517488.25</v>
      </c>
      <c r="S13" s="25">
        <f>(O13+K13+G13+C13)/4-0.1</f>
        <v>301717.40000000002</v>
      </c>
      <c r="T13" s="25">
        <f>(P13+L13+H13+D13)/4</f>
        <v>215770.75</v>
      </c>
    </row>
    <row r="14" spans="1:20" ht="30.75" customHeight="1">
      <c r="A14" s="935" t="s">
        <v>90</v>
      </c>
      <c r="B14" s="964">
        <v>178793</v>
      </c>
      <c r="C14" s="964">
        <v>82062</v>
      </c>
      <c r="D14" s="964">
        <v>96731</v>
      </c>
      <c r="E14" s="933" t="s">
        <v>90</v>
      </c>
      <c r="F14" s="963">
        <v>178507</v>
      </c>
      <c r="G14" s="963">
        <v>88335</v>
      </c>
      <c r="H14" s="963">
        <v>90172</v>
      </c>
      <c r="I14" s="931" t="s">
        <v>90</v>
      </c>
      <c r="J14" s="962">
        <v>199176</v>
      </c>
      <c r="K14" s="962">
        <v>102831</v>
      </c>
      <c r="L14" s="962">
        <v>96345</v>
      </c>
      <c r="M14" s="929" t="s">
        <v>90</v>
      </c>
      <c r="N14" s="961">
        <v>152221</v>
      </c>
      <c r="O14" s="961">
        <v>69873</v>
      </c>
      <c r="P14" s="961">
        <v>82348</v>
      </c>
      <c r="Q14" s="41" t="s">
        <v>90</v>
      </c>
      <c r="R14" s="25">
        <f>(N14+J14+F14+B14)/4</f>
        <v>177174.25</v>
      </c>
      <c r="S14" s="25">
        <f>(O14+K14+G14+C14)/4</f>
        <v>85775.25</v>
      </c>
      <c r="T14" s="25">
        <f>(P14+L14+H14+D14)/4</f>
        <v>91399</v>
      </c>
    </row>
    <row r="15" spans="1:20" s="420" customFormat="1" ht="25.5" customHeight="1">
      <c r="A15" s="674"/>
      <c r="B15" s="960" t="s">
        <v>20</v>
      </c>
      <c r="C15" s="960"/>
      <c r="D15" s="960"/>
      <c r="E15" s="672"/>
      <c r="F15" s="959" t="s">
        <v>20</v>
      </c>
      <c r="G15" s="959"/>
      <c r="H15" s="959"/>
      <c r="I15" s="670"/>
      <c r="J15" s="958" t="s">
        <v>20</v>
      </c>
      <c r="K15" s="958"/>
      <c r="L15" s="958"/>
      <c r="M15" s="668"/>
      <c r="N15" s="957" t="s">
        <v>20</v>
      </c>
      <c r="O15" s="957"/>
      <c r="P15" s="957"/>
    </row>
    <row r="16" spans="1:20" s="35" customFormat="1" ht="30.75" customHeight="1">
      <c r="A16" s="956" t="s">
        <v>37</v>
      </c>
      <c r="B16" s="947">
        <v>100</v>
      </c>
      <c r="C16" s="947">
        <v>100</v>
      </c>
      <c r="D16" s="947">
        <v>100</v>
      </c>
      <c r="E16" s="955" t="s">
        <v>37</v>
      </c>
      <c r="F16" s="954">
        <v>100</v>
      </c>
      <c r="G16" s="954">
        <v>100</v>
      </c>
      <c r="H16" s="954">
        <v>100</v>
      </c>
      <c r="I16" s="953" t="s">
        <v>37</v>
      </c>
      <c r="J16" s="952">
        <v>100</v>
      </c>
      <c r="K16" s="952">
        <v>100</v>
      </c>
      <c r="L16" s="952">
        <v>100</v>
      </c>
      <c r="M16" s="951" t="s">
        <v>37</v>
      </c>
      <c r="N16" s="950">
        <v>100</v>
      </c>
      <c r="O16" s="950">
        <v>100</v>
      </c>
      <c r="P16" s="950">
        <v>100</v>
      </c>
      <c r="Q16" s="949" t="s">
        <v>37</v>
      </c>
      <c r="R16" s="948">
        <f>R5*100/$R$5</f>
        <v>100</v>
      </c>
      <c r="S16" s="948">
        <f>S5*100/$S$5</f>
        <v>100</v>
      </c>
      <c r="T16" s="948">
        <f>T5*100/$T$5</f>
        <v>100</v>
      </c>
    </row>
    <row r="17" spans="1:20" s="32" customFormat="1" ht="6" customHeight="1">
      <c r="A17" s="863"/>
      <c r="B17" s="947"/>
      <c r="C17" s="947"/>
      <c r="D17" s="947"/>
      <c r="E17" s="861"/>
      <c r="F17" s="946"/>
      <c r="G17" s="946"/>
      <c r="H17" s="946"/>
      <c r="I17" s="860"/>
      <c r="J17" s="945"/>
      <c r="K17" s="945"/>
      <c r="L17" s="945"/>
      <c r="M17" s="859"/>
      <c r="N17" s="944"/>
      <c r="O17" s="944"/>
      <c r="P17" s="944"/>
      <c r="Q17" s="29"/>
    </row>
    <row r="18" spans="1:20" ht="30.75" customHeight="1">
      <c r="A18" s="939" t="s">
        <v>199</v>
      </c>
      <c r="B18" s="934">
        <v>5.0332337246689868E-2</v>
      </c>
      <c r="C18" s="934">
        <v>0</v>
      </c>
      <c r="D18" s="934">
        <v>7.5185367197072514E-2</v>
      </c>
      <c r="E18" s="938" t="s">
        <v>199</v>
      </c>
      <c r="F18" s="932">
        <v>0.97889796611668134</v>
      </c>
      <c r="G18" s="932">
        <v>0.92960773777538963</v>
      </c>
      <c r="H18" s="932">
        <v>1.042382039938458</v>
      </c>
      <c r="I18" s="937" t="s">
        <v>199</v>
      </c>
      <c r="J18" s="930">
        <v>4.1562289998461672</v>
      </c>
      <c r="K18" s="930">
        <v>3.095109002925494</v>
      </c>
      <c r="L18" s="930">
        <v>5.4985036089431372</v>
      </c>
      <c r="M18" s="936" t="s">
        <v>199</v>
      </c>
      <c r="N18" s="928">
        <v>4.6098337183023848</v>
      </c>
      <c r="O18" s="928">
        <v>6.219216122510292</v>
      </c>
      <c r="P18" s="928">
        <v>2.6560919784957684</v>
      </c>
      <c r="Q18" s="36" t="s">
        <v>97</v>
      </c>
      <c r="R18" s="927">
        <f t="shared" ref="R18:R25" si="2">R7*100/$R$5</f>
        <v>2.3222753369430347</v>
      </c>
      <c r="S18" s="927">
        <f t="shared" ref="S18:S25" si="3">S7*100/$S$5</f>
        <v>2.3946560872933906</v>
      </c>
      <c r="T18" s="927">
        <f t="shared" ref="T18:T24" si="4">T7*100/$T$5</f>
        <v>2.2319771389387211</v>
      </c>
    </row>
    <row r="19" spans="1:20" ht="30.75" customHeight="1">
      <c r="A19" s="939" t="s">
        <v>96</v>
      </c>
      <c r="B19" s="934">
        <v>0.69397086836147337</v>
      </c>
      <c r="C19" s="934">
        <v>1.0225089582523852</v>
      </c>
      <c r="D19" s="934">
        <v>0.29238560598689622</v>
      </c>
      <c r="E19" s="938" t="s">
        <v>96</v>
      </c>
      <c r="F19" s="932">
        <v>0.61389568194386601</v>
      </c>
      <c r="G19" s="932">
        <v>0.8010581573182326</v>
      </c>
      <c r="H19" s="932">
        <v>0.37283702177574057</v>
      </c>
      <c r="I19" s="937" t="s">
        <v>96</v>
      </c>
      <c r="J19" s="930">
        <v>0.70034247961720009</v>
      </c>
      <c r="K19" s="930">
        <v>1.1697627421361037</v>
      </c>
      <c r="L19" s="930">
        <v>0.10654451029869139</v>
      </c>
      <c r="M19" s="936" t="s">
        <v>96</v>
      </c>
      <c r="N19" s="928">
        <v>1.7774172464947633</v>
      </c>
      <c r="O19" s="928">
        <v>2.089852789528813</v>
      </c>
      <c r="P19" s="928">
        <v>1.3981299125281665</v>
      </c>
      <c r="Q19" s="36" t="s">
        <v>96</v>
      </c>
      <c r="R19" s="927">
        <f t="shared" si="2"/>
        <v>0.91846781358694929</v>
      </c>
      <c r="S19" s="927">
        <f t="shared" si="3"/>
        <v>1.2382284262564298</v>
      </c>
      <c r="T19" s="927">
        <f t="shared" si="4"/>
        <v>0.51955730316148396</v>
      </c>
    </row>
    <row r="20" spans="1:20" ht="30.75" customHeight="1">
      <c r="A20" s="943" t="s">
        <v>95</v>
      </c>
      <c r="B20" s="934">
        <v>6.0097639742150344</v>
      </c>
      <c r="C20" s="934">
        <v>7.2909920994689807</v>
      </c>
      <c r="D20" s="934">
        <v>4.4436675346434891</v>
      </c>
      <c r="E20" s="942" t="s">
        <v>95</v>
      </c>
      <c r="F20" s="932">
        <v>5.4509127771740946</v>
      </c>
      <c r="G20" s="932">
        <v>4.886675209082517</v>
      </c>
      <c r="H20" s="932">
        <v>6.1776308434350691</v>
      </c>
      <c r="I20" s="941" t="s">
        <v>95</v>
      </c>
      <c r="J20" s="930">
        <v>6.2904518625871377</v>
      </c>
      <c r="K20" s="930">
        <v>6.2260255901002903</v>
      </c>
      <c r="L20" s="930">
        <v>6.3719485358840444</v>
      </c>
      <c r="M20" s="940" t="s">
        <v>95</v>
      </c>
      <c r="N20" s="928">
        <v>3.9237458527524547</v>
      </c>
      <c r="O20" s="928">
        <v>3.4935894833424004</v>
      </c>
      <c r="P20" s="928">
        <v>4.4759427224104931</v>
      </c>
      <c r="Q20" s="40" t="s">
        <v>95</v>
      </c>
      <c r="R20" s="927">
        <f t="shared" si="2"/>
        <v>5.4659145099015856</v>
      </c>
      <c r="S20" s="927">
        <f t="shared" si="3"/>
        <v>5.5532548589402069</v>
      </c>
      <c r="T20" s="927">
        <f t="shared" si="4"/>
        <v>5.3569701084694543</v>
      </c>
    </row>
    <row r="21" spans="1:20" ht="30.75" customHeight="1">
      <c r="A21" s="939" t="s">
        <v>94</v>
      </c>
      <c r="B21" s="934">
        <v>9.3022669071917843</v>
      </c>
      <c r="C21" s="934">
        <v>9.7941760566420584</v>
      </c>
      <c r="D21" s="934">
        <v>8.7009866571238685</v>
      </c>
      <c r="E21" s="938" t="s">
        <v>94</v>
      </c>
      <c r="F21" s="932">
        <v>12.808198512844497</v>
      </c>
      <c r="G21" s="932">
        <v>10.943799170558977</v>
      </c>
      <c r="H21" s="932">
        <v>15.209479039674047</v>
      </c>
      <c r="I21" s="937" t="s">
        <v>94</v>
      </c>
      <c r="J21" s="930">
        <v>13.197933787274009</v>
      </c>
      <c r="K21" s="930">
        <v>13.118623133149125</v>
      </c>
      <c r="L21" s="930">
        <v>13.298258611583828</v>
      </c>
      <c r="M21" s="936" t="s">
        <v>94</v>
      </c>
      <c r="N21" s="928">
        <v>6.7695189994247729</v>
      </c>
      <c r="O21" s="928">
        <v>6.8767508140016398</v>
      </c>
      <c r="P21" s="928">
        <v>6.6393428079700501</v>
      </c>
      <c r="Q21" s="36" t="s">
        <v>94</v>
      </c>
      <c r="R21" s="927">
        <f t="shared" si="2"/>
        <v>10.601038066024458</v>
      </c>
      <c r="S21" s="927">
        <f t="shared" si="3"/>
        <v>10.274255459750236</v>
      </c>
      <c r="T21" s="927">
        <f t="shared" si="4"/>
        <v>11.008702483589197</v>
      </c>
    </row>
    <row r="22" spans="1:20" ht="30.75" customHeight="1">
      <c r="A22" s="939" t="s">
        <v>93</v>
      </c>
      <c r="B22" s="934">
        <v>7.6392449727554101</v>
      </c>
      <c r="C22" s="934">
        <v>7.7274370763717997</v>
      </c>
      <c r="D22" s="934">
        <v>7.5314442331762841</v>
      </c>
      <c r="E22" s="938" t="s">
        <v>93</v>
      </c>
      <c r="F22" s="932">
        <v>12.493688469852408</v>
      </c>
      <c r="G22" s="932">
        <v>13.577995976797697</v>
      </c>
      <c r="H22" s="932">
        <v>11.135777625164813</v>
      </c>
      <c r="I22" s="937" t="s">
        <v>93</v>
      </c>
      <c r="J22" s="930">
        <v>10.907773396701508</v>
      </c>
      <c r="K22" s="930">
        <v>11.194726572126912</v>
      </c>
      <c r="L22" s="930">
        <v>10.544789038201984</v>
      </c>
      <c r="M22" s="936" t="s">
        <v>93</v>
      </c>
      <c r="N22" s="928">
        <v>8.8869081434756207</v>
      </c>
      <c r="O22" s="928">
        <v>9.6681471617528842</v>
      </c>
      <c r="P22" s="928">
        <v>7.9385075180039779</v>
      </c>
      <c r="Q22" s="36" t="s">
        <v>93</v>
      </c>
      <c r="R22" s="927">
        <f t="shared" si="2"/>
        <v>9.9809651859898327</v>
      </c>
      <c r="S22" s="927">
        <f t="shared" si="3"/>
        <v>10.544760635740543</v>
      </c>
      <c r="T22" s="927">
        <f t="shared" si="4"/>
        <v>9.2776097214404345</v>
      </c>
    </row>
    <row r="23" spans="1:20" ht="30.75" customHeight="1">
      <c r="A23" s="939" t="s">
        <v>92</v>
      </c>
      <c r="B23" s="934">
        <v>17.645797328152792</v>
      </c>
      <c r="C23" s="934">
        <v>16.180843370893236</v>
      </c>
      <c r="D23" s="934">
        <v>19.436469208810816</v>
      </c>
      <c r="E23" s="938" t="s">
        <v>92</v>
      </c>
      <c r="F23" s="932">
        <v>14.585199646011384</v>
      </c>
      <c r="G23" s="932">
        <v>14.843963129830943</v>
      </c>
      <c r="H23" s="932">
        <v>14.251921414970623</v>
      </c>
      <c r="I23" s="937" t="s">
        <v>92</v>
      </c>
      <c r="J23" s="930">
        <v>14.179870618811281</v>
      </c>
      <c r="K23" s="930">
        <v>13.966697496948383</v>
      </c>
      <c r="L23" s="930">
        <v>14.449526142831994</v>
      </c>
      <c r="M23" s="936" t="s">
        <v>92</v>
      </c>
      <c r="N23" s="928">
        <v>13.574032486995051</v>
      </c>
      <c r="O23" s="928">
        <v>10.82926670834788</v>
      </c>
      <c r="P23" s="928">
        <v>16.906095428477926</v>
      </c>
      <c r="Q23" s="36" t="s">
        <v>92</v>
      </c>
      <c r="R23" s="927">
        <f t="shared" si="2"/>
        <v>15.083348381540315</v>
      </c>
      <c r="S23" s="927">
        <f t="shared" si="3"/>
        <v>14.091444166541452</v>
      </c>
      <c r="T23" s="927">
        <f t="shared" si="4"/>
        <v>16.320767578760378</v>
      </c>
    </row>
    <row r="24" spans="1:20" ht="30.75" customHeight="1">
      <c r="A24" s="939" t="s">
        <v>91</v>
      </c>
      <c r="B24" s="934">
        <v>45.421179913728558</v>
      </c>
      <c r="C24" s="934">
        <v>46.912775763070414</v>
      </c>
      <c r="D24" s="934">
        <v>43.597942581601643</v>
      </c>
      <c r="E24" s="938" t="s">
        <v>91</v>
      </c>
      <c r="F24" s="932">
        <v>39.224017243371826</v>
      </c>
      <c r="G24" s="932">
        <v>41.876024745449783</v>
      </c>
      <c r="H24" s="932">
        <v>35.808325214678526</v>
      </c>
      <c r="I24" s="937" t="s">
        <v>91</v>
      </c>
      <c r="J24" s="930">
        <v>34.441223858603685</v>
      </c>
      <c r="K24" s="930">
        <v>36.321647786743362</v>
      </c>
      <c r="L24" s="930">
        <v>32.06256234962737</v>
      </c>
      <c r="M24" s="936" t="s">
        <v>91</v>
      </c>
      <c r="N24" s="928">
        <v>46.904100855361456</v>
      </c>
      <c r="O24" s="928">
        <v>49.476197049294804</v>
      </c>
      <c r="P24" s="928">
        <v>43.781653586305737</v>
      </c>
      <c r="Q24" s="36" t="s">
        <v>91</v>
      </c>
      <c r="R24" s="927">
        <f t="shared" si="2"/>
        <v>41.440019315091035</v>
      </c>
      <c r="S24" s="927">
        <f t="shared" si="3"/>
        <v>43.528596472713495</v>
      </c>
      <c r="T24" s="927">
        <f t="shared" si="4"/>
        <v>38.834422437388326</v>
      </c>
    </row>
    <row r="25" spans="1:20" ht="30.75" customHeight="1">
      <c r="A25" s="935" t="s">
        <v>90</v>
      </c>
      <c r="B25" s="934">
        <v>13.267443698348258</v>
      </c>
      <c r="C25" s="934">
        <v>11.071266675301127</v>
      </c>
      <c r="D25" s="934">
        <v>15.951918811459933</v>
      </c>
      <c r="E25" s="933" t="s">
        <v>90</v>
      </c>
      <c r="F25" s="932">
        <v>13.845189702685241</v>
      </c>
      <c r="G25" s="932">
        <v>12.170875873186459</v>
      </c>
      <c r="H25" s="932">
        <v>16.001646800362721</v>
      </c>
      <c r="I25" s="931" t="s">
        <v>90</v>
      </c>
      <c r="J25" s="930">
        <v>16.126174996559012</v>
      </c>
      <c r="K25" s="930">
        <v>14.907407675870328</v>
      </c>
      <c r="L25" s="930">
        <v>17.667867202628955</v>
      </c>
      <c r="M25" s="929" t="s">
        <v>90</v>
      </c>
      <c r="N25" s="928">
        <v>13.524442697193496</v>
      </c>
      <c r="O25" s="928">
        <v>11.346979871221286</v>
      </c>
      <c r="P25" s="928">
        <v>16.234236045807876</v>
      </c>
      <c r="Q25" s="41" t="s">
        <v>90</v>
      </c>
      <c r="R25" s="927">
        <f t="shared" si="2"/>
        <v>14.187963383007764</v>
      </c>
      <c r="S25" s="927">
        <f t="shared" si="3"/>
        <v>12.374746184993368</v>
      </c>
      <c r="T25" s="927">
        <f>T14*100/$T$5+0.05</f>
        <v>16.499993228252002</v>
      </c>
    </row>
    <row r="26" spans="1:20" ht="5.25" customHeight="1">
      <c r="A26" s="926"/>
      <c r="B26" s="926"/>
      <c r="C26" s="926"/>
      <c r="D26" s="926"/>
      <c r="E26" s="925"/>
      <c r="F26" s="925"/>
      <c r="G26" s="925"/>
      <c r="H26" s="925"/>
      <c r="I26" s="924"/>
      <c r="J26" s="924"/>
      <c r="K26" s="924"/>
      <c r="L26" s="924"/>
      <c r="M26" s="923"/>
      <c r="N26" s="923"/>
      <c r="O26" s="923"/>
      <c r="P26" s="923"/>
      <c r="Q26" s="42"/>
      <c r="R26" s="922"/>
      <c r="S26" s="922"/>
      <c r="T26" s="922"/>
    </row>
    <row r="27" spans="1:20" ht="6.75" customHeight="1">
      <c r="A27" s="921"/>
      <c r="B27" s="921"/>
      <c r="C27" s="921"/>
      <c r="D27" s="921"/>
      <c r="E27" s="916"/>
      <c r="F27" s="916"/>
      <c r="G27" s="916"/>
      <c r="H27" s="916"/>
      <c r="I27" s="913"/>
      <c r="J27" s="913"/>
      <c r="K27" s="913"/>
      <c r="L27" s="913"/>
      <c r="M27" s="910"/>
      <c r="N27" s="910"/>
      <c r="O27" s="910"/>
      <c r="P27" s="910"/>
    </row>
    <row r="28" spans="1:20" ht="32.450000000000003" customHeight="1">
      <c r="A28" s="920" t="s">
        <v>198</v>
      </c>
      <c r="B28" s="920"/>
      <c r="C28" s="919"/>
      <c r="D28" s="918"/>
      <c r="E28" s="917" t="s">
        <v>198</v>
      </c>
      <c r="F28" s="917"/>
      <c r="G28" s="916"/>
      <c r="H28" s="915"/>
      <c r="I28" s="914" t="s">
        <v>198</v>
      </c>
      <c r="J28" s="914"/>
      <c r="K28" s="913"/>
      <c r="L28" s="912"/>
      <c r="M28" s="911" t="s">
        <v>198</v>
      </c>
      <c r="N28" s="911"/>
      <c r="O28" s="910"/>
      <c r="P28" s="909"/>
      <c r="Q28" s="908" t="s">
        <v>198</v>
      </c>
    </row>
    <row r="29" spans="1:20" s="907" customFormat="1" ht="32.450000000000003" customHeight="1">
      <c r="A29" s="827"/>
      <c r="B29" s="827">
        <v>4</v>
      </c>
      <c r="C29" s="827"/>
      <c r="D29" s="827"/>
      <c r="E29" s="827"/>
      <c r="F29" s="827">
        <v>3</v>
      </c>
      <c r="G29" s="827"/>
      <c r="H29" s="827"/>
      <c r="I29" s="827"/>
      <c r="J29" s="827">
        <v>2</v>
      </c>
      <c r="K29" s="827"/>
      <c r="L29" s="827"/>
      <c r="M29" s="827"/>
      <c r="N29" s="827">
        <v>1</v>
      </c>
      <c r="O29" s="827"/>
      <c r="P29" s="827"/>
      <c r="Q29" s="827"/>
      <c r="R29" s="1183">
        <v>2563</v>
      </c>
      <c r="S29" s="1183"/>
    </row>
    <row r="30" spans="1:20" ht="17.25" customHeight="1">
      <c r="B30" s="43"/>
      <c r="C30" s="43"/>
      <c r="D30" s="43"/>
      <c r="F30" s="43"/>
      <c r="G30" s="43"/>
      <c r="H30" s="43"/>
      <c r="J30" s="43"/>
      <c r="K30" s="43"/>
      <c r="L30" s="43"/>
      <c r="N30" s="43"/>
      <c r="O30" s="43"/>
      <c r="P30" s="43"/>
    </row>
    <row r="31" spans="1:20" s="906" customFormat="1" ht="36.6" customHeight="1"/>
    <row r="37" spans="2:16" ht="17.25" customHeight="1">
      <c r="B37" s="43"/>
      <c r="C37" s="43"/>
      <c r="D37" s="43"/>
      <c r="F37" s="43"/>
      <c r="G37" s="43"/>
      <c r="H37" s="43"/>
      <c r="J37" s="43"/>
      <c r="K37" s="43"/>
      <c r="L37" s="43"/>
      <c r="N37" s="43"/>
      <c r="O37" s="43"/>
      <c r="P37" s="43"/>
    </row>
    <row r="38" spans="2:16" ht="17.25" customHeight="1">
      <c r="B38" s="43"/>
      <c r="C38" s="43"/>
      <c r="D38" s="43"/>
      <c r="F38" s="43"/>
      <c r="G38" s="43"/>
      <c r="H38" s="43"/>
      <c r="J38" s="43"/>
      <c r="K38" s="43"/>
      <c r="L38" s="43"/>
      <c r="N38" s="43"/>
      <c r="O38" s="43"/>
      <c r="P38" s="43"/>
    </row>
    <row r="39" spans="2:16" ht="17.25" customHeight="1">
      <c r="B39" s="43"/>
      <c r="C39" s="43"/>
      <c r="D39" s="43"/>
      <c r="F39" s="43"/>
      <c r="G39" s="43"/>
      <c r="H39" s="43"/>
      <c r="J39" s="43"/>
      <c r="K39" s="43"/>
      <c r="L39" s="43"/>
      <c r="N39" s="43"/>
      <c r="O39" s="43"/>
      <c r="P39" s="43"/>
    </row>
    <row r="65535" ht="30.75" customHeight="1"/>
  </sheetData>
  <sheetProtection selectLockedCells="1" selectUnlockedCells="1"/>
  <mergeCells count="2">
    <mergeCell ref="R29:S29"/>
    <mergeCell ref="R4:T4"/>
  </mergeCells>
  <printOptions horizontalCentered="1"/>
  <pageMargins left="0.19685039370078741" right="0" top="0.98425196850393704" bottom="0" header="0.51181102362204722" footer="0.51181102362204722"/>
  <pageSetup paperSize="9" scale="69" firstPageNumber="13" orientation="landscape" useFirstPageNumber="1" horizontalDpi="300" verticalDpi="300" r:id="rId1"/>
  <headerFooter alignWithMargins="0">
    <oddHeader>&amp;C&amp;"TH SarabunPSK,ธรรมดา"&amp;16 21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532"/>
  <sheetViews>
    <sheetView topLeftCell="A18" zoomScale="70" zoomScaleNormal="70" workbookViewId="0">
      <selection activeCell="A41" sqref="A41:IV41"/>
    </sheetView>
  </sheetViews>
  <sheetFormatPr defaultRowHeight="5.25" customHeight="1"/>
  <cols>
    <col min="1" max="1" width="22.140625" style="417" customWidth="1"/>
    <col min="2" max="2" width="11.28515625" style="997" customWidth="1"/>
    <col min="3" max="3" width="10" style="997" customWidth="1"/>
    <col min="4" max="4" width="9" style="997" customWidth="1"/>
    <col min="5" max="5" width="16.85546875" style="417" customWidth="1"/>
    <col min="6" max="6" width="10.7109375" style="997" customWidth="1"/>
    <col min="7" max="7" width="9.5703125" style="997" customWidth="1"/>
    <col min="8" max="8" width="9" style="997" customWidth="1"/>
    <col min="9" max="9" width="16.7109375" style="421" customWidth="1"/>
    <col min="10" max="10" width="11.140625" style="997" customWidth="1"/>
    <col min="11" max="12" width="9.42578125" style="997" customWidth="1"/>
    <col min="13" max="13" width="15.7109375" style="419" customWidth="1"/>
    <col min="14" max="14" width="12.42578125" style="996" customWidth="1"/>
    <col min="15" max="16" width="9.85546875" style="996" customWidth="1"/>
    <col min="17" max="17" width="21.28515625" style="417" customWidth="1"/>
    <col min="18" max="18" width="10.85546875" style="416" customWidth="1"/>
    <col min="19" max="19" width="9.42578125" style="416" customWidth="1"/>
    <col min="20" max="20" width="9.28515625" style="416" customWidth="1"/>
    <col min="21" max="21" width="1.7109375" style="415" customWidth="1"/>
    <col min="22" max="22" width="12.42578125" style="415" customWidth="1"/>
    <col min="23" max="23" width="11.28515625" style="415" customWidth="1"/>
    <col min="24" max="24" width="16.7109375" style="415" customWidth="1"/>
    <col min="25" max="16384" width="9.140625" style="415"/>
  </cols>
  <sheetData>
    <row r="1" spans="1:21" s="34" customFormat="1" ht="30.75" customHeight="1">
      <c r="A1" s="556" t="s">
        <v>103</v>
      </c>
      <c r="B1" s="1006"/>
      <c r="C1" s="1006"/>
      <c r="D1" s="1006"/>
      <c r="E1" s="555" t="s">
        <v>103</v>
      </c>
      <c r="F1" s="1005"/>
      <c r="G1" s="1005"/>
      <c r="H1" s="1005"/>
      <c r="I1" s="554" t="s">
        <v>103</v>
      </c>
      <c r="J1" s="1004"/>
      <c r="K1" s="1004"/>
      <c r="L1" s="1004"/>
      <c r="M1" s="553" t="s">
        <v>103</v>
      </c>
      <c r="N1" s="1003"/>
      <c r="O1" s="1003"/>
      <c r="P1" s="1003"/>
      <c r="Q1" s="34" t="s">
        <v>103</v>
      </c>
    </row>
    <row r="2" spans="1:21" s="364" customFormat="1" ht="20.25" customHeight="1">
      <c r="A2" s="552" t="s">
        <v>174</v>
      </c>
      <c r="B2" s="1050"/>
      <c r="C2" s="1050"/>
      <c r="D2" s="1050"/>
      <c r="E2" s="550" t="s">
        <v>173</v>
      </c>
      <c r="F2" s="1049"/>
      <c r="G2" s="1049"/>
      <c r="H2" s="1049"/>
      <c r="I2" s="548" t="s">
        <v>172</v>
      </c>
      <c r="J2" s="1048"/>
      <c r="K2" s="1048"/>
      <c r="L2" s="1048"/>
      <c r="M2" s="546" t="s">
        <v>171</v>
      </c>
      <c r="N2" s="1047"/>
      <c r="O2" s="1047"/>
      <c r="P2" s="1047"/>
      <c r="Q2" s="18" t="s">
        <v>170</v>
      </c>
      <c r="R2" s="7"/>
      <c r="S2" s="34"/>
      <c r="T2" s="7"/>
      <c r="U2" s="358"/>
    </row>
    <row r="3" spans="1:21" s="419" customFormat="1" ht="30" customHeight="1">
      <c r="A3" s="544" t="s">
        <v>6</v>
      </c>
      <c r="B3" s="543" t="s">
        <v>0</v>
      </c>
      <c r="C3" s="543" t="s">
        <v>1</v>
      </c>
      <c r="D3" s="543" t="s">
        <v>2</v>
      </c>
      <c r="E3" s="1046" t="s">
        <v>6</v>
      </c>
      <c r="F3" s="541" t="s">
        <v>0</v>
      </c>
      <c r="G3" s="541" t="s">
        <v>1</v>
      </c>
      <c r="H3" s="541" t="s">
        <v>2</v>
      </c>
      <c r="I3" s="1045" t="s">
        <v>6</v>
      </c>
      <c r="J3" s="539" t="s">
        <v>0</v>
      </c>
      <c r="K3" s="539" t="s">
        <v>1</v>
      </c>
      <c r="L3" s="539" t="s">
        <v>2</v>
      </c>
      <c r="M3" s="1044" t="s">
        <v>6</v>
      </c>
      <c r="N3" s="537" t="s">
        <v>0</v>
      </c>
      <c r="O3" s="537" t="s">
        <v>1</v>
      </c>
      <c r="P3" s="537" t="s">
        <v>2</v>
      </c>
      <c r="Q3" s="1043" t="s">
        <v>6</v>
      </c>
      <c r="R3" s="535" t="s">
        <v>0</v>
      </c>
      <c r="S3" s="535" t="s">
        <v>1</v>
      </c>
      <c r="T3" s="535" t="s">
        <v>2</v>
      </c>
    </row>
    <row r="4" spans="1:21" s="1040" customFormat="1" ht="19.5" customHeight="1">
      <c r="A4" s="1042"/>
      <c r="B4" s="533" t="s">
        <v>21</v>
      </c>
      <c r="C4" s="533"/>
      <c r="D4" s="533"/>
      <c r="E4" s="532"/>
      <c r="F4" s="531"/>
      <c r="G4" s="531" t="s">
        <v>21</v>
      </c>
      <c r="H4" s="531"/>
      <c r="I4" s="529"/>
      <c r="J4" s="529" t="s">
        <v>21</v>
      </c>
      <c r="K4" s="528"/>
      <c r="L4" s="528"/>
      <c r="M4" s="1041"/>
      <c r="N4" s="526" t="s">
        <v>21</v>
      </c>
      <c r="O4" s="526"/>
      <c r="P4" s="526"/>
      <c r="R4" s="1179" t="s">
        <v>21</v>
      </c>
      <c r="S4" s="1179"/>
      <c r="T4" s="1179"/>
    </row>
    <row r="5" spans="1:21" s="12" customFormat="1" ht="21" customHeight="1">
      <c r="A5" s="524" t="s">
        <v>37</v>
      </c>
      <c r="B5" s="344">
        <v>1347607</v>
      </c>
      <c r="C5" s="344">
        <v>741216</v>
      </c>
      <c r="D5" s="344">
        <v>606391</v>
      </c>
      <c r="E5" s="523" t="s">
        <v>37</v>
      </c>
      <c r="F5" s="342">
        <v>1289307</v>
      </c>
      <c r="G5" s="342">
        <v>725790</v>
      </c>
      <c r="H5" s="342">
        <v>563517</v>
      </c>
      <c r="I5" s="520" t="s">
        <v>37</v>
      </c>
      <c r="J5" s="340">
        <v>1235110.23</v>
      </c>
      <c r="K5" s="340">
        <v>689797.97</v>
      </c>
      <c r="L5" s="340">
        <v>545312.27</v>
      </c>
      <c r="M5" s="517" t="s">
        <v>37</v>
      </c>
      <c r="N5" s="338">
        <v>1123034</v>
      </c>
      <c r="O5" s="338">
        <v>615785</v>
      </c>
      <c r="P5" s="338">
        <v>507249</v>
      </c>
      <c r="Q5" s="23" t="s">
        <v>37</v>
      </c>
      <c r="R5" s="38">
        <f>(N5+J5+F5+B5)/4</f>
        <v>1248764.5575000001</v>
      </c>
      <c r="S5" s="38">
        <f>(O5+K5+G5+C5)/4</f>
        <v>693147.24249999993</v>
      </c>
      <c r="T5" s="38">
        <f>(P5+L5+H5+D5)/4+0.2</f>
        <v>555617.51749999996</v>
      </c>
    </row>
    <row r="6" spans="1:21" s="12" customFormat="1" ht="6" customHeight="1">
      <c r="A6" s="524"/>
      <c r="B6" s="1027"/>
      <c r="C6" s="1027"/>
      <c r="D6" s="1027"/>
      <c r="E6" s="523"/>
      <c r="F6" s="342"/>
      <c r="G6" s="1039"/>
      <c r="H6" s="1038"/>
      <c r="I6" s="520"/>
      <c r="J6" s="340"/>
      <c r="K6" s="1037"/>
      <c r="L6" s="1036"/>
      <c r="M6" s="517"/>
      <c r="N6" s="338"/>
      <c r="O6" s="1035"/>
      <c r="P6" s="1034"/>
      <c r="Q6" s="23"/>
      <c r="R6" s="965"/>
      <c r="S6" s="965"/>
      <c r="T6" s="965"/>
    </row>
    <row r="7" spans="1:21" s="12" customFormat="1" ht="20.25" customHeight="1">
      <c r="A7" s="487" t="s">
        <v>36</v>
      </c>
      <c r="B7" s="344">
        <v>9863</v>
      </c>
      <c r="C7" s="344">
        <v>943</v>
      </c>
      <c r="D7" s="344">
        <v>8920</v>
      </c>
      <c r="E7" s="1016" t="s">
        <v>36</v>
      </c>
      <c r="F7" s="342">
        <v>14006</v>
      </c>
      <c r="G7" s="342">
        <v>4508</v>
      </c>
      <c r="H7" s="342">
        <v>9498</v>
      </c>
      <c r="I7" s="311" t="s">
        <v>36</v>
      </c>
      <c r="J7" s="340">
        <v>9185</v>
      </c>
      <c r="K7" s="340">
        <v>1972</v>
      </c>
      <c r="L7" s="340">
        <v>7213</v>
      </c>
      <c r="M7" s="310" t="s">
        <v>36</v>
      </c>
      <c r="N7" s="338">
        <v>7462</v>
      </c>
      <c r="O7" s="338">
        <v>435</v>
      </c>
      <c r="P7" s="338">
        <v>7027</v>
      </c>
      <c r="Q7" s="483" t="s">
        <v>36</v>
      </c>
      <c r="R7" s="25">
        <f>(N7+J7+F7+B7)/4</f>
        <v>10129</v>
      </c>
      <c r="S7" s="25">
        <f>(O7+K7+G7+C7)/4-0.1</f>
        <v>1964.4</v>
      </c>
      <c r="T7" s="25">
        <f t="shared" ref="T7:T19" si="0">(P7+L7+H7+D7)/4</f>
        <v>8164.5</v>
      </c>
      <c r="U7" s="28"/>
    </row>
    <row r="8" spans="1:21" s="12" customFormat="1" ht="20.25" customHeight="1">
      <c r="A8" s="478" t="s">
        <v>35</v>
      </c>
      <c r="B8" s="344">
        <v>316074</v>
      </c>
      <c r="C8" s="344">
        <v>168477</v>
      </c>
      <c r="D8" s="344">
        <v>147597</v>
      </c>
      <c r="E8" s="1015" t="s">
        <v>35</v>
      </c>
      <c r="F8" s="342">
        <v>317207</v>
      </c>
      <c r="G8" s="342">
        <v>178280</v>
      </c>
      <c r="H8" s="342">
        <v>138927</v>
      </c>
      <c r="I8" s="307" t="s">
        <v>35</v>
      </c>
      <c r="J8" s="340">
        <v>301576</v>
      </c>
      <c r="K8" s="340">
        <v>166090</v>
      </c>
      <c r="L8" s="340">
        <v>135486</v>
      </c>
      <c r="M8" s="306" t="s">
        <v>35</v>
      </c>
      <c r="N8" s="338">
        <v>215597</v>
      </c>
      <c r="O8" s="338">
        <v>112916</v>
      </c>
      <c r="P8" s="338">
        <v>102681</v>
      </c>
      <c r="Q8" s="12" t="s">
        <v>35</v>
      </c>
      <c r="R8" s="25">
        <f>(N8+J8+F8+B8)/4</f>
        <v>287613.5</v>
      </c>
      <c r="S8" s="25">
        <f>(O8+K8+G8+C8)/4</f>
        <v>156440.75</v>
      </c>
      <c r="T8" s="25">
        <f t="shared" si="0"/>
        <v>131172.75</v>
      </c>
      <c r="U8" s="28"/>
    </row>
    <row r="9" spans="1:21" s="12" customFormat="1" ht="20.25" customHeight="1">
      <c r="A9" s="482" t="s">
        <v>34</v>
      </c>
      <c r="B9" s="344">
        <v>312398</v>
      </c>
      <c r="C9" s="344">
        <v>185544</v>
      </c>
      <c r="D9" s="344">
        <v>126854</v>
      </c>
      <c r="E9" s="368" t="s">
        <v>34</v>
      </c>
      <c r="F9" s="342">
        <v>294414</v>
      </c>
      <c r="G9" s="342">
        <v>186180</v>
      </c>
      <c r="H9" s="342">
        <v>108234</v>
      </c>
      <c r="I9" s="367" t="s">
        <v>34</v>
      </c>
      <c r="J9" s="340">
        <v>262949.71000000002</v>
      </c>
      <c r="K9" s="340">
        <v>160057.64000000001</v>
      </c>
      <c r="L9" s="340">
        <v>102892.08</v>
      </c>
      <c r="M9" s="366" t="s">
        <v>34</v>
      </c>
      <c r="N9" s="338">
        <v>263776</v>
      </c>
      <c r="O9" s="338">
        <v>161779</v>
      </c>
      <c r="P9" s="338">
        <v>101997</v>
      </c>
      <c r="Q9" s="17" t="s">
        <v>34</v>
      </c>
      <c r="R9" s="25">
        <f>(N9+J9+F9+B9)/4</f>
        <v>283384.42749999999</v>
      </c>
      <c r="S9" s="25">
        <f>(O9+K9+G9+C9)/4</f>
        <v>173390.16</v>
      </c>
      <c r="T9" s="25">
        <f t="shared" si="0"/>
        <v>109994.27</v>
      </c>
      <c r="U9" s="28"/>
    </row>
    <row r="10" spans="1:21" s="12" customFormat="1" ht="20.25" customHeight="1">
      <c r="A10" s="482" t="s">
        <v>33</v>
      </c>
      <c r="B10" s="344">
        <v>259745</v>
      </c>
      <c r="C10" s="344">
        <v>151739</v>
      </c>
      <c r="D10" s="344">
        <v>108006</v>
      </c>
      <c r="E10" s="368" t="s">
        <v>33</v>
      </c>
      <c r="F10" s="342">
        <v>229342</v>
      </c>
      <c r="G10" s="342">
        <v>139764</v>
      </c>
      <c r="H10" s="342">
        <v>89578</v>
      </c>
      <c r="I10" s="367" t="s">
        <v>33</v>
      </c>
      <c r="J10" s="340">
        <v>206624</v>
      </c>
      <c r="K10" s="340">
        <v>131046</v>
      </c>
      <c r="L10" s="340">
        <v>75578</v>
      </c>
      <c r="M10" s="366" t="s">
        <v>33</v>
      </c>
      <c r="N10" s="338">
        <v>174376</v>
      </c>
      <c r="O10" s="338">
        <v>111754</v>
      </c>
      <c r="P10" s="338">
        <v>62622</v>
      </c>
      <c r="Q10" s="17" t="s">
        <v>33</v>
      </c>
      <c r="R10" s="25">
        <f>(N10+J10+F10+B10)/4</f>
        <v>217521.75</v>
      </c>
      <c r="S10" s="25">
        <f>(O10+K10+G10+C10)/4</f>
        <v>133575.75</v>
      </c>
      <c r="T10" s="25">
        <f t="shared" si="0"/>
        <v>83946</v>
      </c>
      <c r="U10" s="28"/>
    </row>
    <row r="11" spans="1:21" s="12" customFormat="1" ht="20.25" customHeight="1">
      <c r="A11" s="478" t="s">
        <v>32</v>
      </c>
      <c r="B11" s="344">
        <v>259169</v>
      </c>
      <c r="C11" s="344">
        <v>142785</v>
      </c>
      <c r="D11" s="344">
        <v>116384</v>
      </c>
      <c r="E11" s="1015" t="s">
        <v>32</v>
      </c>
      <c r="F11" s="342">
        <v>248601</v>
      </c>
      <c r="G11" s="342">
        <v>133705</v>
      </c>
      <c r="H11" s="342">
        <v>114896</v>
      </c>
      <c r="I11" s="307" t="s">
        <v>32</v>
      </c>
      <c r="J11" s="340">
        <v>252638.52</v>
      </c>
      <c r="K11" s="340">
        <v>134433.33000000002</v>
      </c>
      <c r="L11" s="340">
        <v>118205.19</v>
      </c>
      <c r="M11" s="306" t="s">
        <v>32</v>
      </c>
      <c r="N11" s="338">
        <v>253252</v>
      </c>
      <c r="O11" s="338">
        <v>131283</v>
      </c>
      <c r="P11" s="338">
        <v>121969</v>
      </c>
      <c r="Q11" s="12" t="s">
        <v>32</v>
      </c>
      <c r="R11" s="25">
        <f>(N11+J11+F11+B11)/4</f>
        <v>253415.13</v>
      </c>
      <c r="S11" s="25">
        <f>(O11+K11+G11+C11)/4-0.1</f>
        <v>135551.48250000001</v>
      </c>
      <c r="T11" s="25">
        <f t="shared" si="0"/>
        <v>117863.5475</v>
      </c>
      <c r="U11" s="28"/>
    </row>
    <row r="12" spans="1:21" s="12" customFormat="1" ht="20.25" customHeight="1">
      <c r="A12" s="467" t="s">
        <v>102</v>
      </c>
      <c r="B12" s="344">
        <v>228525</v>
      </c>
      <c r="C12" s="344">
        <v>125993</v>
      </c>
      <c r="D12" s="344">
        <v>102532</v>
      </c>
      <c r="E12" s="288" t="s">
        <v>102</v>
      </c>
      <c r="F12" s="342">
        <v>205190</v>
      </c>
      <c r="G12" s="342">
        <v>106340</v>
      </c>
      <c r="H12" s="342">
        <v>98850</v>
      </c>
      <c r="I12" s="286" t="s">
        <v>102</v>
      </c>
      <c r="J12" s="340">
        <v>215319</v>
      </c>
      <c r="K12" s="340">
        <v>107823</v>
      </c>
      <c r="L12" s="340">
        <v>107496</v>
      </c>
      <c r="M12" s="284" t="s">
        <v>102</v>
      </c>
      <c r="N12" s="338">
        <v>211811</v>
      </c>
      <c r="O12" s="338">
        <v>105511</v>
      </c>
      <c r="P12" s="338">
        <v>106300</v>
      </c>
      <c r="Q12" s="15" t="s">
        <v>102</v>
      </c>
      <c r="R12" s="25">
        <f>(N12+J12+F12+B12)/4+0.3</f>
        <v>215211.55</v>
      </c>
      <c r="S12" s="25">
        <f>(O12+K12+G12+C12)/4</f>
        <v>111416.75</v>
      </c>
      <c r="T12" s="25">
        <f t="shared" si="0"/>
        <v>103794.5</v>
      </c>
      <c r="U12" s="28"/>
    </row>
    <row r="13" spans="1:21" s="12" customFormat="1" ht="20.25" customHeight="1">
      <c r="A13" s="467" t="s">
        <v>101</v>
      </c>
      <c r="B13" s="344">
        <v>30644</v>
      </c>
      <c r="C13" s="344">
        <v>16792</v>
      </c>
      <c r="D13" s="344">
        <v>13852</v>
      </c>
      <c r="E13" s="288" t="s">
        <v>101</v>
      </c>
      <c r="F13" s="342">
        <v>43411</v>
      </c>
      <c r="G13" s="342">
        <v>27365</v>
      </c>
      <c r="H13" s="342">
        <v>16046</v>
      </c>
      <c r="I13" s="286" t="s">
        <v>101</v>
      </c>
      <c r="J13" s="340">
        <v>37319.519999999997</v>
      </c>
      <c r="K13" s="340">
        <v>26610.33</v>
      </c>
      <c r="L13" s="340">
        <v>10709.19</v>
      </c>
      <c r="M13" s="284" t="s">
        <v>101</v>
      </c>
      <c r="N13" s="338">
        <v>41441</v>
      </c>
      <c r="O13" s="338">
        <v>25772</v>
      </c>
      <c r="P13" s="338">
        <v>15669</v>
      </c>
      <c r="Q13" s="15" t="s">
        <v>101</v>
      </c>
      <c r="R13" s="25">
        <f>(N13+J13+F13+B13)/4-0.4</f>
        <v>38203.479999999996</v>
      </c>
      <c r="S13" s="25">
        <f>(O13+K13+G13+C13)/4-0.4</f>
        <v>24134.432499999999</v>
      </c>
      <c r="T13" s="25">
        <f t="shared" si="0"/>
        <v>14069.047500000001</v>
      </c>
      <c r="U13" s="28"/>
    </row>
    <row r="14" spans="1:21" s="12" customFormat="1" ht="20.25" customHeight="1">
      <c r="A14" s="474" t="s">
        <v>100</v>
      </c>
      <c r="B14" s="1033">
        <v>0</v>
      </c>
      <c r="C14" s="1033">
        <v>0</v>
      </c>
      <c r="D14" s="1033">
        <v>0</v>
      </c>
      <c r="E14" s="343" t="s">
        <v>100</v>
      </c>
      <c r="F14" s="1032">
        <v>0</v>
      </c>
      <c r="G14" s="1032">
        <v>0</v>
      </c>
      <c r="H14" s="1032">
        <v>0</v>
      </c>
      <c r="I14" s="341" t="s">
        <v>100</v>
      </c>
      <c r="J14" s="1030">
        <v>0</v>
      </c>
      <c r="K14" s="1030">
        <v>0</v>
      </c>
      <c r="L14" s="1030">
        <v>0</v>
      </c>
      <c r="M14" s="339" t="s">
        <v>100</v>
      </c>
      <c r="N14" s="1029">
        <v>0</v>
      </c>
      <c r="O14" s="1029">
        <v>0</v>
      </c>
      <c r="P14" s="1029">
        <v>0</v>
      </c>
      <c r="Q14" s="471" t="s">
        <v>100</v>
      </c>
      <c r="R14" s="1028">
        <f t="shared" ref="R14:S17" si="1">(N14+J14+F14+B14)/4</f>
        <v>0</v>
      </c>
      <c r="S14" s="1028">
        <f t="shared" si="1"/>
        <v>0</v>
      </c>
      <c r="T14" s="1028">
        <f t="shared" si="0"/>
        <v>0</v>
      </c>
      <c r="U14" s="28"/>
    </row>
    <row r="15" spans="1:21" s="12" customFormat="1" ht="20.25" customHeight="1">
      <c r="A15" s="478" t="s">
        <v>28</v>
      </c>
      <c r="B15" s="344">
        <v>189119</v>
      </c>
      <c r="C15" s="344">
        <v>91259</v>
      </c>
      <c r="D15" s="344">
        <v>97860</v>
      </c>
      <c r="E15" s="1015" t="s">
        <v>28</v>
      </c>
      <c r="F15" s="342">
        <v>185737</v>
      </c>
      <c r="G15" s="342">
        <v>83353</v>
      </c>
      <c r="H15" s="342">
        <v>102384</v>
      </c>
      <c r="I15" s="307" t="s">
        <v>28</v>
      </c>
      <c r="J15" s="340">
        <v>202137</v>
      </c>
      <c r="K15" s="340">
        <v>96199</v>
      </c>
      <c r="L15" s="340">
        <v>105938</v>
      </c>
      <c r="M15" s="306" t="s">
        <v>28</v>
      </c>
      <c r="N15" s="338">
        <v>206461</v>
      </c>
      <c r="O15" s="338">
        <v>96744</v>
      </c>
      <c r="P15" s="338">
        <v>109717</v>
      </c>
      <c r="Q15" s="12" t="s">
        <v>28</v>
      </c>
      <c r="R15" s="25">
        <f t="shared" si="1"/>
        <v>195863.5</v>
      </c>
      <c r="S15" s="25">
        <f t="shared" si="1"/>
        <v>91888.75</v>
      </c>
      <c r="T15" s="25">
        <f t="shared" si="0"/>
        <v>103974.75</v>
      </c>
      <c r="U15" s="28"/>
    </row>
    <row r="16" spans="1:21" s="12" customFormat="1" ht="20.25" customHeight="1">
      <c r="A16" s="474" t="s">
        <v>27</v>
      </c>
      <c r="B16" s="344">
        <v>89055</v>
      </c>
      <c r="C16" s="344">
        <v>40337</v>
      </c>
      <c r="D16" s="344">
        <v>48718</v>
      </c>
      <c r="E16" s="343" t="s">
        <v>27</v>
      </c>
      <c r="F16" s="342">
        <v>92332</v>
      </c>
      <c r="G16" s="342">
        <v>36272</v>
      </c>
      <c r="H16" s="342">
        <v>56060</v>
      </c>
      <c r="I16" s="341" t="s">
        <v>27</v>
      </c>
      <c r="J16" s="340">
        <v>100830</v>
      </c>
      <c r="K16" s="340">
        <v>41584</v>
      </c>
      <c r="L16" s="340">
        <v>59246</v>
      </c>
      <c r="M16" s="339" t="s">
        <v>27</v>
      </c>
      <c r="N16" s="338">
        <v>94955</v>
      </c>
      <c r="O16" s="338">
        <v>35256</v>
      </c>
      <c r="P16" s="338">
        <v>59699</v>
      </c>
      <c r="Q16" s="471" t="s">
        <v>27</v>
      </c>
      <c r="R16" s="25">
        <f t="shared" si="1"/>
        <v>94293</v>
      </c>
      <c r="S16" s="25">
        <f t="shared" si="1"/>
        <v>38362.25</v>
      </c>
      <c r="T16" s="25">
        <f t="shared" si="0"/>
        <v>55930.75</v>
      </c>
      <c r="U16" s="28"/>
    </row>
    <row r="17" spans="1:21" s="12" customFormat="1" ht="20.25" customHeight="1">
      <c r="A17" s="474" t="s">
        <v>26</v>
      </c>
      <c r="B17" s="344">
        <v>66352</v>
      </c>
      <c r="C17" s="344">
        <v>43589</v>
      </c>
      <c r="D17" s="344">
        <v>22763</v>
      </c>
      <c r="E17" s="343" t="s">
        <v>26</v>
      </c>
      <c r="F17" s="342">
        <v>61523</v>
      </c>
      <c r="G17" s="342">
        <v>39533</v>
      </c>
      <c r="H17" s="342">
        <v>21990</v>
      </c>
      <c r="I17" s="341" t="s">
        <v>26</v>
      </c>
      <c r="J17" s="340">
        <v>68717</v>
      </c>
      <c r="K17" s="340">
        <v>43912</v>
      </c>
      <c r="L17" s="340">
        <v>24805</v>
      </c>
      <c r="M17" s="339" t="s">
        <v>26</v>
      </c>
      <c r="N17" s="338">
        <v>80533</v>
      </c>
      <c r="O17" s="338">
        <v>49547</v>
      </c>
      <c r="P17" s="338">
        <v>30986</v>
      </c>
      <c r="Q17" s="471" t="s">
        <v>26</v>
      </c>
      <c r="R17" s="25">
        <f t="shared" si="1"/>
        <v>69281.25</v>
      </c>
      <c r="S17" s="25">
        <f t="shared" si="1"/>
        <v>44145.25</v>
      </c>
      <c r="T17" s="25">
        <f t="shared" si="0"/>
        <v>25136</v>
      </c>
      <c r="U17" s="28"/>
    </row>
    <row r="18" spans="1:21" s="12" customFormat="1" ht="20.25" customHeight="1">
      <c r="A18" s="474" t="s">
        <v>25</v>
      </c>
      <c r="B18" s="344">
        <v>33712</v>
      </c>
      <c r="C18" s="344">
        <v>7333</v>
      </c>
      <c r="D18" s="344">
        <v>26379</v>
      </c>
      <c r="E18" s="343" t="s">
        <v>25</v>
      </c>
      <c r="F18" s="342">
        <v>31882</v>
      </c>
      <c r="G18" s="342">
        <v>7548</v>
      </c>
      <c r="H18" s="342">
        <v>24334</v>
      </c>
      <c r="I18" s="341" t="s">
        <v>25</v>
      </c>
      <c r="J18" s="340">
        <v>32590</v>
      </c>
      <c r="K18" s="340">
        <v>10703</v>
      </c>
      <c r="L18" s="340">
        <v>21887</v>
      </c>
      <c r="M18" s="339" t="s">
        <v>25</v>
      </c>
      <c r="N18" s="338">
        <v>30973</v>
      </c>
      <c r="O18" s="338">
        <v>11941</v>
      </c>
      <c r="P18" s="338">
        <v>19032</v>
      </c>
      <c r="Q18" s="471" t="s">
        <v>25</v>
      </c>
      <c r="R18" s="25">
        <f>(N18+J18+F18+B18)/4+0.3</f>
        <v>32289.55</v>
      </c>
      <c r="S18" s="25">
        <f>(O18+K18+G18+C18)/4+0.3</f>
        <v>9381.5499999999993</v>
      </c>
      <c r="T18" s="25">
        <f t="shared" si="0"/>
        <v>22908</v>
      </c>
      <c r="U18" s="28"/>
    </row>
    <row r="19" spans="1:21" s="12" customFormat="1" ht="20.25" customHeight="1">
      <c r="A19" s="467" t="s">
        <v>24</v>
      </c>
      <c r="B19" s="1031">
        <v>0</v>
      </c>
      <c r="C19" s="1031">
        <v>0</v>
      </c>
      <c r="D19" s="1031">
        <v>0</v>
      </c>
      <c r="E19" s="288" t="s">
        <v>24</v>
      </c>
      <c r="F19" s="1026">
        <v>0</v>
      </c>
      <c r="G19" s="1026">
        <v>0</v>
      </c>
      <c r="H19" s="1026">
        <v>0</v>
      </c>
      <c r="I19" s="286" t="s">
        <v>24</v>
      </c>
      <c r="J19" s="1030">
        <v>0</v>
      </c>
      <c r="K19" s="1030">
        <v>0</v>
      </c>
      <c r="L19" s="1030">
        <v>0</v>
      </c>
      <c r="M19" s="284" t="s">
        <v>24</v>
      </c>
      <c r="N19" s="1029">
        <v>0</v>
      </c>
      <c r="O19" s="1029">
        <v>0</v>
      </c>
      <c r="P19" s="1029">
        <v>0</v>
      </c>
      <c r="Q19" s="15" t="s">
        <v>24</v>
      </c>
      <c r="R19" s="1028">
        <f>(N19+J19+F19+B19)/4</f>
        <v>0</v>
      </c>
      <c r="S19" s="1028">
        <f>(O19+K19+G19+C19)/4</f>
        <v>0</v>
      </c>
      <c r="T19" s="1028">
        <f t="shared" si="0"/>
        <v>0</v>
      </c>
      <c r="U19" s="28"/>
    </row>
    <row r="20" spans="1:21" s="12" customFormat="1" ht="20.25" customHeight="1">
      <c r="A20" s="467" t="s">
        <v>23</v>
      </c>
      <c r="B20" s="1027">
        <v>1239</v>
      </c>
      <c r="C20" s="1027">
        <v>469</v>
      </c>
      <c r="D20" s="1027">
        <v>770</v>
      </c>
      <c r="E20" s="288" t="s">
        <v>23</v>
      </c>
      <c r="F20" s="1026">
        <v>0</v>
      </c>
      <c r="G20" s="1026">
        <v>0</v>
      </c>
      <c r="H20" s="1026">
        <v>0</v>
      </c>
      <c r="I20" s="286" t="s">
        <v>23</v>
      </c>
      <c r="J20" s="1025">
        <v>0</v>
      </c>
      <c r="K20" s="1025">
        <v>0</v>
      </c>
      <c r="L20" s="1024">
        <v>0</v>
      </c>
      <c r="M20" s="284" t="s">
        <v>23</v>
      </c>
      <c r="N20" s="1023">
        <v>2110</v>
      </c>
      <c r="O20" s="1023">
        <v>874</v>
      </c>
      <c r="P20" s="1023">
        <v>1236</v>
      </c>
      <c r="Q20" s="15" t="s">
        <v>23</v>
      </c>
      <c r="R20" s="25">
        <f>(N20+J20+F20+B20)/4</f>
        <v>837.25</v>
      </c>
      <c r="S20" s="25">
        <f>(O20+K20+G20+C20)/4</f>
        <v>335.75</v>
      </c>
      <c r="T20" s="25">
        <f>(P20+L20+H20+D20)/4-0.1</f>
        <v>501.4</v>
      </c>
      <c r="U20" s="28"/>
    </row>
    <row r="21" spans="1:21" s="495" customFormat="1" ht="21" customHeight="1">
      <c r="A21" s="503"/>
      <c r="B21" s="1022" t="s">
        <v>20</v>
      </c>
      <c r="C21" s="1022"/>
      <c r="D21" s="1022"/>
      <c r="E21" s="445"/>
      <c r="F21" s="1021"/>
      <c r="G21" s="1021" t="s">
        <v>20</v>
      </c>
      <c r="H21" s="1021"/>
      <c r="I21" s="500"/>
      <c r="J21" s="1020" t="s">
        <v>20</v>
      </c>
      <c r="K21" s="1019"/>
      <c r="L21" s="1019"/>
      <c r="M21" s="497"/>
      <c r="N21" s="1018" t="s">
        <v>20</v>
      </c>
      <c r="O21" s="1018"/>
      <c r="P21" s="1018"/>
      <c r="R21" s="1178"/>
      <c r="S21" s="1178"/>
      <c r="T21" s="1178"/>
    </row>
    <row r="22" spans="1:21" s="12" customFormat="1" ht="21" customHeight="1">
      <c r="A22" s="493" t="s">
        <v>37</v>
      </c>
      <c r="B22" s="1017">
        <v>100</v>
      </c>
      <c r="C22" s="1017">
        <v>100</v>
      </c>
      <c r="D22" s="1017">
        <v>100</v>
      </c>
      <c r="E22" s="492" t="s">
        <v>37</v>
      </c>
      <c r="F22" s="315">
        <v>100</v>
      </c>
      <c r="G22" s="315">
        <v>100</v>
      </c>
      <c r="H22" s="315">
        <v>100</v>
      </c>
      <c r="I22" s="490" t="s">
        <v>37</v>
      </c>
      <c r="J22" s="285">
        <v>100</v>
      </c>
      <c r="K22" s="285">
        <v>100</v>
      </c>
      <c r="L22" s="285">
        <v>100</v>
      </c>
      <c r="M22" s="489" t="s">
        <v>37</v>
      </c>
      <c r="N22" s="283">
        <v>100</v>
      </c>
      <c r="O22" s="283">
        <v>100</v>
      </c>
      <c r="P22" s="283">
        <v>100</v>
      </c>
      <c r="Q22" s="271" t="s">
        <v>37</v>
      </c>
      <c r="R22" s="488">
        <v>100</v>
      </c>
      <c r="S22" s="488">
        <v>100</v>
      </c>
      <c r="T22" s="488">
        <v>100</v>
      </c>
      <c r="U22" s="494"/>
    </row>
    <row r="23" spans="1:21" s="12" customFormat="1" ht="9" customHeight="1">
      <c r="A23" s="493"/>
      <c r="B23" s="1017"/>
      <c r="C23" s="1017"/>
      <c r="D23" s="1017"/>
      <c r="E23" s="492"/>
      <c r="F23" s="315"/>
      <c r="G23" s="315"/>
      <c r="H23" s="315"/>
      <c r="I23" s="490"/>
      <c r="J23" s="285"/>
      <c r="K23" s="285"/>
      <c r="L23" s="285"/>
      <c r="M23" s="489"/>
      <c r="N23" s="283"/>
      <c r="O23" s="283"/>
      <c r="P23" s="283"/>
      <c r="Q23" s="271"/>
      <c r="R23" s="488"/>
      <c r="S23" s="488"/>
      <c r="T23" s="488"/>
    </row>
    <row r="24" spans="1:21" s="12" customFormat="1" ht="20.25" customHeight="1">
      <c r="A24" s="487" t="s">
        <v>36</v>
      </c>
      <c r="B24" s="289">
        <v>0.7318899352704461</v>
      </c>
      <c r="C24" s="289">
        <v>0.12722337348357293</v>
      </c>
      <c r="D24" s="289">
        <v>1.4709980853937477</v>
      </c>
      <c r="E24" s="1016" t="s">
        <v>36</v>
      </c>
      <c r="F24" s="287">
        <v>1.0863200153260628</v>
      </c>
      <c r="G24" s="287">
        <v>0.62111630085837499</v>
      </c>
      <c r="H24" s="287">
        <v>1.6854859746910917</v>
      </c>
      <c r="I24" s="311" t="s">
        <v>36</v>
      </c>
      <c r="J24" s="285">
        <v>0.77365832108766519</v>
      </c>
      <c r="K24" s="285">
        <v>0.28588080652078462</v>
      </c>
      <c r="L24" s="285">
        <v>1.3227283515920154</v>
      </c>
      <c r="M24" s="310" t="s">
        <v>36</v>
      </c>
      <c r="N24" s="283">
        <v>0.63445005226912099</v>
      </c>
      <c r="O24" s="283">
        <v>7.0641538848786503E-2</v>
      </c>
      <c r="P24" s="283">
        <v>1.3853156930817014</v>
      </c>
      <c r="Q24" s="483" t="s">
        <v>36</v>
      </c>
      <c r="R24" s="459">
        <f t="shared" ref="R24:R30" si="2">R7*100/$R$5</f>
        <v>0.81112167535232105</v>
      </c>
      <c r="S24" s="459">
        <f>S7*100/$S$5</f>
        <v>0.28340298850716417</v>
      </c>
      <c r="T24" s="459">
        <f t="shared" ref="T24:T30" si="3">T7*100/$T$5</f>
        <v>1.4694461104711301</v>
      </c>
      <c r="U24" s="458"/>
    </row>
    <row r="25" spans="1:21" s="12" customFormat="1" ht="20.25" customHeight="1">
      <c r="A25" s="478" t="s">
        <v>35</v>
      </c>
      <c r="B25" s="289">
        <v>23.454464098212611</v>
      </c>
      <c r="C25" s="289">
        <v>22.729811552907655</v>
      </c>
      <c r="D25" s="289">
        <v>24.340235920388</v>
      </c>
      <c r="E25" s="1015" t="s">
        <v>35</v>
      </c>
      <c r="F25" s="287">
        <v>24.602906832895503</v>
      </c>
      <c r="G25" s="287">
        <v>24.563578996679482</v>
      </c>
      <c r="H25" s="287">
        <v>24.623559697400431</v>
      </c>
      <c r="I25" s="307" t="s">
        <v>35</v>
      </c>
      <c r="J25" s="285">
        <v>24.41692997717297</v>
      </c>
      <c r="K25" s="285">
        <v>24.078064480241949</v>
      </c>
      <c r="L25" s="285">
        <v>24.875580679855233</v>
      </c>
      <c r="M25" s="306" t="s">
        <v>35</v>
      </c>
      <c r="N25" s="283">
        <v>19.197726872027026</v>
      </c>
      <c r="O25" s="283">
        <v>18.336919541723166</v>
      </c>
      <c r="P25" s="283">
        <v>20.242721030499812</v>
      </c>
      <c r="Q25" s="12" t="s">
        <v>35</v>
      </c>
      <c r="R25" s="459">
        <f t="shared" si="2"/>
        <v>23.031843614764025</v>
      </c>
      <c r="S25" s="459">
        <f>S8*100/$S$5-0.04</f>
        <v>22.529627404959346</v>
      </c>
      <c r="T25" s="459">
        <f t="shared" si="3"/>
        <v>23.608461912830172</v>
      </c>
      <c r="U25" s="458"/>
    </row>
    <row r="26" spans="1:21" s="12" customFormat="1" ht="20.25" customHeight="1">
      <c r="A26" s="482" t="s">
        <v>34</v>
      </c>
      <c r="B26" s="289">
        <v>23.181684274421251</v>
      </c>
      <c r="C26" s="289">
        <v>25.032379225488928</v>
      </c>
      <c r="D26" s="289">
        <v>20.919505731450499</v>
      </c>
      <c r="E26" s="368" t="s">
        <v>34</v>
      </c>
      <c r="F26" s="287">
        <v>22.835057903199161</v>
      </c>
      <c r="G26" s="287">
        <v>25.652048113090565</v>
      </c>
      <c r="H26" s="287">
        <v>19.206873971858879</v>
      </c>
      <c r="I26" s="367" t="s">
        <v>34</v>
      </c>
      <c r="J26" s="285">
        <v>21.289574291680836</v>
      </c>
      <c r="K26" s="285">
        <v>23.203553353455074</v>
      </c>
      <c r="L26" s="285">
        <v>18.868469620168273</v>
      </c>
      <c r="M26" s="366" t="s">
        <v>34</v>
      </c>
      <c r="N26" s="283">
        <v>23.487801794068567</v>
      </c>
      <c r="O26" s="283">
        <v>26.271994283719156</v>
      </c>
      <c r="P26" s="283">
        <v>20.107876013555472</v>
      </c>
      <c r="Q26" s="17" t="s">
        <v>34</v>
      </c>
      <c r="R26" s="459">
        <f t="shared" si="2"/>
        <v>22.693183098287925</v>
      </c>
      <c r="S26" s="459">
        <f>S9*100/$S$5</f>
        <v>25.014910161746769</v>
      </c>
      <c r="T26" s="459">
        <f t="shared" si="3"/>
        <v>19.79676063759095</v>
      </c>
      <c r="U26" s="458"/>
    </row>
    <row r="27" spans="1:21" s="12" customFormat="1" ht="20.25" customHeight="1">
      <c r="A27" s="482" t="s">
        <v>33</v>
      </c>
      <c r="B27" s="289">
        <v>19.274536270589273</v>
      </c>
      <c r="C27" s="289">
        <v>20.471630401934117</v>
      </c>
      <c r="D27" s="289">
        <v>17.81128018060954</v>
      </c>
      <c r="E27" s="368" t="s">
        <v>33</v>
      </c>
      <c r="F27" s="287">
        <v>17.788005494424524</v>
      </c>
      <c r="G27" s="287">
        <v>19.226809821022609</v>
      </c>
      <c r="H27" s="287">
        <v>15.896237380593664</v>
      </c>
      <c r="I27" s="367" t="s">
        <v>33</v>
      </c>
      <c r="J27" s="285">
        <v>16.729195093785272</v>
      </c>
      <c r="K27" s="285">
        <v>18.997736395194089</v>
      </c>
      <c r="L27" s="285">
        <v>13.829581776878046</v>
      </c>
      <c r="M27" s="366" t="s">
        <v>33</v>
      </c>
      <c r="N27" s="283">
        <v>15.527223574709225</v>
      </c>
      <c r="O27" s="283">
        <v>18.178217316108707</v>
      </c>
      <c r="P27" s="283">
        <v>12.375416156562162</v>
      </c>
      <c r="Q27" s="17" t="s">
        <v>33</v>
      </c>
      <c r="R27" s="459">
        <f t="shared" si="2"/>
        <v>17.418956094932248</v>
      </c>
      <c r="S27" s="459">
        <f>S10*100/$S$5</f>
        <v>19.270905488742532</v>
      </c>
      <c r="T27" s="459">
        <f t="shared" si="3"/>
        <v>15.108594915746156</v>
      </c>
      <c r="U27" s="458"/>
    </row>
    <row r="28" spans="1:21" s="12" customFormat="1" ht="20.25" customHeight="1">
      <c r="A28" s="478" t="s">
        <v>32</v>
      </c>
      <c r="B28" s="289">
        <v>19.231793839004993</v>
      </c>
      <c r="C28" s="289">
        <v>19.263615464318093</v>
      </c>
      <c r="D28" s="289">
        <v>19.192896992204698</v>
      </c>
      <c r="E28" s="1015" t="s">
        <v>32</v>
      </c>
      <c r="F28" s="287">
        <v>19.281753686282631</v>
      </c>
      <c r="G28" s="287">
        <v>18.421995343005552</v>
      </c>
      <c r="H28" s="287">
        <v>20.389092077080196</v>
      </c>
      <c r="I28" s="307" t="s">
        <v>32</v>
      </c>
      <c r="J28" s="285">
        <v>20.424734635304574</v>
      </c>
      <c r="K28" s="285">
        <v>19.488797567786406</v>
      </c>
      <c r="L28" s="285">
        <v>21.676605589674335</v>
      </c>
      <c r="M28" s="306" t="s">
        <v>32</v>
      </c>
      <c r="N28" s="283">
        <v>22.550697485561436</v>
      </c>
      <c r="O28" s="283">
        <v>21.319616424563769</v>
      </c>
      <c r="P28" s="283">
        <v>24.015192794860116</v>
      </c>
      <c r="Q28" s="12" t="s">
        <v>32</v>
      </c>
      <c r="R28" s="459">
        <f t="shared" si="2"/>
        <v>20.293267331940591</v>
      </c>
      <c r="S28" s="459">
        <f>S11*100/$S$5</f>
        <v>19.555943411258689</v>
      </c>
      <c r="T28" s="459">
        <f t="shared" si="3"/>
        <v>21.213072624190616</v>
      </c>
      <c r="U28" s="458"/>
    </row>
    <row r="29" spans="1:21" s="12" customFormat="1" ht="20.25" customHeight="1">
      <c r="A29" s="467" t="s">
        <v>31</v>
      </c>
      <c r="B29" s="289">
        <v>16.957837114232859</v>
      </c>
      <c r="C29" s="289">
        <v>16.99814898760955</v>
      </c>
      <c r="D29" s="289">
        <v>16.908562297263646</v>
      </c>
      <c r="E29" s="288" t="s">
        <v>31</v>
      </c>
      <c r="F29" s="287">
        <v>15.914751102724177</v>
      </c>
      <c r="G29" s="287">
        <v>14.621620992298048</v>
      </c>
      <c r="H29" s="287">
        <v>17.541618087830535</v>
      </c>
      <c r="I29" s="286" t="s">
        <v>31</v>
      </c>
      <c r="J29" s="285">
        <v>17.403180842490471</v>
      </c>
      <c r="K29" s="285">
        <v>15.631098479457689</v>
      </c>
      <c r="L29" s="285">
        <v>19.712741838726643</v>
      </c>
      <c r="M29" s="284" t="s">
        <v>31</v>
      </c>
      <c r="N29" s="283">
        <v>18.860604398442078</v>
      </c>
      <c r="O29" s="283">
        <v>17.134389437871985</v>
      </c>
      <c r="P29" s="283">
        <v>20.926177340911465</v>
      </c>
      <c r="Q29" s="15" t="s">
        <v>31</v>
      </c>
      <c r="R29" s="459">
        <f t="shared" si="2"/>
        <v>17.233957250584442</v>
      </c>
      <c r="S29" s="459">
        <f>S12*100/$S$5</f>
        <v>16.074037833310722</v>
      </c>
      <c r="T29" s="459">
        <f t="shared" si="3"/>
        <v>18.680926488247376</v>
      </c>
      <c r="U29" s="458"/>
    </row>
    <row r="30" spans="1:21" s="12" customFormat="1" ht="20.25" customHeight="1">
      <c r="A30" s="467" t="s">
        <v>30</v>
      </c>
      <c r="B30" s="289">
        <v>2.2739567247721331</v>
      </c>
      <c r="C30" s="289">
        <v>2.2654664767085437</v>
      </c>
      <c r="D30" s="289">
        <v>2.284334694941053</v>
      </c>
      <c r="E30" s="288" t="s">
        <v>30</v>
      </c>
      <c r="F30" s="287">
        <v>3.3670025835584543</v>
      </c>
      <c r="G30" s="287">
        <v>3.7703743507075047</v>
      </c>
      <c r="H30" s="287">
        <v>2.8774739892496588</v>
      </c>
      <c r="I30" s="286" t="s">
        <v>30</v>
      </c>
      <c r="J30" s="285">
        <v>3.0215537928141032</v>
      </c>
      <c r="K30" s="285">
        <v>3.8576990883287174</v>
      </c>
      <c r="L30" s="285">
        <v>1.9638637509476908</v>
      </c>
      <c r="M30" s="284" t="s">
        <v>30</v>
      </c>
      <c r="N30" s="283">
        <v>3.6900930871193571</v>
      </c>
      <c r="O30" s="283">
        <v>4.1852269866917835</v>
      </c>
      <c r="P30" s="283">
        <v>3.0890154539486523</v>
      </c>
      <c r="Q30" s="15" t="s">
        <v>30</v>
      </c>
      <c r="R30" s="459">
        <f t="shared" si="2"/>
        <v>3.0593020734414935</v>
      </c>
      <c r="S30" s="459">
        <f>S13*100/$S$5</f>
        <v>3.481862297100605</v>
      </c>
      <c r="T30" s="459">
        <f t="shared" si="3"/>
        <v>2.5321461359432393</v>
      </c>
      <c r="U30" s="458"/>
    </row>
    <row r="31" spans="1:21" s="12" customFormat="1" ht="20.25" customHeight="1">
      <c r="A31" s="474" t="s">
        <v>29</v>
      </c>
      <c r="B31" s="1014">
        <v>0</v>
      </c>
      <c r="C31" s="1014">
        <v>0</v>
      </c>
      <c r="D31" s="1014">
        <v>0</v>
      </c>
      <c r="E31" s="343" t="s">
        <v>29</v>
      </c>
      <c r="F31" s="287" t="s">
        <v>8</v>
      </c>
      <c r="G31" s="287" t="s">
        <v>8</v>
      </c>
      <c r="H31" s="287" t="s">
        <v>8</v>
      </c>
      <c r="I31" s="341" t="s">
        <v>29</v>
      </c>
      <c r="J31" s="1012">
        <v>0</v>
      </c>
      <c r="K31" s="1012">
        <v>0</v>
      </c>
      <c r="L31" s="1012">
        <v>0</v>
      </c>
      <c r="M31" s="339" t="s">
        <v>29</v>
      </c>
      <c r="N31" s="1013">
        <v>0</v>
      </c>
      <c r="O31" s="1013">
        <v>0</v>
      </c>
      <c r="P31" s="1013">
        <v>0</v>
      </c>
      <c r="Q31" s="471" t="s">
        <v>29</v>
      </c>
      <c r="R31" s="468" t="s">
        <v>7</v>
      </c>
      <c r="S31" s="468" t="s">
        <v>7</v>
      </c>
      <c r="T31" s="468" t="s">
        <v>7</v>
      </c>
      <c r="U31" s="458"/>
    </row>
    <row r="32" spans="1:21" s="12" customFormat="1" ht="20.25" customHeight="1">
      <c r="A32" s="478" t="s">
        <v>28</v>
      </c>
      <c r="B32" s="289">
        <v>14.033690831228986</v>
      </c>
      <c r="C32" s="289">
        <v>12.31206557872469</v>
      </c>
      <c r="D32" s="289">
        <v>16.168102313523782</v>
      </c>
      <c r="E32" s="1015" t="s">
        <v>28</v>
      </c>
      <c r="F32" s="287">
        <v>14.40595606787212</v>
      </c>
      <c r="G32" s="287">
        <v>11.484451425343419</v>
      </c>
      <c r="H32" s="287">
        <v>18.168750898375738</v>
      </c>
      <c r="I32" s="307" t="s">
        <v>28</v>
      </c>
      <c r="J32" s="285">
        <v>16.365907680968686</v>
      </c>
      <c r="K32" s="285">
        <v>13.915967396801705</v>
      </c>
      <c r="L32" s="285">
        <v>19.427033981832096</v>
      </c>
      <c r="M32" s="306" t="s">
        <v>28</v>
      </c>
      <c r="N32" s="283">
        <v>18.38421632826789</v>
      </c>
      <c r="O32" s="283">
        <v>15.740678239970119</v>
      </c>
      <c r="P32" s="283">
        <v>21.7</v>
      </c>
      <c r="Q32" s="12" t="s">
        <v>28</v>
      </c>
      <c r="R32" s="459">
        <f>R15*100/$R$5</f>
        <v>15.684581919278244</v>
      </c>
      <c r="S32" s="459">
        <f>S15*100/$S$5</f>
        <v>13.256743209217918</v>
      </c>
      <c r="T32" s="459">
        <f>T15*100/$T$5</f>
        <v>18.713367870011407</v>
      </c>
      <c r="U32" s="458"/>
    </row>
    <row r="33" spans="1:21" s="12" customFormat="1" ht="20.25" customHeight="1">
      <c r="A33" s="474" t="s">
        <v>27</v>
      </c>
      <c r="B33" s="289">
        <v>6.6083806332261554</v>
      </c>
      <c r="C33" s="289">
        <v>5.4420034106117514</v>
      </c>
      <c r="D33" s="289">
        <v>8.0340902157189014</v>
      </c>
      <c r="E33" s="343" t="s">
        <v>27</v>
      </c>
      <c r="F33" s="287">
        <v>7.1313665325636171</v>
      </c>
      <c r="G33" s="287">
        <v>4.9975888342357981</v>
      </c>
      <c r="H33" s="287">
        <v>9.9782358118743524</v>
      </c>
      <c r="I33" s="341" t="s">
        <v>27</v>
      </c>
      <c r="J33" s="285">
        <v>8.1636438231104282</v>
      </c>
      <c r="K33" s="285">
        <v>6.0284317740163837</v>
      </c>
      <c r="L33" s="285">
        <v>10.86460057097193</v>
      </c>
      <c r="M33" s="339" t="s">
        <v>27</v>
      </c>
      <c r="N33" s="283">
        <v>8.4252204118486187</v>
      </c>
      <c r="O33" s="283">
        <v>5.7253749279375103</v>
      </c>
      <c r="P33" s="283">
        <v>11.769170565146506</v>
      </c>
      <c r="Q33" s="471" t="s">
        <v>27</v>
      </c>
      <c r="R33" s="459">
        <f>R16*100/$R$5</f>
        <v>7.5509029651492163</v>
      </c>
      <c r="S33" s="459">
        <f>S16*100/$S$5</f>
        <v>5.5345022886677651</v>
      </c>
      <c r="T33" s="459">
        <f>T16*100/$T$5</f>
        <v>10.066412277939024</v>
      </c>
      <c r="U33" s="458"/>
    </row>
    <row r="34" spans="1:21" s="12" customFormat="1" ht="20.25" customHeight="1">
      <c r="A34" s="474" t="s">
        <v>26</v>
      </c>
      <c r="B34" s="289">
        <v>4.9236906605560824</v>
      </c>
      <c r="C34" s="289">
        <v>5.8807419159867029</v>
      </c>
      <c r="D34" s="289">
        <v>3.7538485894414659</v>
      </c>
      <c r="E34" s="343" t="s">
        <v>26</v>
      </c>
      <c r="F34" s="287">
        <v>4.7717882552409936</v>
      </c>
      <c r="G34" s="287">
        <v>5.4768923517821966</v>
      </c>
      <c r="H34" s="287">
        <v>3.9022780146827869</v>
      </c>
      <c r="I34" s="341" t="s">
        <v>26</v>
      </c>
      <c r="J34" s="285">
        <v>5.563632972257059</v>
      </c>
      <c r="K34" s="285">
        <v>6.365921894493253</v>
      </c>
      <c r="L34" s="285">
        <v>4.5487698268736922</v>
      </c>
      <c r="M34" s="339" t="s">
        <v>26</v>
      </c>
      <c r="N34" s="283">
        <v>7.1710206458575607</v>
      </c>
      <c r="O34" s="283">
        <v>8.0761524720478732</v>
      </c>
      <c r="P34" s="283">
        <v>6.1086369810487549</v>
      </c>
      <c r="Q34" s="471" t="s">
        <v>26</v>
      </c>
      <c r="R34" s="459">
        <f>R17*100/$R$5</f>
        <v>5.547983371557212</v>
      </c>
      <c r="S34" s="459">
        <f>S17*100/$S$5</f>
        <v>6.3688127562593602</v>
      </c>
      <c r="T34" s="459">
        <f>T17*100/$T$5</f>
        <v>4.523975434233857</v>
      </c>
      <c r="U34" s="458"/>
    </row>
    <row r="35" spans="1:21" s="12" customFormat="1" ht="20.25" customHeight="1">
      <c r="A35" s="474" t="s">
        <v>25</v>
      </c>
      <c r="B35" s="289">
        <v>2.5016195374467483</v>
      </c>
      <c r="C35" s="289">
        <v>0.98932025212623576</v>
      </c>
      <c r="D35" s="289">
        <v>4.3501635083634156</v>
      </c>
      <c r="E35" s="343" t="s">
        <v>25</v>
      </c>
      <c r="F35" s="287">
        <v>2.4728012800675092</v>
      </c>
      <c r="G35" s="287">
        <v>1.0399702393254247</v>
      </c>
      <c r="H35" s="287">
        <v>4.3182370718185963</v>
      </c>
      <c r="I35" s="341" t="s">
        <v>25</v>
      </c>
      <c r="J35" s="285">
        <v>2.6386308856011986</v>
      </c>
      <c r="K35" s="285">
        <v>1.5216137282920679</v>
      </c>
      <c r="L35" s="285">
        <v>4.0136635839864745</v>
      </c>
      <c r="M35" s="339" t="s">
        <v>25</v>
      </c>
      <c r="N35" s="283">
        <v>2.7579752705617104</v>
      </c>
      <c r="O35" s="283">
        <v>1.939150839984735</v>
      </c>
      <c r="P35" s="283">
        <v>3.7520034539249956</v>
      </c>
      <c r="Q35" s="471" t="s">
        <v>25</v>
      </c>
      <c r="R35" s="459">
        <f>R18*100/$R$5</f>
        <v>2.5857196063157804</v>
      </c>
      <c r="S35" s="459">
        <f>S18*100/$S$5</f>
        <v>1.3534714451381518</v>
      </c>
      <c r="T35" s="459">
        <f>T18*100/$T$5</f>
        <v>4.1229801578385263</v>
      </c>
      <c r="U35" s="458"/>
    </row>
    <row r="36" spans="1:21" s="12" customFormat="1" ht="20.25" customHeight="1">
      <c r="A36" s="467" t="s">
        <v>24</v>
      </c>
      <c r="B36" s="1014">
        <v>0</v>
      </c>
      <c r="C36" s="1014">
        <v>0</v>
      </c>
      <c r="D36" s="1014">
        <v>0</v>
      </c>
      <c r="E36" s="288" t="s">
        <v>24</v>
      </c>
      <c r="F36" s="287" t="s">
        <v>8</v>
      </c>
      <c r="G36" s="287" t="s">
        <v>8</v>
      </c>
      <c r="H36" s="287" t="s">
        <v>8</v>
      </c>
      <c r="I36" s="286" t="s">
        <v>24</v>
      </c>
      <c r="J36" s="1012">
        <v>0</v>
      </c>
      <c r="K36" s="1012">
        <v>0</v>
      </c>
      <c r="L36" s="1012">
        <v>0</v>
      </c>
      <c r="M36" s="284" t="s">
        <v>24</v>
      </c>
      <c r="N36" s="1013">
        <v>0</v>
      </c>
      <c r="O36" s="1013">
        <v>0</v>
      </c>
      <c r="P36" s="1013">
        <v>0</v>
      </c>
      <c r="Q36" s="15" t="s">
        <v>24</v>
      </c>
      <c r="R36" s="468" t="s">
        <v>7</v>
      </c>
      <c r="S36" s="468" t="s">
        <v>7</v>
      </c>
      <c r="T36" s="468" t="s">
        <v>7</v>
      </c>
      <c r="U36" s="458"/>
    </row>
    <row r="37" spans="1:21" s="12" customFormat="1" ht="20.25" customHeight="1">
      <c r="A37" s="467" t="s">
        <v>23</v>
      </c>
      <c r="B37" s="289">
        <v>9.194075127244071E-2</v>
      </c>
      <c r="C37" s="289">
        <v>6.3274403142943483E-2</v>
      </c>
      <c r="D37" s="289">
        <v>0.12698077642972933</v>
      </c>
      <c r="E37" s="288" t="s">
        <v>23</v>
      </c>
      <c r="F37" s="287" t="s">
        <v>8</v>
      </c>
      <c r="G37" s="287" t="s">
        <v>8</v>
      </c>
      <c r="H37" s="287" t="s">
        <v>8</v>
      </c>
      <c r="I37" s="286" t="s">
        <v>23</v>
      </c>
      <c r="J37" s="1012">
        <v>0</v>
      </c>
      <c r="K37" s="1012">
        <v>0</v>
      </c>
      <c r="L37" s="1012">
        <v>0</v>
      </c>
      <c r="M37" s="284" t="s">
        <v>23</v>
      </c>
      <c r="N37" s="283">
        <v>0.18788389309673617</v>
      </c>
      <c r="O37" s="283">
        <v>0.14193265506629749</v>
      </c>
      <c r="P37" s="283">
        <v>0.24366731132047575</v>
      </c>
      <c r="Q37" s="15" t="s">
        <v>23</v>
      </c>
      <c r="R37" s="459">
        <f>R20*100/$R$5</f>
        <v>6.7046265444637265E-2</v>
      </c>
      <c r="S37" s="459">
        <f>S20*100/$S$5</f>
        <v>4.8438481669354695E-2</v>
      </c>
      <c r="T37" s="459">
        <f>T20*100/$T$5</f>
        <v>9.0241935181606295E-2</v>
      </c>
      <c r="U37" s="458"/>
    </row>
    <row r="38" spans="1:21" s="12" customFormat="1" ht="5.25" customHeight="1">
      <c r="A38" s="457"/>
      <c r="B38" s="1011"/>
      <c r="C38" s="1011"/>
      <c r="D38" s="1011"/>
      <c r="E38" s="455"/>
      <c r="F38" s="1010"/>
      <c r="G38" s="1010"/>
      <c r="H38" s="1010"/>
      <c r="I38" s="453"/>
      <c r="J38" s="1009"/>
      <c r="K38" s="1009"/>
      <c r="L38" s="1009"/>
      <c r="M38" s="451"/>
      <c r="N38" s="1008"/>
      <c r="O38" s="1008"/>
      <c r="P38" s="1007"/>
      <c r="Q38" s="13"/>
      <c r="R38" s="448"/>
      <c r="S38" s="448"/>
      <c r="T38" s="448"/>
    </row>
    <row r="39" spans="1:21" s="12" customFormat="1" ht="15" customHeight="1">
      <c r="A39" s="447"/>
      <c r="B39" s="1006"/>
      <c r="C39" s="1006"/>
      <c r="D39" s="1006"/>
      <c r="E39" s="438"/>
      <c r="F39" s="1005"/>
      <c r="G39" s="1005"/>
      <c r="H39" s="1005"/>
      <c r="I39" s="444"/>
      <c r="J39" s="1004"/>
      <c r="K39" s="1004"/>
      <c r="L39" s="1004"/>
      <c r="M39" s="442"/>
      <c r="N39" s="1003"/>
      <c r="O39" s="999"/>
      <c r="P39" s="999"/>
      <c r="Q39" s="18"/>
      <c r="R39" s="426"/>
      <c r="S39" s="426"/>
      <c r="T39" s="426"/>
    </row>
    <row r="40" spans="1:21" s="12" customFormat="1" ht="18.600000000000001" customHeight="1">
      <c r="A40" s="440" t="s">
        <v>22</v>
      </c>
      <c r="B40" s="1002"/>
      <c r="C40" s="1002"/>
      <c r="D40" s="1002"/>
      <c r="E40" s="438" t="s">
        <v>22</v>
      </c>
      <c r="F40" s="1001"/>
      <c r="G40" s="1001"/>
      <c r="H40" s="1001"/>
      <c r="I40" s="436" t="s">
        <v>22</v>
      </c>
      <c r="J40" s="1000"/>
      <c r="K40" s="1000"/>
      <c r="L40" s="1000"/>
      <c r="M40" s="434" t="s">
        <v>22</v>
      </c>
      <c r="N40" s="999"/>
      <c r="O40" s="999"/>
      <c r="P40" s="999"/>
      <c r="Q40" s="432" t="s">
        <v>22</v>
      </c>
      <c r="R40" s="426"/>
      <c r="S40" s="426"/>
      <c r="T40" s="426"/>
    </row>
    <row r="41" spans="1:21" s="907" customFormat="1" ht="45" customHeight="1">
      <c r="A41" s="827"/>
      <c r="B41" s="827">
        <v>4</v>
      </c>
      <c r="C41" s="827"/>
      <c r="D41" s="827"/>
      <c r="E41" s="827"/>
      <c r="F41" s="827">
        <v>3</v>
      </c>
      <c r="G41" s="827"/>
      <c r="H41" s="827"/>
      <c r="I41" s="827"/>
      <c r="J41" s="827">
        <v>2</v>
      </c>
      <c r="K41" s="827"/>
      <c r="L41" s="827"/>
      <c r="M41" s="827"/>
      <c r="N41" s="827">
        <v>1</v>
      </c>
      <c r="O41" s="827"/>
      <c r="P41" s="827"/>
      <c r="Q41" s="827"/>
      <c r="R41" s="1183">
        <v>2563</v>
      </c>
      <c r="S41" s="1183"/>
    </row>
    <row r="42" spans="1:21" ht="20.25" customHeight="1">
      <c r="B42" s="998"/>
      <c r="C42" s="998"/>
      <c r="D42" s="998"/>
      <c r="F42" s="998"/>
      <c r="G42" s="998"/>
      <c r="H42" s="998"/>
    </row>
    <row r="43" spans="1:21" ht="20.25" customHeight="1"/>
    <row r="44" spans="1:21" ht="20.25" customHeight="1"/>
    <row r="45" spans="1:21" ht="27.75" customHeight="1">
      <c r="A45" s="415"/>
      <c r="E45" s="415"/>
      <c r="I45" s="415"/>
      <c r="M45" s="415"/>
      <c r="N45" s="997"/>
      <c r="O45" s="997"/>
      <c r="Q45" s="415"/>
    </row>
    <row r="46" spans="1:21" ht="27.75" customHeight="1">
      <c r="A46" s="415"/>
      <c r="E46" s="415"/>
      <c r="I46" s="415"/>
      <c r="M46" s="415"/>
      <c r="N46" s="997"/>
      <c r="O46" s="997"/>
      <c r="Q46" s="415"/>
    </row>
    <row r="47" spans="1:21" ht="15" customHeight="1">
      <c r="A47" s="415"/>
      <c r="B47" s="998"/>
      <c r="C47" s="998"/>
      <c r="D47" s="998"/>
      <c r="E47" s="415"/>
      <c r="F47" s="998"/>
      <c r="G47" s="998"/>
      <c r="H47" s="998"/>
      <c r="I47" s="415"/>
      <c r="Q47" s="415"/>
    </row>
    <row r="48" spans="1:21" ht="15" customHeight="1">
      <c r="A48" s="415"/>
      <c r="B48" s="998"/>
      <c r="C48" s="998"/>
      <c r="D48" s="998"/>
      <c r="E48" s="415"/>
      <c r="F48" s="998"/>
      <c r="G48" s="998"/>
      <c r="H48" s="998"/>
      <c r="I48" s="415"/>
      <c r="Q48" s="415"/>
    </row>
    <row r="49" spans="2:20" s="415" customFormat="1" ht="15" customHeight="1">
      <c r="B49" s="998"/>
      <c r="C49" s="998"/>
      <c r="D49" s="998"/>
      <c r="F49" s="998"/>
      <c r="G49" s="998"/>
      <c r="H49" s="998"/>
      <c r="J49" s="997"/>
      <c r="K49" s="997"/>
      <c r="L49" s="997"/>
      <c r="M49" s="419"/>
      <c r="N49" s="996"/>
      <c r="O49" s="996"/>
      <c r="P49" s="996"/>
      <c r="R49" s="416"/>
      <c r="S49" s="416"/>
      <c r="T49" s="416"/>
    </row>
    <row r="50" spans="2:20" s="415" customFormat="1" ht="15" customHeight="1">
      <c r="B50" s="998"/>
      <c r="C50" s="998"/>
      <c r="D50" s="998"/>
      <c r="F50" s="998"/>
      <c r="G50" s="998"/>
      <c r="H50" s="998"/>
      <c r="J50" s="997"/>
      <c r="K50" s="997"/>
      <c r="L50" s="997"/>
      <c r="M50" s="419"/>
      <c r="N50" s="996"/>
      <c r="O50" s="996"/>
      <c r="P50" s="996"/>
      <c r="R50" s="416"/>
      <c r="S50" s="416"/>
      <c r="T50" s="416"/>
    </row>
    <row r="51" spans="2:20" s="415" customFormat="1" ht="15" customHeight="1">
      <c r="B51" s="998"/>
      <c r="C51" s="998"/>
      <c r="D51" s="998"/>
      <c r="F51" s="998"/>
      <c r="G51" s="998"/>
      <c r="H51" s="998"/>
      <c r="J51" s="997"/>
      <c r="K51" s="997"/>
      <c r="L51" s="997"/>
      <c r="M51" s="419"/>
      <c r="N51" s="996"/>
      <c r="O51" s="996"/>
      <c r="P51" s="996"/>
      <c r="R51" s="416"/>
      <c r="S51" s="416"/>
      <c r="T51" s="416"/>
    </row>
    <row r="52" spans="2:20" s="415" customFormat="1" ht="15" customHeight="1">
      <c r="B52" s="998"/>
      <c r="C52" s="998"/>
      <c r="D52" s="998"/>
      <c r="F52" s="998"/>
      <c r="G52" s="998"/>
      <c r="H52" s="998"/>
      <c r="J52" s="997"/>
      <c r="K52" s="997"/>
      <c r="L52" s="997"/>
      <c r="M52" s="419"/>
      <c r="N52" s="996"/>
      <c r="O52" s="996"/>
      <c r="P52" s="996"/>
      <c r="R52" s="416"/>
      <c r="S52" s="416"/>
      <c r="T52" s="416"/>
    </row>
    <row r="53" spans="2:20" s="415" customFormat="1" ht="15" customHeight="1">
      <c r="B53" s="998"/>
      <c r="C53" s="998"/>
      <c r="D53" s="998"/>
      <c r="F53" s="998"/>
      <c r="G53" s="998"/>
      <c r="H53" s="998"/>
      <c r="J53" s="997"/>
      <c r="K53" s="997"/>
      <c r="L53" s="997"/>
      <c r="M53" s="419"/>
      <c r="N53" s="996"/>
      <c r="O53" s="996"/>
      <c r="P53" s="996"/>
      <c r="R53" s="416"/>
      <c r="S53" s="416"/>
      <c r="T53" s="416"/>
    </row>
    <row r="54" spans="2:20" s="415" customFormat="1" ht="15" customHeight="1">
      <c r="B54" s="998"/>
      <c r="C54" s="998"/>
      <c r="D54" s="998"/>
      <c r="F54" s="998"/>
      <c r="G54" s="998"/>
      <c r="H54" s="998"/>
      <c r="J54" s="997"/>
      <c r="K54" s="997"/>
      <c r="L54" s="997"/>
      <c r="M54" s="419"/>
      <c r="N54" s="996"/>
      <c r="O54" s="996"/>
      <c r="P54" s="996"/>
      <c r="R54" s="416"/>
      <c r="S54" s="416"/>
      <c r="T54" s="416"/>
    </row>
    <row r="55" spans="2:20" s="415" customFormat="1" ht="15" customHeight="1">
      <c r="B55" s="998"/>
      <c r="C55" s="998"/>
      <c r="D55" s="998"/>
      <c r="F55" s="998"/>
      <c r="G55" s="998"/>
      <c r="H55" s="998"/>
      <c r="J55" s="997"/>
      <c r="K55" s="997"/>
      <c r="L55" s="997"/>
      <c r="M55" s="419"/>
      <c r="N55" s="996"/>
      <c r="O55" s="996"/>
      <c r="P55" s="996"/>
      <c r="R55" s="416"/>
      <c r="S55" s="416"/>
      <c r="T55" s="416"/>
    </row>
    <row r="56" spans="2:20" s="415" customFormat="1" ht="15" customHeight="1">
      <c r="B56" s="998"/>
      <c r="C56" s="998"/>
      <c r="D56" s="998"/>
      <c r="F56" s="998"/>
      <c r="G56" s="998"/>
      <c r="H56" s="998"/>
      <c r="J56" s="997"/>
      <c r="K56" s="997"/>
      <c r="L56" s="997"/>
      <c r="M56" s="419"/>
      <c r="N56" s="996"/>
      <c r="O56" s="996"/>
      <c r="P56" s="996"/>
      <c r="R56" s="416"/>
      <c r="S56" s="416"/>
      <c r="T56" s="416"/>
    </row>
    <row r="57" spans="2:20" s="415" customFormat="1" ht="15" customHeight="1">
      <c r="B57" s="998"/>
      <c r="C57" s="998"/>
      <c r="D57" s="998"/>
      <c r="F57" s="998"/>
      <c r="G57" s="998"/>
      <c r="H57" s="998"/>
      <c r="J57" s="997"/>
      <c r="K57" s="997"/>
      <c r="L57" s="997"/>
      <c r="M57" s="419"/>
      <c r="N57" s="996"/>
      <c r="O57" s="996"/>
      <c r="P57" s="996"/>
      <c r="R57" s="416"/>
      <c r="S57" s="416"/>
      <c r="T57" s="416"/>
    </row>
    <row r="58" spans="2:20" s="415" customFormat="1" ht="15" customHeight="1">
      <c r="B58" s="998"/>
      <c r="C58" s="998"/>
      <c r="D58" s="998"/>
      <c r="F58" s="998"/>
      <c r="G58" s="998"/>
      <c r="H58" s="998"/>
      <c r="J58" s="997"/>
      <c r="K58" s="997"/>
      <c r="L58" s="997"/>
      <c r="M58" s="419"/>
      <c r="N58" s="996"/>
      <c r="O58" s="996"/>
      <c r="P58" s="996"/>
      <c r="R58" s="416"/>
      <c r="S58" s="416"/>
      <c r="T58" s="416"/>
    </row>
    <row r="59" spans="2:20" s="415" customFormat="1" ht="15" customHeight="1">
      <c r="B59" s="998"/>
      <c r="C59" s="998"/>
      <c r="D59" s="998"/>
      <c r="F59" s="998"/>
      <c r="G59" s="998"/>
      <c r="H59" s="998"/>
      <c r="J59" s="997"/>
      <c r="K59" s="997"/>
      <c r="L59" s="997"/>
      <c r="M59" s="419"/>
      <c r="N59" s="996"/>
      <c r="O59" s="996"/>
      <c r="P59" s="996"/>
      <c r="R59" s="416"/>
      <c r="S59" s="416"/>
      <c r="T59" s="416"/>
    </row>
    <row r="60" spans="2:20" s="415" customFormat="1" ht="15" customHeight="1">
      <c r="B60" s="997"/>
      <c r="C60" s="997"/>
      <c r="D60" s="997"/>
      <c r="F60" s="997"/>
      <c r="G60" s="997"/>
      <c r="H60" s="997"/>
      <c r="J60" s="997"/>
      <c r="K60" s="997"/>
      <c r="L60" s="997"/>
      <c r="M60" s="419"/>
      <c r="N60" s="996"/>
      <c r="O60" s="996"/>
      <c r="P60" s="996"/>
      <c r="R60" s="416"/>
      <c r="S60" s="416"/>
      <c r="T60" s="416"/>
    </row>
    <row r="61" spans="2:20" s="415" customFormat="1" ht="15" customHeight="1">
      <c r="B61" s="997"/>
      <c r="C61" s="997"/>
      <c r="D61" s="997"/>
      <c r="F61" s="997"/>
      <c r="G61" s="997"/>
      <c r="H61" s="997"/>
      <c r="I61" s="421"/>
      <c r="J61" s="997"/>
      <c r="K61" s="997"/>
      <c r="L61" s="997"/>
      <c r="M61" s="419"/>
      <c r="N61" s="996"/>
      <c r="O61" s="996"/>
      <c r="P61" s="996"/>
      <c r="R61" s="416"/>
      <c r="S61" s="416"/>
      <c r="T61" s="416"/>
    </row>
    <row r="62" spans="2:20" s="415" customFormat="1" ht="15" customHeight="1">
      <c r="B62" s="997"/>
      <c r="C62" s="997"/>
      <c r="D62" s="997"/>
      <c r="F62" s="997"/>
      <c r="G62" s="997"/>
      <c r="H62" s="997"/>
      <c r="I62" s="421"/>
      <c r="J62" s="997"/>
      <c r="K62" s="997"/>
      <c r="L62" s="997"/>
      <c r="M62" s="419"/>
      <c r="N62" s="996"/>
      <c r="O62" s="996"/>
      <c r="P62" s="996"/>
      <c r="R62" s="416"/>
      <c r="S62" s="416"/>
      <c r="T62" s="416"/>
    </row>
    <row r="63" spans="2:20" s="415" customFormat="1" ht="15" customHeight="1">
      <c r="B63" s="997"/>
      <c r="C63" s="997"/>
      <c r="D63" s="997"/>
      <c r="F63" s="997"/>
      <c r="G63" s="997"/>
      <c r="H63" s="997"/>
      <c r="I63" s="421"/>
      <c r="J63" s="997"/>
      <c r="K63" s="997"/>
      <c r="L63" s="997"/>
      <c r="M63" s="419"/>
      <c r="N63" s="996"/>
      <c r="O63" s="996"/>
      <c r="P63" s="996"/>
      <c r="R63" s="416"/>
      <c r="S63" s="416"/>
      <c r="T63" s="416"/>
    </row>
    <row r="64" spans="2:20" s="415" customFormat="1" ht="15" customHeight="1">
      <c r="B64" s="997"/>
      <c r="C64" s="997"/>
      <c r="D64" s="997"/>
      <c r="F64" s="997"/>
      <c r="G64" s="997"/>
      <c r="H64" s="997"/>
      <c r="I64" s="421"/>
      <c r="J64" s="997"/>
      <c r="K64" s="997"/>
      <c r="L64" s="997"/>
      <c r="M64" s="419"/>
      <c r="N64" s="996"/>
      <c r="O64" s="996"/>
      <c r="P64" s="996"/>
      <c r="R64" s="416"/>
      <c r="S64" s="416"/>
      <c r="T64" s="416"/>
    </row>
    <row r="65" spans="2:20" s="415" customFormat="1" ht="15" customHeight="1">
      <c r="B65" s="997"/>
      <c r="C65" s="997"/>
      <c r="D65" s="997"/>
      <c r="F65" s="997"/>
      <c r="G65" s="997"/>
      <c r="H65" s="997"/>
      <c r="I65" s="421"/>
      <c r="J65" s="997"/>
      <c r="K65" s="997"/>
      <c r="L65" s="997"/>
      <c r="M65" s="419"/>
      <c r="N65" s="996"/>
      <c r="O65" s="996"/>
      <c r="P65" s="996"/>
      <c r="R65" s="416"/>
      <c r="S65" s="416"/>
      <c r="T65" s="416"/>
    </row>
    <row r="66" spans="2:20" s="415" customFormat="1" ht="15" customHeight="1">
      <c r="B66" s="997"/>
      <c r="C66" s="997"/>
      <c r="D66" s="997"/>
      <c r="F66" s="997"/>
      <c r="G66" s="997"/>
      <c r="H66" s="997"/>
      <c r="I66" s="421"/>
      <c r="J66" s="997"/>
      <c r="K66" s="997"/>
      <c r="L66" s="997"/>
      <c r="M66" s="419"/>
      <c r="N66" s="996"/>
      <c r="O66" s="996"/>
      <c r="P66" s="996"/>
      <c r="R66" s="416"/>
      <c r="S66" s="416"/>
      <c r="T66" s="416"/>
    </row>
    <row r="67" spans="2:20" s="415" customFormat="1" ht="15" customHeight="1">
      <c r="B67" s="997"/>
      <c r="C67" s="997"/>
      <c r="D67" s="997"/>
      <c r="F67" s="997"/>
      <c r="G67" s="997"/>
      <c r="H67" s="997"/>
      <c r="I67" s="421"/>
      <c r="J67" s="997"/>
      <c r="K67" s="997"/>
      <c r="L67" s="997"/>
      <c r="M67" s="419"/>
      <c r="N67" s="996"/>
      <c r="O67" s="996"/>
      <c r="P67" s="996"/>
      <c r="R67" s="416"/>
      <c r="S67" s="416"/>
      <c r="T67" s="416"/>
    </row>
    <row r="68" spans="2:20" s="415" customFormat="1" ht="15" customHeight="1">
      <c r="B68" s="997"/>
      <c r="C68" s="997"/>
      <c r="D68" s="997"/>
      <c r="F68" s="997"/>
      <c r="G68" s="997"/>
      <c r="H68" s="997"/>
      <c r="I68" s="421"/>
      <c r="J68" s="997"/>
      <c r="K68" s="997"/>
      <c r="L68" s="997"/>
      <c r="M68" s="419"/>
      <c r="N68" s="996"/>
      <c r="O68" s="996"/>
      <c r="P68" s="996"/>
      <c r="R68" s="416"/>
      <c r="S68" s="416"/>
      <c r="T68" s="416"/>
    </row>
    <row r="69" spans="2:20" s="415" customFormat="1" ht="15" customHeight="1">
      <c r="B69" s="997"/>
      <c r="C69" s="997"/>
      <c r="D69" s="997"/>
      <c r="F69" s="997"/>
      <c r="G69" s="997"/>
      <c r="H69" s="997"/>
      <c r="I69" s="421"/>
      <c r="J69" s="997"/>
      <c r="K69" s="997"/>
      <c r="L69" s="997"/>
      <c r="M69" s="419"/>
      <c r="N69" s="996"/>
      <c r="O69" s="996"/>
      <c r="P69" s="996"/>
      <c r="R69" s="416"/>
      <c r="S69" s="416"/>
      <c r="T69" s="416"/>
    </row>
    <row r="70" spans="2:20" s="415" customFormat="1" ht="15" customHeight="1">
      <c r="B70" s="997"/>
      <c r="C70" s="997"/>
      <c r="D70" s="997"/>
      <c r="F70" s="997"/>
      <c r="G70" s="997"/>
      <c r="H70" s="997"/>
      <c r="I70" s="421"/>
      <c r="J70" s="997"/>
      <c r="K70" s="997"/>
      <c r="L70" s="997"/>
      <c r="M70" s="419"/>
      <c r="N70" s="996"/>
      <c r="O70" s="996"/>
      <c r="P70" s="996"/>
      <c r="R70" s="416"/>
      <c r="S70" s="416"/>
      <c r="T70" s="416"/>
    </row>
    <row r="71" spans="2:20" s="415" customFormat="1" ht="15" customHeight="1">
      <c r="B71" s="997"/>
      <c r="C71" s="997"/>
      <c r="D71" s="997"/>
      <c r="F71" s="997"/>
      <c r="G71" s="997"/>
      <c r="H71" s="997"/>
      <c r="I71" s="421"/>
      <c r="J71" s="997"/>
      <c r="K71" s="997"/>
      <c r="L71" s="997"/>
      <c r="M71" s="419"/>
      <c r="N71" s="996"/>
      <c r="O71" s="996"/>
      <c r="P71" s="996"/>
      <c r="R71" s="416"/>
      <c r="S71" s="416"/>
      <c r="T71" s="416"/>
    </row>
    <row r="72" spans="2:20" s="415" customFormat="1" ht="15" customHeight="1">
      <c r="B72" s="997"/>
      <c r="C72" s="997"/>
      <c r="D72" s="997"/>
      <c r="F72" s="997"/>
      <c r="G72" s="997"/>
      <c r="H72" s="997"/>
      <c r="I72" s="421"/>
      <c r="J72" s="997"/>
      <c r="K72" s="997"/>
      <c r="L72" s="997"/>
      <c r="M72" s="419"/>
      <c r="N72" s="996"/>
      <c r="O72" s="996"/>
      <c r="P72" s="996"/>
      <c r="R72" s="416"/>
      <c r="S72" s="416"/>
      <c r="T72" s="416"/>
    </row>
    <row r="73" spans="2:20" s="415" customFormat="1" ht="15" customHeight="1">
      <c r="B73" s="997"/>
      <c r="C73" s="997"/>
      <c r="D73" s="997"/>
      <c r="F73" s="997"/>
      <c r="G73" s="997"/>
      <c r="H73" s="997"/>
      <c r="I73" s="421"/>
      <c r="J73" s="997"/>
      <c r="K73" s="997"/>
      <c r="L73" s="997"/>
      <c r="M73" s="419"/>
      <c r="N73" s="996"/>
      <c r="O73" s="996"/>
      <c r="P73" s="996"/>
      <c r="R73" s="416"/>
      <c r="S73" s="416"/>
      <c r="T73" s="416"/>
    </row>
    <row r="74" spans="2:20" s="415" customFormat="1" ht="15" customHeight="1">
      <c r="B74" s="997"/>
      <c r="C74" s="997"/>
      <c r="D74" s="997"/>
      <c r="F74" s="997"/>
      <c r="G74" s="997"/>
      <c r="H74" s="997"/>
      <c r="I74" s="421"/>
      <c r="J74" s="997"/>
      <c r="K74" s="997"/>
      <c r="L74" s="997"/>
      <c r="M74" s="419"/>
      <c r="N74" s="996"/>
      <c r="O74" s="996"/>
      <c r="P74" s="996"/>
      <c r="R74" s="416"/>
      <c r="S74" s="416"/>
      <c r="T74" s="416"/>
    </row>
    <row r="75" spans="2:20" s="415" customFormat="1" ht="15" customHeight="1">
      <c r="B75" s="997"/>
      <c r="C75" s="997"/>
      <c r="D75" s="997"/>
      <c r="F75" s="997"/>
      <c r="G75" s="997"/>
      <c r="H75" s="997"/>
      <c r="I75" s="421"/>
      <c r="J75" s="997"/>
      <c r="K75" s="997"/>
      <c r="L75" s="997"/>
      <c r="M75" s="419"/>
      <c r="N75" s="996"/>
      <c r="O75" s="996"/>
      <c r="P75" s="996"/>
      <c r="R75" s="416"/>
      <c r="S75" s="416"/>
      <c r="T75" s="416"/>
    </row>
    <row r="76" spans="2:20" s="415" customFormat="1" ht="15" customHeight="1">
      <c r="B76" s="997"/>
      <c r="C76" s="997"/>
      <c r="D76" s="997"/>
      <c r="F76" s="997"/>
      <c r="G76" s="997"/>
      <c r="H76" s="997"/>
      <c r="I76" s="421"/>
      <c r="J76" s="997"/>
      <c r="K76" s="997"/>
      <c r="L76" s="997"/>
      <c r="M76" s="419"/>
      <c r="N76" s="996"/>
      <c r="O76" s="996"/>
      <c r="P76" s="996"/>
      <c r="R76" s="416"/>
      <c r="S76" s="416"/>
      <c r="T76" s="416"/>
    </row>
    <row r="77" spans="2:20" s="415" customFormat="1" ht="15" customHeight="1">
      <c r="B77" s="997"/>
      <c r="C77" s="997"/>
      <c r="D77" s="997"/>
      <c r="F77" s="997"/>
      <c r="G77" s="997"/>
      <c r="H77" s="997"/>
      <c r="I77" s="421"/>
      <c r="J77" s="997"/>
      <c r="K77" s="997"/>
      <c r="L77" s="997"/>
      <c r="M77" s="419"/>
      <c r="N77" s="996"/>
      <c r="O77" s="996"/>
      <c r="P77" s="996"/>
      <c r="R77" s="416"/>
      <c r="S77" s="416"/>
      <c r="T77" s="416"/>
    </row>
    <row r="78" spans="2:20" s="415" customFormat="1" ht="15" customHeight="1">
      <c r="B78" s="997"/>
      <c r="C78" s="997"/>
      <c r="D78" s="997"/>
      <c r="F78" s="997"/>
      <c r="G78" s="997"/>
      <c r="H78" s="997"/>
      <c r="I78" s="416"/>
      <c r="J78" s="997"/>
      <c r="K78" s="997"/>
      <c r="L78" s="997"/>
      <c r="M78" s="419"/>
      <c r="N78" s="996"/>
      <c r="O78" s="996"/>
      <c r="P78" s="996"/>
      <c r="R78" s="416"/>
      <c r="S78" s="416"/>
      <c r="T78" s="416"/>
    </row>
    <row r="79" spans="2:20" s="415" customFormat="1" ht="15" customHeight="1">
      <c r="B79" s="997"/>
      <c r="C79" s="997"/>
      <c r="D79" s="997"/>
      <c r="F79" s="997"/>
      <c r="G79" s="997"/>
      <c r="H79" s="997"/>
      <c r="I79" s="416"/>
      <c r="J79" s="997"/>
      <c r="K79" s="997"/>
      <c r="L79" s="997"/>
      <c r="M79" s="419"/>
      <c r="N79" s="996"/>
      <c r="O79" s="996"/>
      <c r="P79" s="996"/>
      <c r="R79" s="416"/>
      <c r="S79" s="416"/>
      <c r="T79" s="416"/>
    </row>
    <row r="80" spans="2:20" s="415" customFormat="1" ht="15" customHeight="1">
      <c r="B80" s="997"/>
      <c r="C80" s="997"/>
      <c r="D80" s="997"/>
      <c r="F80" s="997"/>
      <c r="G80" s="997"/>
      <c r="H80" s="997"/>
      <c r="I80" s="416"/>
      <c r="J80" s="997"/>
      <c r="K80" s="997"/>
      <c r="L80" s="997"/>
      <c r="M80" s="419"/>
      <c r="N80" s="996"/>
      <c r="O80" s="996"/>
      <c r="P80" s="996"/>
      <c r="R80" s="416"/>
      <c r="S80" s="416"/>
      <c r="T80" s="416"/>
    </row>
    <row r="81" spans="2:20" s="415" customFormat="1" ht="15" customHeight="1">
      <c r="B81" s="997"/>
      <c r="C81" s="997"/>
      <c r="D81" s="997"/>
      <c r="F81" s="997"/>
      <c r="G81" s="997"/>
      <c r="H81" s="997"/>
      <c r="I81" s="416"/>
      <c r="J81" s="997"/>
      <c r="K81" s="997"/>
      <c r="L81" s="997"/>
      <c r="M81" s="419"/>
      <c r="N81" s="996"/>
      <c r="O81" s="996"/>
      <c r="P81" s="996"/>
      <c r="R81" s="416"/>
      <c r="S81" s="416"/>
      <c r="T81" s="416"/>
    </row>
    <row r="82" spans="2:20" s="415" customFormat="1" ht="15" customHeight="1">
      <c r="B82" s="997"/>
      <c r="C82" s="997"/>
      <c r="D82" s="997"/>
      <c r="F82" s="997"/>
      <c r="G82" s="997"/>
      <c r="H82" s="997"/>
      <c r="I82" s="416"/>
      <c r="J82" s="997"/>
      <c r="K82" s="997"/>
      <c r="L82" s="997"/>
      <c r="M82" s="419"/>
      <c r="N82" s="996"/>
      <c r="O82" s="996"/>
      <c r="P82" s="996"/>
      <c r="R82" s="416"/>
      <c r="S82" s="416"/>
      <c r="T82" s="416"/>
    </row>
    <row r="83" spans="2:20" s="415" customFormat="1" ht="15" customHeight="1">
      <c r="B83" s="997"/>
      <c r="C83" s="997"/>
      <c r="D83" s="997"/>
      <c r="F83" s="997"/>
      <c r="G83" s="997"/>
      <c r="H83" s="997"/>
      <c r="I83" s="416"/>
      <c r="J83" s="997"/>
      <c r="K83" s="997"/>
      <c r="L83" s="997"/>
      <c r="M83" s="419"/>
      <c r="N83" s="996"/>
      <c r="O83" s="996"/>
      <c r="P83" s="996"/>
      <c r="R83" s="416"/>
      <c r="S83" s="416"/>
      <c r="T83" s="416"/>
    </row>
    <row r="84" spans="2:20" s="415" customFormat="1" ht="15" customHeight="1">
      <c r="B84" s="997"/>
      <c r="C84" s="997"/>
      <c r="D84" s="997"/>
      <c r="F84" s="997"/>
      <c r="G84" s="997"/>
      <c r="H84" s="997"/>
      <c r="I84" s="416"/>
      <c r="J84" s="997"/>
      <c r="K84" s="997"/>
      <c r="L84" s="997"/>
      <c r="M84" s="419"/>
      <c r="N84" s="996"/>
      <c r="O84" s="996"/>
      <c r="P84" s="996"/>
      <c r="R84" s="416"/>
      <c r="S84" s="416"/>
      <c r="T84" s="416"/>
    </row>
    <row r="85" spans="2:20" s="415" customFormat="1" ht="15" customHeight="1">
      <c r="B85" s="997"/>
      <c r="C85" s="997"/>
      <c r="D85" s="997"/>
      <c r="F85" s="997"/>
      <c r="G85" s="997"/>
      <c r="H85" s="997"/>
      <c r="I85" s="416"/>
      <c r="J85" s="997"/>
      <c r="K85" s="997"/>
      <c r="L85" s="997"/>
      <c r="M85" s="419"/>
      <c r="N85" s="996"/>
      <c r="O85" s="996"/>
      <c r="P85" s="996"/>
      <c r="R85" s="416"/>
      <c r="S85" s="416"/>
      <c r="T85" s="416"/>
    </row>
    <row r="86" spans="2:20" s="415" customFormat="1" ht="15" customHeight="1">
      <c r="B86" s="997"/>
      <c r="C86" s="997"/>
      <c r="D86" s="997"/>
      <c r="F86" s="997"/>
      <c r="G86" s="997"/>
      <c r="H86" s="997"/>
      <c r="I86" s="416"/>
      <c r="J86" s="997"/>
      <c r="K86" s="997"/>
      <c r="L86" s="997"/>
      <c r="M86" s="419"/>
      <c r="N86" s="996"/>
      <c r="O86" s="996"/>
      <c r="P86" s="996"/>
      <c r="R86" s="416"/>
      <c r="S86" s="416"/>
      <c r="T86" s="416"/>
    </row>
    <row r="87" spans="2:20" s="415" customFormat="1" ht="15" customHeight="1">
      <c r="B87" s="997"/>
      <c r="C87" s="997"/>
      <c r="D87" s="997"/>
      <c r="F87" s="997"/>
      <c r="G87" s="997"/>
      <c r="H87" s="997"/>
      <c r="I87" s="416"/>
      <c r="J87" s="997"/>
      <c r="K87" s="997"/>
      <c r="L87" s="997"/>
      <c r="M87" s="419"/>
      <c r="N87" s="996"/>
      <c r="O87" s="996"/>
      <c r="P87" s="996"/>
      <c r="R87" s="416"/>
      <c r="S87" s="416"/>
      <c r="T87" s="416"/>
    </row>
    <row r="88" spans="2:20" s="415" customFormat="1" ht="15" customHeight="1">
      <c r="B88" s="997"/>
      <c r="C88" s="997"/>
      <c r="D88" s="997"/>
      <c r="F88" s="997"/>
      <c r="G88" s="997"/>
      <c r="H88" s="997"/>
      <c r="I88" s="416"/>
      <c r="J88" s="997"/>
      <c r="K88" s="997"/>
      <c r="L88" s="997"/>
      <c r="M88" s="419"/>
      <c r="N88" s="996"/>
      <c r="O88" s="996"/>
      <c r="P88" s="996"/>
      <c r="R88" s="416"/>
      <c r="S88" s="416"/>
      <c r="T88" s="416"/>
    </row>
    <row r="89" spans="2:20" s="415" customFormat="1" ht="15" customHeight="1">
      <c r="B89" s="997"/>
      <c r="C89" s="997"/>
      <c r="D89" s="997"/>
      <c r="F89" s="997"/>
      <c r="G89" s="997"/>
      <c r="H89" s="997"/>
      <c r="I89" s="416"/>
      <c r="J89" s="997"/>
      <c r="K89" s="997"/>
      <c r="L89" s="997"/>
      <c r="M89" s="419"/>
      <c r="N89" s="996"/>
      <c r="O89" s="996"/>
      <c r="P89" s="996"/>
      <c r="R89" s="416"/>
      <c r="S89" s="416"/>
      <c r="T89" s="416"/>
    </row>
    <row r="90" spans="2:20" s="415" customFormat="1" ht="15" customHeight="1">
      <c r="B90" s="997"/>
      <c r="C90" s="997"/>
      <c r="D90" s="997"/>
      <c r="F90" s="997"/>
      <c r="G90" s="997"/>
      <c r="H90" s="997"/>
      <c r="I90" s="416"/>
      <c r="J90" s="997"/>
      <c r="K90" s="997"/>
      <c r="L90" s="997"/>
      <c r="M90" s="419"/>
      <c r="N90" s="996"/>
      <c r="O90" s="996"/>
      <c r="P90" s="996"/>
      <c r="R90" s="416"/>
      <c r="S90" s="416"/>
      <c r="T90" s="416"/>
    </row>
    <row r="91" spans="2:20" s="415" customFormat="1" ht="15" customHeight="1">
      <c r="B91" s="997"/>
      <c r="C91" s="997"/>
      <c r="D91" s="997"/>
      <c r="F91" s="997"/>
      <c r="G91" s="997"/>
      <c r="H91" s="997"/>
      <c r="I91" s="416"/>
      <c r="J91" s="997"/>
      <c r="K91" s="997"/>
      <c r="L91" s="997"/>
      <c r="M91" s="419"/>
      <c r="N91" s="996"/>
      <c r="O91" s="996"/>
      <c r="P91" s="996"/>
      <c r="R91" s="416"/>
      <c r="S91" s="416"/>
      <c r="T91" s="416"/>
    </row>
    <row r="92" spans="2:20" s="415" customFormat="1" ht="15" customHeight="1">
      <c r="B92" s="997"/>
      <c r="C92" s="997"/>
      <c r="D92" s="997"/>
      <c r="F92" s="997"/>
      <c r="G92" s="997"/>
      <c r="H92" s="997"/>
      <c r="I92" s="416"/>
      <c r="J92" s="997"/>
      <c r="K92" s="997"/>
      <c r="L92" s="997"/>
      <c r="M92" s="419"/>
      <c r="N92" s="996"/>
      <c r="O92" s="996"/>
      <c r="P92" s="996"/>
      <c r="R92" s="416"/>
      <c r="S92" s="416"/>
      <c r="T92" s="416"/>
    </row>
    <row r="93" spans="2:20" s="415" customFormat="1" ht="15" customHeight="1">
      <c r="B93" s="997"/>
      <c r="C93" s="997"/>
      <c r="D93" s="997"/>
      <c r="F93" s="997"/>
      <c r="G93" s="997"/>
      <c r="H93" s="997"/>
      <c r="I93" s="416"/>
      <c r="J93" s="997"/>
      <c r="K93" s="997"/>
      <c r="L93" s="997"/>
      <c r="M93" s="419"/>
      <c r="N93" s="996"/>
      <c r="O93" s="996"/>
      <c r="P93" s="996"/>
      <c r="R93" s="416"/>
      <c r="S93" s="416"/>
      <c r="T93" s="416"/>
    </row>
    <row r="94" spans="2:20" s="415" customFormat="1" ht="15" customHeight="1">
      <c r="B94" s="997"/>
      <c r="C94" s="997"/>
      <c r="D94" s="997"/>
      <c r="F94" s="997"/>
      <c r="G94" s="997"/>
      <c r="H94" s="997"/>
      <c r="I94" s="416"/>
      <c r="J94" s="997"/>
      <c r="K94" s="997"/>
      <c r="L94" s="997"/>
      <c r="M94" s="419"/>
      <c r="N94" s="996"/>
      <c r="O94" s="996"/>
      <c r="P94" s="996"/>
      <c r="R94" s="416"/>
      <c r="S94" s="416"/>
      <c r="T94" s="416"/>
    </row>
    <row r="95" spans="2:20" s="415" customFormat="1" ht="15" customHeight="1">
      <c r="B95" s="997"/>
      <c r="C95" s="997"/>
      <c r="D95" s="997"/>
      <c r="F95" s="997"/>
      <c r="G95" s="997"/>
      <c r="H95" s="997"/>
      <c r="I95" s="416"/>
      <c r="J95" s="997"/>
      <c r="K95" s="997"/>
      <c r="L95" s="997"/>
      <c r="M95" s="419"/>
      <c r="N95" s="996"/>
      <c r="O95" s="996"/>
      <c r="P95" s="996"/>
      <c r="R95" s="416"/>
      <c r="S95" s="416"/>
      <c r="T95" s="416"/>
    </row>
    <row r="96" spans="2:20" s="415" customFormat="1" ht="15" customHeight="1">
      <c r="B96" s="997"/>
      <c r="C96" s="997"/>
      <c r="D96" s="997"/>
      <c r="F96" s="997"/>
      <c r="G96" s="997"/>
      <c r="H96" s="997"/>
      <c r="I96" s="416"/>
      <c r="J96" s="997"/>
      <c r="K96" s="997"/>
      <c r="L96" s="997"/>
      <c r="M96" s="419"/>
      <c r="N96" s="996"/>
      <c r="O96" s="996"/>
      <c r="P96" s="996"/>
      <c r="R96" s="416"/>
      <c r="S96" s="416"/>
      <c r="T96" s="416"/>
    </row>
    <row r="97" spans="2:20" s="415" customFormat="1" ht="15" customHeight="1">
      <c r="B97" s="997"/>
      <c r="C97" s="997"/>
      <c r="D97" s="997"/>
      <c r="F97" s="997"/>
      <c r="G97" s="997"/>
      <c r="H97" s="997"/>
      <c r="I97" s="416"/>
      <c r="J97" s="997"/>
      <c r="K97" s="997"/>
      <c r="L97" s="997"/>
      <c r="M97" s="419"/>
      <c r="N97" s="996"/>
      <c r="O97" s="996"/>
      <c r="P97" s="996"/>
      <c r="R97" s="416"/>
      <c r="S97" s="416"/>
      <c r="T97" s="416"/>
    </row>
    <row r="98" spans="2:20" s="415" customFormat="1" ht="15" customHeight="1">
      <c r="B98" s="997"/>
      <c r="C98" s="997"/>
      <c r="D98" s="997"/>
      <c r="F98" s="997"/>
      <c r="G98" s="997"/>
      <c r="H98" s="997"/>
      <c r="I98" s="416"/>
      <c r="J98" s="997"/>
      <c r="K98" s="997"/>
      <c r="L98" s="997"/>
      <c r="M98" s="419"/>
      <c r="N98" s="996"/>
      <c r="O98" s="996"/>
      <c r="P98" s="996"/>
      <c r="R98" s="416"/>
      <c r="S98" s="416"/>
      <c r="T98" s="416"/>
    </row>
    <row r="99" spans="2:20" s="415" customFormat="1" ht="15" customHeight="1">
      <c r="B99" s="997"/>
      <c r="C99" s="997"/>
      <c r="D99" s="997"/>
      <c r="F99" s="997"/>
      <c r="G99" s="997"/>
      <c r="H99" s="997"/>
      <c r="I99" s="416"/>
      <c r="J99" s="997"/>
      <c r="K99" s="997"/>
      <c r="L99" s="997"/>
      <c r="M99" s="419"/>
      <c r="N99" s="996"/>
      <c r="O99" s="996"/>
      <c r="P99" s="996"/>
      <c r="R99" s="416"/>
      <c r="S99" s="416"/>
      <c r="T99" s="416"/>
    </row>
    <row r="100" spans="2:20" s="415" customFormat="1" ht="15" customHeight="1">
      <c r="B100" s="997"/>
      <c r="C100" s="997"/>
      <c r="D100" s="997"/>
      <c r="F100" s="997"/>
      <c r="G100" s="997"/>
      <c r="H100" s="997"/>
      <c r="I100" s="416"/>
      <c r="J100" s="997"/>
      <c r="K100" s="997"/>
      <c r="L100" s="997"/>
      <c r="M100" s="419"/>
      <c r="N100" s="996"/>
      <c r="O100" s="996"/>
      <c r="P100" s="996"/>
      <c r="R100" s="416"/>
      <c r="S100" s="416"/>
      <c r="T100" s="416"/>
    </row>
    <row r="65532" spans="2:20" s="415" customFormat="1" ht="26.25" customHeight="1">
      <c r="B65532" s="997"/>
      <c r="C65532" s="997"/>
      <c r="D65532" s="997"/>
      <c r="F65532" s="997"/>
      <c r="G65532" s="997"/>
      <c r="H65532" s="997"/>
      <c r="I65532" s="416"/>
      <c r="J65532" s="997"/>
      <c r="K65532" s="997"/>
      <c r="L65532" s="997"/>
      <c r="M65532" s="422"/>
      <c r="N65532" s="996"/>
      <c r="O65532" s="996"/>
      <c r="P65532" s="996"/>
      <c r="R65532" s="416"/>
      <c r="S65532" s="416"/>
      <c r="T65532" s="416"/>
    </row>
  </sheetData>
  <mergeCells count="3">
    <mergeCell ref="R4:T4"/>
    <mergeCell ref="R21:T21"/>
    <mergeCell ref="R41:S41"/>
  </mergeCells>
  <pageMargins left="0.31496062992125984" right="0" top="0.55118110236220474" bottom="0" header="0.31496062992125984" footer="0.31496062992125984"/>
  <pageSetup paperSize="9" scale="65" orientation="landscape" horizontalDpi="4294967292" r:id="rId1"/>
  <headerFooter>
    <oddHeader>&amp;C22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1" ySplit="4" topLeftCell="B5" activePane="bottomRight" state="frozen"/>
      <selection activeCell="B1" sqref="B1:J65536"/>
      <selection pane="topRight" activeCell="B1" sqref="B1:J65536"/>
      <selection pane="bottomLeft" activeCell="B1" sqref="B1:J65536"/>
      <selection pane="bottomRight" activeCell="B5" sqref="B5"/>
    </sheetView>
  </sheetViews>
  <sheetFormatPr defaultRowHeight="21.75"/>
  <cols>
    <col min="1" max="1" width="20.140625" style="1053" customWidth="1"/>
    <col min="2" max="10" width="12" style="1052" customWidth="1"/>
    <col min="11" max="16384" width="9.140625" style="1051"/>
  </cols>
  <sheetData>
    <row r="1" spans="1:10">
      <c r="A1" s="1081" t="s">
        <v>201</v>
      </c>
    </row>
    <row r="3" spans="1:10" s="1068" customFormat="1">
      <c r="A3" s="1080" t="s">
        <v>121</v>
      </c>
      <c r="B3" s="1079" t="s">
        <v>0</v>
      </c>
      <c r="C3" s="1076"/>
      <c r="D3" s="1078"/>
      <c r="E3" s="1076" t="s">
        <v>120</v>
      </c>
      <c r="F3" s="1077"/>
      <c r="G3" s="1078"/>
      <c r="H3" s="1076" t="s">
        <v>119</v>
      </c>
      <c r="I3" s="1077"/>
      <c r="J3" s="1076"/>
    </row>
    <row r="4" spans="1:10" s="1068" customFormat="1">
      <c r="A4" s="1075" t="s">
        <v>118</v>
      </c>
      <c r="B4" s="1074" t="s">
        <v>0</v>
      </c>
      <c r="C4" s="1073" t="s">
        <v>1</v>
      </c>
      <c r="D4" s="1073" t="s">
        <v>2</v>
      </c>
      <c r="E4" s="1073" t="s">
        <v>0</v>
      </c>
      <c r="F4" s="1073" t="s">
        <v>1</v>
      </c>
      <c r="G4" s="1073" t="s">
        <v>2</v>
      </c>
      <c r="H4" s="1073" t="s">
        <v>0</v>
      </c>
      <c r="I4" s="1073" t="s">
        <v>1</v>
      </c>
      <c r="J4" s="1072" t="s">
        <v>2</v>
      </c>
    </row>
    <row r="5" spans="1:10" s="1068" customFormat="1" ht="21.6" customHeight="1">
      <c r="A5" s="1071" t="s">
        <v>117</v>
      </c>
      <c r="B5" s="1070">
        <v>2479379</v>
      </c>
      <c r="C5" s="1070">
        <v>1211995</v>
      </c>
      <c r="D5" s="1070">
        <v>1267384</v>
      </c>
      <c r="E5" s="1070">
        <v>642525</v>
      </c>
      <c r="F5" s="1070">
        <v>308695</v>
      </c>
      <c r="G5" s="1070">
        <v>333830</v>
      </c>
      <c r="H5" s="1070">
        <v>1836854</v>
      </c>
      <c r="I5" s="1070">
        <v>903300</v>
      </c>
      <c r="J5" s="1069">
        <v>933554</v>
      </c>
    </row>
    <row r="6" spans="1:10" ht="21.6" customHeight="1">
      <c r="A6" s="1067" t="s">
        <v>116</v>
      </c>
      <c r="B6" s="1064">
        <v>425371</v>
      </c>
      <c r="C6" s="1063">
        <v>220285</v>
      </c>
      <c r="D6" s="1063">
        <v>205086</v>
      </c>
      <c r="E6" s="1064">
        <v>110125</v>
      </c>
      <c r="F6" s="1063">
        <v>56105</v>
      </c>
      <c r="G6" s="1063">
        <v>54020</v>
      </c>
      <c r="H6" s="1064">
        <v>315246</v>
      </c>
      <c r="I6" s="1063">
        <v>164180</v>
      </c>
      <c r="J6" s="1052">
        <v>151066</v>
      </c>
    </row>
    <row r="7" spans="1:10" ht="21.6" customHeight="1">
      <c r="A7" s="1066" t="s">
        <v>115</v>
      </c>
      <c r="B7" s="1064">
        <v>112007</v>
      </c>
      <c r="C7" s="1063">
        <v>58010</v>
      </c>
      <c r="D7" s="1063">
        <v>53997</v>
      </c>
      <c r="E7" s="1064">
        <v>28998</v>
      </c>
      <c r="F7" s="1063">
        <v>14775</v>
      </c>
      <c r="G7" s="1063">
        <v>14223</v>
      </c>
      <c r="H7" s="1064">
        <v>83009</v>
      </c>
      <c r="I7" s="1063">
        <v>43235</v>
      </c>
      <c r="J7" s="1052">
        <v>39774</v>
      </c>
    </row>
    <row r="8" spans="1:10" ht="21.6" customHeight="1">
      <c r="A8" s="1067" t="s">
        <v>114</v>
      </c>
      <c r="B8" s="1064">
        <v>81952</v>
      </c>
      <c r="C8" s="1063">
        <v>42164</v>
      </c>
      <c r="D8" s="1063">
        <v>39788</v>
      </c>
      <c r="E8" s="1064">
        <v>21219</v>
      </c>
      <c r="F8" s="1063">
        <v>10739</v>
      </c>
      <c r="G8" s="1063">
        <v>10480</v>
      </c>
      <c r="H8" s="1064">
        <v>60733</v>
      </c>
      <c r="I8" s="1063">
        <v>31425</v>
      </c>
      <c r="J8" s="1052">
        <v>29308</v>
      </c>
    </row>
    <row r="9" spans="1:10" ht="21.6" customHeight="1">
      <c r="A9" s="1066" t="s">
        <v>113</v>
      </c>
      <c r="B9" s="1064">
        <v>232508</v>
      </c>
      <c r="C9" s="1063">
        <v>118012</v>
      </c>
      <c r="D9" s="1063">
        <v>114496</v>
      </c>
      <c r="E9" s="1064">
        <v>60216</v>
      </c>
      <c r="F9" s="1063">
        <v>30057</v>
      </c>
      <c r="G9" s="1063">
        <v>30159</v>
      </c>
      <c r="H9" s="1064">
        <v>172292</v>
      </c>
      <c r="I9" s="1063">
        <v>87955</v>
      </c>
      <c r="J9" s="1052">
        <v>84337</v>
      </c>
    </row>
    <row r="10" spans="1:10" ht="21.6" customHeight="1">
      <c r="A10" s="1065" t="s">
        <v>112</v>
      </c>
      <c r="B10" s="1064">
        <v>174389</v>
      </c>
      <c r="C10" s="1063">
        <v>86794</v>
      </c>
      <c r="D10" s="1063">
        <v>87595</v>
      </c>
      <c r="E10" s="1064">
        <v>45178</v>
      </c>
      <c r="F10" s="1063">
        <v>22106</v>
      </c>
      <c r="G10" s="1063">
        <v>23072</v>
      </c>
      <c r="H10" s="1064">
        <v>129211</v>
      </c>
      <c r="I10" s="1063">
        <v>64688</v>
      </c>
      <c r="J10" s="1052">
        <v>64523</v>
      </c>
    </row>
    <row r="11" spans="1:10" ht="21.6" customHeight="1">
      <c r="A11" s="1065" t="s">
        <v>111</v>
      </c>
      <c r="B11" s="1064">
        <v>118227</v>
      </c>
      <c r="C11" s="1063">
        <v>60750</v>
      </c>
      <c r="D11" s="1063">
        <v>57477</v>
      </c>
      <c r="E11" s="1064">
        <v>30613</v>
      </c>
      <c r="F11" s="1063">
        <v>15474</v>
      </c>
      <c r="G11" s="1063">
        <v>15139</v>
      </c>
      <c r="H11" s="1064">
        <v>87614</v>
      </c>
      <c r="I11" s="1063">
        <v>45276</v>
      </c>
      <c r="J11" s="1052">
        <v>42338</v>
      </c>
    </row>
    <row r="12" spans="1:10" ht="21.6" customHeight="1">
      <c r="A12" s="1065" t="s">
        <v>110</v>
      </c>
      <c r="B12" s="1064">
        <v>112033</v>
      </c>
      <c r="C12" s="1063">
        <v>56585</v>
      </c>
      <c r="D12" s="1063">
        <v>55448</v>
      </c>
      <c r="E12" s="1064">
        <v>29018</v>
      </c>
      <c r="F12" s="1063">
        <v>14413</v>
      </c>
      <c r="G12" s="1063">
        <v>14605</v>
      </c>
      <c r="H12" s="1064">
        <v>83015</v>
      </c>
      <c r="I12" s="1063">
        <v>42172</v>
      </c>
      <c r="J12" s="1052">
        <v>40843</v>
      </c>
    </row>
    <row r="13" spans="1:10" ht="21.6" customHeight="1">
      <c r="A13" s="1065" t="s">
        <v>109</v>
      </c>
      <c r="B13" s="1064">
        <v>332872</v>
      </c>
      <c r="C13" s="1063">
        <v>157851</v>
      </c>
      <c r="D13" s="1063">
        <v>175021</v>
      </c>
      <c r="E13" s="1064">
        <v>86306</v>
      </c>
      <c r="F13" s="1063">
        <v>40205</v>
      </c>
      <c r="G13" s="1063">
        <v>46101</v>
      </c>
      <c r="H13" s="1064">
        <v>246566</v>
      </c>
      <c r="I13" s="1063">
        <v>117646</v>
      </c>
      <c r="J13" s="1052">
        <v>128920</v>
      </c>
    </row>
    <row r="14" spans="1:10" ht="21.6" customHeight="1">
      <c r="A14" s="1065" t="s">
        <v>108</v>
      </c>
      <c r="B14" s="1064">
        <v>369460</v>
      </c>
      <c r="C14" s="1063">
        <v>174972</v>
      </c>
      <c r="D14" s="1063">
        <v>194488</v>
      </c>
      <c r="E14" s="1064">
        <v>95794</v>
      </c>
      <c r="F14" s="1063">
        <v>44565</v>
      </c>
      <c r="G14" s="1063">
        <v>51229</v>
      </c>
      <c r="H14" s="1064">
        <v>273666</v>
      </c>
      <c r="I14" s="1063">
        <v>130407</v>
      </c>
      <c r="J14" s="1052">
        <v>143259</v>
      </c>
    </row>
    <row r="15" spans="1:10" ht="21.6" customHeight="1">
      <c r="A15" s="1062" t="s">
        <v>107</v>
      </c>
      <c r="B15" s="1061">
        <v>520560</v>
      </c>
      <c r="C15" s="1060">
        <v>236572</v>
      </c>
      <c r="D15" s="1060">
        <v>283988</v>
      </c>
      <c r="E15" s="1061">
        <v>135058</v>
      </c>
      <c r="F15" s="1060">
        <v>60256</v>
      </c>
      <c r="G15" s="1060">
        <v>74802</v>
      </c>
      <c r="H15" s="1061">
        <v>385502</v>
      </c>
      <c r="I15" s="1060">
        <v>176316</v>
      </c>
      <c r="J15" s="1059">
        <v>209186</v>
      </c>
    </row>
    <row r="16" spans="1:10" ht="6" customHeight="1">
      <c r="A16" s="1058"/>
      <c r="B16" s="1057"/>
      <c r="C16" s="1057"/>
      <c r="D16" s="1057"/>
      <c r="E16" s="1057"/>
      <c r="F16" s="1057"/>
      <c r="G16" s="1057"/>
      <c r="H16" s="1057"/>
      <c r="I16" s="1057"/>
      <c r="J16" s="1057"/>
    </row>
    <row r="17" spans="1:1" ht="21.2" customHeight="1">
      <c r="A17" s="1056" t="s">
        <v>124</v>
      </c>
    </row>
    <row r="18" spans="1:1" ht="21.2" customHeight="1">
      <c r="A18" s="1056" t="s">
        <v>123</v>
      </c>
    </row>
    <row r="19" spans="1:1" ht="21.6" customHeight="1">
      <c r="A19" s="1055" t="s">
        <v>122</v>
      </c>
    </row>
    <row r="20" spans="1:1" ht="21.6" customHeight="1">
      <c r="A20" s="1054"/>
    </row>
    <row r="21" spans="1:1" ht="21.6" customHeight="1">
      <c r="A21" s="1054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4"/>
  <cols>
    <col min="1" max="1" width="19.140625" style="1084" customWidth="1"/>
    <col min="2" max="10" width="14.42578125" style="1083" customWidth="1"/>
    <col min="11" max="16384" width="9.140625" style="1082"/>
  </cols>
  <sheetData>
    <row r="1" spans="1:10">
      <c r="A1" s="1112" t="s">
        <v>202</v>
      </c>
    </row>
    <row r="3" spans="1:10" s="1099" customFormat="1">
      <c r="A3" s="1111" t="s">
        <v>121</v>
      </c>
      <c r="B3" s="1110" t="s">
        <v>0</v>
      </c>
      <c r="C3" s="1107"/>
      <c r="D3" s="1109"/>
      <c r="E3" s="1107" t="s">
        <v>120</v>
      </c>
      <c r="F3" s="1108"/>
      <c r="G3" s="1109"/>
      <c r="H3" s="1107" t="s">
        <v>119</v>
      </c>
      <c r="I3" s="1108"/>
      <c r="J3" s="1107"/>
    </row>
    <row r="4" spans="1:10" s="1099" customFormat="1">
      <c r="A4" s="1106" t="s">
        <v>118</v>
      </c>
      <c r="B4" s="1105" t="s">
        <v>0</v>
      </c>
      <c r="C4" s="1104" t="s">
        <v>1</v>
      </c>
      <c r="D4" s="1104" t="s">
        <v>2</v>
      </c>
      <c r="E4" s="1104" t="s">
        <v>0</v>
      </c>
      <c r="F4" s="1104" t="s">
        <v>1</v>
      </c>
      <c r="G4" s="1104" t="s">
        <v>2</v>
      </c>
      <c r="H4" s="1104" t="s">
        <v>0</v>
      </c>
      <c r="I4" s="1104" t="s">
        <v>1</v>
      </c>
      <c r="J4" s="1103" t="s">
        <v>2</v>
      </c>
    </row>
    <row r="5" spans="1:10" s="1099" customFormat="1" ht="21.6" customHeight="1">
      <c r="A5" s="1102" t="s">
        <v>117</v>
      </c>
      <c r="B5" s="1101">
        <v>2478039</v>
      </c>
      <c r="C5" s="1101">
        <v>1211155</v>
      </c>
      <c r="D5" s="1101">
        <v>1266884</v>
      </c>
      <c r="E5" s="1101">
        <v>642181</v>
      </c>
      <c r="F5" s="1101">
        <v>308482</v>
      </c>
      <c r="G5" s="1101">
        <v>333699</v>
      </c>
      <c r="H5" s="1101">
        <v>1835858</v>
      </c>
      <c r="I5" s="1101">
        <v>902673</v>
      </c>
      <c r="J5" s="1100">
        <v>933185</v>
      </c>
    </row>
    <row r="6" spans="1:10" ht="21.6" customHeight="1">
      <c r="A6" s="1098" t="s">
        <v>116</v>
      </c>
      <c r="B6" s="1095">
        <v>423115</v>
      </c>
      <c r="C6" s="1094">
        <v>219150</v>
      </c>
      <c r="D6" s="1094">
        <v>203965</v>
      </c>
      <c r="E6" s="1095">
        <v>109539</v>
      </c>
      <c r="F6" s="1094">
        <v>55816</v>
      </c>
      <c r="G6" s="1094">
        <v>53723</v>
      </c>
      <c r="H6" s="1095">
        <v>313576</v>
      </c>
      <c r="I6" s="1094">
        <v>163334</v>
      </c>
      <c r="J6" s="1083">
        <v>150242</v>
      </c>
    </row>
    <row r="7" spans="1:10" ht="21.6" customHeight="1">
      <c r="A7" s="1097" t="s">
        <v>115</v>
      </c>
      <c r="B7" s="1095">
        <v>111434</v>
      </c>
      <c r="C7" s="1094">
        <v>57720</v>
      </c>
      <c r="D7" s="1094">
        <v>53714</v>
      </c>
      <c r="E7" s="1095">
        <v>28849</v>
      </c>
      <c r="F7" s="1094">
        <v>14701</v>
      </c>
      <c r="G7" s="1094">
        <v>14148</v>
      </c>
      <c r="H7" s="1095">
        <v>82585</v>
      </c>
      <c r="I7" s="1094">
        <v>43019</v>
      </c>
      <c r="J7" s="1083">
        <v>39566</v>
      </c>
    </row>
    <row r="8" spans="1:10" ht="21.6" customHeight="1">
      <c r="A8" s="1098" t="s">
        <v>114</v>
      </c>
      <c r="B8" s="1095">
        <v>81654</v>
      </c>
      <c r="C8" s="1094">
        <v>42022</v>
      </c>
      <c r="D8" s="1094">
        <v>39632</v>
      </c>
      <c r="E8" s="1095">
        <v>21142</v>
      </c>
      <c r="F8" s="1094">
        <v>10703</v>
      </c>
      <c r="G8" s="1094">
        <v>10439</v>
      </c>
      <c r="H8" s="1095">
        <v>60512</v>
      </c>
      <c r="I8" s="1094">
        <v>31319</v>
      </c>
      <c r="J8" s="1083">
        <v>29193</v>
      </c>
    </row>
    <row r="9" spans="1:10" ht="21.6" customHeight="1">
      <c r="A9" s="1097" t="s">
        <v>113</v>
      </c>
      <c r="B9" s="1095">
        <v>232397</v>
      </c>
      <c r="C9" s="1094">
        <v>118047</v>
      </c>
      <c r="D9" s="1094">
        <v>114350</v>
      </c>
      <c r="E9" s="1095">
        <v>60187</v>
      </c>
      <c r="F9" s="1094">
        <v>30067</v>
      </c>
      <c r="G9" s="1094">
        <v>30120</v>
      </c>
      <c r="H9" s="1095">
        <v>172210</v>
      </c>
      <c r="I9" s="1094">
        <v>87980</v>
      </c>
      <c r="J9" s="1083">
        <v>84230</v>
      </c>
    </row>
    <row r="10" spans="1:10" ht="21.6" customHeight="1">
      <c r="A10" s="1096" t="s">
        <v>112</v>
      </c>
      <c r="B10" s="1095">
        <v>177394</v>
      </c>
      <c r="C10" s="1094">
        <v>88110</v>
      </c>
      <c r="D10" s="1094">
        <v>89284</v>
      </c>
      <c r="E10" s="1095">
        <v>45960</v>
      </c>
      <c r="F10" s="1094">
        <v>22442</v>
      </c>
      <c r="G10" s="1094">
        <v>23518</v>
      </c>
      <c r="H10" s="1095">
        <v>131434</v>
      </c>
      <c r="I10" s="1094">
        <v>65668</v>
      </c>
      <c r="J10" s="1083">
        <v>65766</v>
      </c>
    </row>
    <row r="11" spans="1:10" ht="21.6" customHeight="1">
      <c r="A11" s="1096" t="s">
        <v>111</v>
      </c>
      <c r="B11" s="1095">
        <v>118092</v>
      </c>
      <c r="C11" s="1094">
        <v>60712</v>
      </c>
      <c r="D11" s="1094">
        <v>57380</v>
      </c>
      <c r="E11" s="1095">
        <v>30577</v>
      </c>
      <c r="F11" s="1094">
        <v>15464</v>
      </c>
      <c r="G11" s="1094">
        <v>15113</v>
      </c>
      <c r="H11" s="1095">
        <v>87515</v>
      </c>
      <c r="I11" s="1094">
        <v>45248</v>
      </c>
      <c r="J11" s="1083">
        <v>42267</v>
      </c>
    </row>
    <row r="12" spans="1:10" ht="21.6" customHeight="1">
      <c r="A12" s="1096" t="s">
        <v>110</v>
      </c>
      <c r="B12" s="1095">
        <v>110632</v>
      </c>
      <c r="C12" s="1094">
        <v>55981</v>
      </c>
      <c r="D12" s="1094">
        <v>54651</v>
      </c>
      <c r="E12" s="1095">
        <v>28654</v>
      </c>
      <c r="F12" s="1094">
        <v>14258</v>
      </c>
      <c r="G12" s="1094">
        <v>14396</v>
      </c>
      <c r="H12" s="1095">
        <v>81978</v>
      </c>
      <c r="I12" s="1094">
        <v>41723</v>
      </c>
      <c r="J12" s="1083">
        <v>40255</v>
      </c>
    </row>
    <row r="13" spans="1:10" ht="21.6" customHeight="1">
      <c r="A13" s="1096" t="s">
        <v>109</v>
      </c>
      <c r="B13" s="1095">
        <v>329131</v>
      </c>
      <c r="C13" s="1094">
        <v>156071</v>
      </c>
      <c r="D13" s="1094">
        <v>173060</v>
      </c>
      <c r="E13" s="1095">
        <v>85337</v>
      </c>
      <c r="F13" s="1094">
        <v>39752</v>
      </c>
      <c r="G13" s="1094">
        <v>45585</v>
      </c>
      <c r="H13" s="1095">
        <v>243794</v>
      </c>
      <c r="I13" s="1094">
        <v>116319</v>
      </c>
      <c r="J13" s="1083">
        <v>127475</v>
      </c>
    </row>
    <row r="14" spans="1:10" ht="21.6" customHeight="1">
      <c r="A14" s="1089" t="s">
        <v>108</v>
      </c>
      <c r="B14" s="1095">
        <v>369649</v>
      </c>
      <c r="C14" s="1094">
        <v>175022</v>
      </c>
      <c r="D14" s="1094">
        <v>194627</v>
      </c>
      <c r="E14" s="1095">
        <v>95843</v>
      </c>
      <c r="F14" s="1094">
        <v>44578</v>
      </c>
      <c r="G14" s="1094">
        <v>51265</v>
      </c>
      <c r="H14" s="1095">
        <v>273806</v>
      </c>
      <c r="I14" s="1094">
        <v>130444</v>
      </c>
      <c r="J14" s="1088">
        <v>143362</v>
      </c>
    </row>
    <row r="15" spans="1:10" ht="21.6" customHeight="1">
      <c r="A15" s="1093" t="s">
        <v>107</v>
      </c>
      <c r="B15" s="1092">
        <v>524541</v>
      </c>
      <c r="C15" s="1091">
        <v>238320</v>
      </c>
      <c r="D15" s="1091">
        <v>286221</v>
      </c>
      <c r="E15" s="1092">
        <v>136093</v>
      </c>
      <c r="F15" s="1091">
        <v>60701</v>
      </c>
      <c r="G15" s="1091">
        <v>75392</v>
      </c>
      <c r="H15" s="1092">
        <v>388448</v>
      </c>
      <c r="I15" s="1091">
        <v>177619</v>
      </c>
      <c r="J15" s="1090">
        <v>210829</v>
      </c>
    </row>
    <row r="16" spans="1:10" ht="6" customHeight="1">
      <c r="A16" s="1089"/>
      <c r="B16" s="1088"/>
      <c r="C16" s="1088"/>
      <c r="D16" s="1088"/>
      <c r="E16" s="1088"/>
      <c r="F16" s="1088"/>
      <c r="G16" s="1088"/>
      <c r="H16" s="1088"/>
      <c r="I16" s="1088"/>
      <c r="J16" s="1088"/>
    </row>
    <row r="17" spans="1:1" ht="21.2" customHeight="1">
      <c r="A17" s="1087" t="s">
        <v>106</v>
      </c>
    </row>
    <row r="18" spans="1:1" ht="21.2" customHeight="1">
      <c r="A18" s="1087" t="s">
        <v>105</v>
      </c>
    </row>
    <row r="19" spans="1:1" ht="21.6" customHeight="1">
      <c r="A19" s="1086" t="s">
        <v>104</v>
      </c>
    </row>
    <row r="20" spans="1:1" ht="21.6" customHeight="1">
      <c r="A20" s="1085"/>
    </row>
    <row r="21" spans="1:1" ht="21.6" customHeight="1">
      <c r="A21" s="108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1"/>
  <cols>
    <col min="1" max="1" width="17.140625" style="1115" customWidth="1"/>
    <col min="2" max="2" width="10.5703125" style="1114" customWidth="1"/>
    <col min="3" max="3" width="10.140625" style="1114" customWidth="1"/>
    <col min="4" max="4" width="10" style="1114" customWidth="1"/>
    <col min="5" max="5" width="9.5703125" style="1114" customWidth="1"/>
    <col min="6" max="6" width="9.28515625" style="1114" customWidth="1"/>
    <col min="7" max="8" width="9.7109375" style="1114" customWidth="1"/>
    <col min="9" max="9" width="9.42578125" style="1114" customWidth="1"/>
    <col min="10" max="10" width="10" style="1114" customWidth="1"/>
    <col min="11" max="16384" width="9.140625" style="1113"/>
  </cols>
  <sheetData>
    <row r="1" spans="1:10">
      <c r="A1" s="1147" t="s">
        <v>203</v>
      </c>
    </row>
    <row r="2" spans="1:10" s="1144" customFormat="1" ht="8.25">
      <c r="A2" s="1146"/>
      <c r="B2" s="1145"/>
      <c r="C2" s="1145"/>
      <c r="D2" s="1145"/>
      <c r="E2" s="1145"/>
      <c r="F2" s="1145"/>
      <c r="G2" s="1145"/>
      <c r="H2" s="1145"/>
      <c r="I2" s="1145"/>
      <c r="J2" s="1145"/>
    </row>
    <row r="3" spans="1:10" s="1131" customFormat="1">
      <c r="A3" s="1143" t="s">
        <v>121</v>
      </c>
      <c r="B3" s="1142" t="s">
        <v>0</v>
      </c>
      <c r="C3" s="1139"/>
      <c r="D3" s="1141"/>
      <c r="E3" s="1139" t="s">
        <v>120</v>
      </c>
      <c r="F3" s="1140"/>
      <c r="G3" s="1141"/>
      <c r="H3" s="1139" t="s">
        <v>119</v>
      </c>
      <c r="I3" s="1140"/>
      <c r="J3" s="1139"/>
    </row>
    <row r="4" spans="1:10" s="1131" customFormat="1">
      <c r="A4" s="1138" t="s">
        <v>118</v>
      </c>
      <c r="B4" s="1137" t="s">
        <v>0</v>
      </c>
      <c r="C4" s="1136" t="s">
        <v>1</v>
      </c>
      <c r="D4" s="1136" t="s">
        <v>2</v>
      </c>
      <c r="E4" s="1136" t="s">
        <v>0</v>
      </c>
      <c r="F4" s="1136" t="s">
        <v>1</v>
      </c>
      <c r="G4" s="1136" t="s">
        <v>2</v>
      </c>
      <c r="H4" s="1136" t="s">
        <v>0</v>
      </c>
      <c r="I4" s="1136" t="s">
        <v>1</v>
      </c>
      <c r="J4" s="1135" t="s">
        <v>2</v>
      </c>
    </row>
    <row r="5" spans="1:10" s="1131" customFormat="1" ht="21.6" customHeight="1">
      <c r="A5" s="1134" t="s">
        <v>117</v>
      </c>
      <c r="B5" s="1133">
        <v>2476634</v>
      </c>
      <c r="C5" s="1133">
        <v>1210286</v>
      </c>
      <c r="D5" s="1133">
        <v>1266348</v>
      </c>
      <c r="E5" s="1133">
        <v>641943</v>
      </c>
      <c r="F5" s="1133">
        <v>308259</v>
      </c>
      <c r="G5" s="1133">
        <v>333684</v>
      </c>
      <c r="H5" s="1133">
        <v>1834691</v>
      </c>
      <c r="I5" s="1133">
        <v>902027</v>
      </c>
      <c r="J5" s="1132">
        <v>932664</v>
      </c>
    </row>
    <row r="6" spans="1:10" ht="21.6" customHeight="1">
      <c r="A6" s="1130" t="s">
        <v>116</v>
      </c>
      <c r="B6" s="1127">
        <v>420944</v>
      </c>
      <c r="C6" s="1126">
        <v>218045</v>
      </c>
      <c r="D6" s="1126">
        <v>202899</v>
      </c>
      <c r="E6" s="1127">
        <v>108999</v>
      </c>
      <c r="F6" s="1126">
        <v>55536</v>
      </c>
      <c r="G6" s="1126">
        <v>53463</v>
      </c>
      <c r="H6" s="1127">
        <v>311945</v>
      </c>
      <c r="I6" s="1126">
        <v>162509</v>
      </c>
      <c r="J6" s="1114">
        <v>149436</v>
      </c>
    </row>
    <row r="7" spans="1:10" ht="21.6" customHeight="1">
      <c r="A7" s="1129" t="s">
        <v>115</v>
      </c>
      <c r="B7" s="1127">
        <v>110819</v>
      </c>
      <c r="C7" s="1126">
        <v>57407</v>
      </c>
      <c r="D7" s="1126">
        <v>53412</v>
      </c>
      <c r="E7" s="1127">
        <v>28695</v>
      </c>
      <c r="F7" s="1126">
        <v>14621</v>
      </c>
      <c r="G7" s="1126">
        <v>14074</v>
      </c>
      <c r="H7" s="1127">
        <v>82124</v>
      </c>
      <c r="I7" s="1126">
        <v>42786</v>
      </c>
      <c r="J7" s="1114">
        <v>39338</v>
      </c>
    </row>
    <row r="8" spans="1:10" ht="21.6" customHeight="1">
      <c r="A8" s="1130" t="s">
        <v>114</v>
      </c>
      <c r="B8" s="1127">
        <v>81342</v>
      </c>
      <c r="C8" s="1126">
        <v>41871</v>
      </c>
      <c r="D8" s="1126">
        <v>39471</v>
      </c>
      <c r="E8" s="1127">
        <v>21065</v>
      </c>
      <c r="F8" s="1126">
        <v>10664</v>
      </c>
      <c r="G8" s="1126">
        <v>10401</v>
      </c>
      <c r="H8" s="1127">
        <v>60277</v>
      </c>
      <c r="I8" s="1126">
        <v>31207</v>
      </c>
      <c r="J8" s="1114">
        <v>29070</v>
      </c>
    </row>
    <row r="9" spans="1:10" ht="21.6" customHeight="1">
      <c r="A9" s="1129" t="s">
        <v>113</v>
      </c>
      <c r="B9" s="1127">
        <v>232133</v>
      </c>
      <c r="C9" s="1126">
        <v>117993</v>
      </c>
      <c r="D9" s="1126">
        <v>114140</v>
      </c>
      <c r="E9" s="1127">
        <v>60128</v>
      </c>
      <c r="F9" s="1126">
        <v>30052</v>
      </c>
      <c r="G9" s="1126">
        <v>30076</v>
      </c>
      <c r="H9" s="1127">
        <v>172005</v>
      </c>
      <c r="I9" s="1126">
        <v>87941</v>
      </c>
      <c r="J9" s="1114">
        <v>84064</v>
      </c>
    </row>
    <row r="10" spans="1:10" ht="21.6" customHeight="1">
      <c r="A10" s="1128" t="s">
        <v>112</v>
      </c>
      <c r="B10" s="1127">
        <v>180246</v>
      </c>
      <c r="C10" s="1126">
        <v>89386</v>
      </c>
      <c r="D10" s="1126">
        <v>90860</v>
      </c>
      <c r="E10" s="1127">
        <v>46707</v>
      </c>
      <c r="F10" s="1126">
        <v>22767</v>
      </c>
      <c r="G10" s="1126">
        <v>23940</v>
      </c>
      <c r="H10" s="1127">
        <v>133539</v>
      </c>
      <c r="I10" s="1126">
        <v>66619</v>
      </c>
      <c r="J10" s="1114">
        <v>66920</v>
      </c>
    </row>
    <row r="11" spans="1:10" ht="21.6" customHeight="1">
      <c r="A11" s="1128" t="s">
        <v>111</v>
      </c>
      <c r="B11" s="1127">
        <v>118150</v>
      </c>
      <c r="C11" s="1126">
        <v>60759</v>
      </c>
      <c r="D11" s="1126">
        <v>57391</v>
      </c>
      <c r="E11" s="1127">
        <v>30599</v>
      </c>
      <c r="F11" s="1126">
        <v>15476</v>
      </c>
      <c r="G11" s="1126">
        <v>15123</v>
      </c>
      <c r="H11" s="1127">
        <v>87551</v>
      </c>
      <c r="I11" s="1126">
        <v>45283</v>
      </c>
      <c r="J11" s="1114">
        <v>42268</v>
      </c>
    </row>
    <row r="12" spans="1:10" ht="21.6" customHeight="1">
      <c r="A12" s="1128" t="s">
        <v>110</v>
      </c>
      <c r="B12" s="1127">
        <v>109277</v>
      </c>
      <c r="C12" s="1126">
        <v>55411</v>
      </c>
      <c r="D12" s="1126">
        <v>53866</v>
      </c>
      <c r="E12" s="1127">
        <v>28307</v>
      </c>
      <c r="F12" s="1126">
        <v>14113</v>
      </c>
      <c r="G12" s="1126">
        <v>14194</v>
      </c>
      <c r="H12" s="1127">
        <v>80970</v>
      </c>
      <c r="I12" s="1126">
        <v>41298</v>
      </c>
      <c r="J12" s="1114">
        <v>39672</v>
      </c>
    </row>
    <row r="13" spans="1:10" ht="21.6" customHeight="1">
      <c r="A13" s="1128" t="s">
        <v>109</v>
      </c>
      <c r="B13" s="1127">
        <v>325191</v>
      </c>
      <c r="C13" s="1126">
        <v>154207</v>
      </c>
      <c r="D13" s="1126">
        <v>170984</v>
      </c>
      <c r="E13" s="1127">
        <v>84333</v>
      </c>
      <c r="F13" s="1126">
        <v>39278</v>
      </c>
      <c r="G13" s="1126">
        <v>45055</v>
      </c>
      <c r="H13" s="1127">
        <v>240858</v>
      </c>
      <c r="I13" s="1126">
        <v>114929</v>
      </c>
      <c r="J13" s="1114">
        <v>125929</v>
      </c>
    </row>
    <row r="14" spans="1:10" ht="21.6" customHeight="1">
      <c r="A14" s="1121" t="s">
        <v>108</v>
      </c>
      <c r="B14" s="1127">
        <v>369875</v>
      </c>
      <c r="C14" s="1126">
        <v>175076</v>
      </c>
      <c r="D14" s="1126">
        <v>194799</v>
      </c>
      <c r="E14" s="1127">
        <v>95920</v>
      </c>
      <c r="F14" s="1126">
        <v>44591</v>
      </c>
      <c r="G14" s="1126">
        <v>51329</v>
      </c>
      <c r="H14" s="1127">
        <v>273955</v>
      </c>
      <c r="I14" s="1126">
        <v>130485</v>
      </c>
      <c r="J14" s="1120">
        <v>143470</v>
      </c>
    </row>
    <row r="15" spans="1:10" ht="21.6" customHeight="1">
      <c r="A15" s="1125" t="s">
        <v>107</v>
      </c>
      <c r="B15" s="1124">
        <v>528657</v>
      </c>
      <c r="C15" s="1123">
        <v>240131</v>
      </c>
      <c r="D15" s="1123">
        <v>288526</v>
      </c>
      <c r="E15" s="1124">
        <v>137190</v>
      </c>
      <c r="F15" s="1123">
        <v>61161</v>
      </c>
      <c r="G15" s="1123">
        <v>76029</v>
      </c>
      <c r="H15" s="1124">
        <v>391467</v>
      </c>
      <c r="I15" s="1123">
        <v>178970</v>
      </c>
      <c r="J15" s="1122">
        <v>212497</v>
      </c>
    </row>
    <row r="16" spans="1:10" ht="6" customHeight="1">
      <c r="A16" s="1121"/>
      <c r="B16" s="1120"/>
      <c r="C16" s="1120"/>
      <c r="D16" s="1120"/>
      <c r="E16" s="1120"/>
      <c r="F16" s="1120"/>
      <c r="G16" s="1120"/>
      <c r="H16" s="1120"/>
      <c r="I16" s="1120"/>
      <c r="J16" s="1120"/>
    </row>
    <row r="17" spans="1:10" ht="21.2" customHeight="1">
      <c r="A17" s="1119" t="s">
        <v>106</v>
      </c>
      <c r="B17" s="1116"/>
      <c r="C17" s="1116"/>
      <c r="D17" s="1116"/>
      <c r="E17" s="1116"/>
      <c r="F17" s="1116"/>
      <c r="G17" s="1116"/>
      <c r="H17" s="1116"/>
      <c r="I17" s="1116"/>
      <c r="J17" s="1116"/>
    </row>
    <row r="18" spans="1:10" ht="21.2" customHeight="1">
      <c r="A18" s="1119" t="s">
        <v>105</v>
      </c>
      <c r="B18" s="1116"/>
      <c r="C18" s="1116"/>
      <c r="D18" s="1116"/>
      <c r="E18" s="1116"/>
      <c r="F18" s="1116"/>
      <c r="G18" s="1116"/>
      <c r="H18" s="1116"/>
      <c r="I18" s="1116"/>
      <c r="J18" s="1116"/>
    </row>
    <row r="19" spans="1:10" ht="21.6" customHeight="1">
      <c r="A19" s="1118" t="s">
        <v>104</v>
      </c>
      <c r="B19" s="1116"/>
      <c r="C19" s="1116"/>
      <c r="D19" s="1116"/>
      <c r="E19" s="1116"/>
      <c r="F19" s="1116"/>
      <c r="G19" s="1116"/>
      <c r="H19" s="1116"/>
      <c r="I19" s="1116"/>
      <c r="J19" s="1116"/>
    </row>
    <row r="20" spans="1:10" ht="21.6" customHeight="1">
      <c r="A20" s="1117"/>
      <c r="B20" s="1116"/>
      <c r="C20" s="1116"/>
      <c r="D20" s="1116"/>
      <c r="E20" s="1116"/>
      <c r="F20" s="1116"/>
      <c r="G20" s="1116"/>
      <c r="H20" s="1116"/>
      <c r="I20" s="1116"/>
      <c r="J20" s="1116"/>
    </row>
    <row r="21" spans="1:10" ht="21.6" customHeight="1">
      <c r="A21" s="1117"/>
      <c r="B21" s="1116"/>
      <c r="C21" s="1116"/>
      <c r="D21" s="1116"/>
      <c r="E21" s="1116"/>
      <c r="F21" s="1116"/>
      <c r="G21" s="1116"/>
      <c r="H21" s="1116"/>
      <c r="I21" s="1116"/>
      <c r="J21" s="1116"/>
    </row>
    <row r="22" spans="1:10" ht="21.6" customHeight="1">
      <c r="B22" s="1116"/>
      <c r="C22" s="1116"/>
      <c r="D22" s="1116"/>
      <c r="E22" s="1116"/>
      <c r="F22" s="1116"/>
      <c r="G22" s="1116"/>
      <c r="H22" s="1116"/>
      <c r="I22" s="1116"/>
      <c r="J22" s="1116"/>
    </row>
    <row r="23" spans="1:10" ht="21.6" customHeight="1">
      <c r="B23" s="1116"/>
      <c r="C23" s="1116"/>
      <c r="D23" s="1116"/>
      <c r="E23" s="1116"/>
      <c r="F23" s="1116"/>
      <c r="G23" s="1116"/>
      <c r="H23" s="1116"/>
      <c r="I23" s="1116"/>
      <c r="J23" s="1116"/>
    </row>
    <row r="24" spans="1:10" ht="21.6" customHeight="1">
      <c r="B24" s="1116"/>
      <c r="C24" s="1116"/>
      <c r="D24" s="1116"/>
      <c r="E24" s="1116"/>
      <c r="F24" s="1116"/>
      <c r="G24" s="1116"/>
      <c r="H24" s="1116"/>
      <c r="I24" s="1116"/>
      <c r="J24" s="1116"/>
    </row>
    <row r="25" spans="1:10" ht="21.6" customHeight="1">
      <c r="B25" s="1116"/>
      <c r="C25" s="1116"/>
      <c r="D25" s="1116"/>
      <c r="E25" s="1116"/>
      <c r="F25" s="1116"/>
      <c r="G25" s="1116"/>
      <c r="H25" s="1116"/>
      <c r="I25" s="1116"/>
      <c r="J25" s="1116"/>
    </row>
    <row r="26" spans="1:10" ht="21.6" customHeight="1">
      <c r="B26" s="1116"/>
      <c r="C26" s="1116"/>
      <c r="D26" s="1116"/>
      <c r="E26" s="1116"/>
      <c r="F26" s="1116"/>
      <c r="G26" s="1116"/>
      <c r="H26" s="1116"/>
      <c r="I26" s="1116"/>
      <c r="J26" s="1116"/>
    </row>
    <row r="27" spans="1:10" ht="21.6" customHeight="1">
      <c r="B27" s="1116"/>
      <c r="C27" s="1116"/>
      <c r="D27" s="1116"/>
      <c r="E27" s="1116"/>
      <c r="F27" s="1116"/>
      <c r="G27" s="1116"/>
      <c r="H27" s="1116"/>
      <c r="I27" s="1116"/>
      <c r="J27" s="1116"/>
    </row>
    <row r="28" spans="1:10" ht="21.6" customHeight="1">
      <c r="B28" s="1116"/>
      <c r="C28" s="1116"/>
      <c r="D28" s="1116"/>
      <c r="E28" s="1116"/>
      <c r="F28" s="1116"/>
      <c r="G28" s="1116"/>
      <c r="H28" s="1116"/>
      <c r="I28" s="1116"/>
      <c r="J28" s="1116"/>
    </row>
    <row r="29" spans="1:10" ht="21.6" customHeight="1">
      <c r="B29" s="1116"/>
      <c r="C29" s="1116"/>
      <c r="D29" s="1116"/>
      <c r="E29" s="1116"/>
      <c r="F29" s="1116"/>
      <c r="G29" s="1116"/>
      <c r="H29" s="1116"/>
      <c r="I29" s="1116"/>
      <c r="J29" s="1116"/>
    </row>
    <row r="30" spans="1:10" ht="21.6" customHeight="1">
      <c r="B30" s="1116"/>
      <c r="C30" s="1116"/>
      <c r="D30" s="1116"/>
      <c r="E30" s="1116"/>
      <c r="F30" s="1116"/>
      <c r="G30" s="1116"/>
      <c r="H30" s="1116"/>
      <c r="I30" s="1116"/>
      <c r="J30" s="1116"/>
    </row>
    <row r="31" spans="1:10" ht="21.6" customHeight="1">
      <c r="B31" s="1116"/>
      <c r="C31" s="1116"/>
      <c r="D31" s="1116"/>
      <c r="E31" s="1116"/>
      <c r="F31" s="1116"/>
      <c r="G31" s="1116"/>
      <c r="H31" s="1116"/>
      <c r="I31" s="1116"/>
      <c r="J31" s="1116"/>
    </row>
    <row r="32" spans="1:10" ht="21.6" customHeight="1">
      <c r="B32" s="1116"/>
      <c r="C32" s="1116"/>
      <c r="D32" s="1116"/>
      <c r="E32" s="1116"/>
      <c r="F32" s="1116"/>
      <c r="G32" s="1116"/>
      <c r="H32" s="1116"/>
      <c r="I32" s="1116"/>
      <c r="J32" s="1116"/>
    </row>
    <row r="33" spans="2:10" ht="21.6" customHeight="1">
      <c r="B33" s="1116"/>
      <c r="C33" s="1116"/>
      <c r="D33" s="1116"/>
      <c r="E33" s="1116"/>
      <c r="F33" s="1116"/>
      <c r="G33" s="1116"/>
      <c r="H33" s="1116"/>
      <c r="I33" s="1116"/>
      <c r="J33" s="1116"/>
    </row>
    <row r="34" spans="2:10" ht="21.6" customHeight="1">
      <c r="B34" s="1116"/>
      <c r="C34" s="1116"/>
      <c r="D34" s="1116"/>
      <c r="E34" s="1116"/>
      <c r="F34" s="1116"/>
      <c r="G34" s="1116"/>
      <c r="H34" s="1116"/>
      <c r="I34" s="1116"/>
      <c r="J34" s="1116"/>
    </row>
    <row r="35" spans="2:10" ht="21.6" customHeight="1">
      <c r="B35" s="1116"/>
      <c r="C35" s="1116"/>
      <c r="D35" s="1116"/>
      <c r="E35" s="1116"/>
      <c r="F35" s="1116"/>
      <c r="G35" s="1116"/>
      <c r="H35" s="1116"/>
      <c r="I35" s="1116"/>
      <c r="J35" s="1116"/>
    </row>
    <row r="36" spans="2:10" ht="21.6" customHeight="1">
      <c r="B36" s="1116"/>
      <c r="C36" s="1116"/>
      <c r="D36" s="1116"/>
      <c r="E36" s="1116"/>
      <c r="F36" s="1116"/>
      <c r="G36" s="1116"/>
      <c r="H36" s="1116"/>
      <c r="I36" s="1116"/>
      <c r="J36" s="1116"/>
    </row>
    <row r="37" spans="2:10" ht="21.6" customHeight="1">
      <c r="B37" s="1116"/>
      <c r="C37" s="1116"/>
      <c r="D37" s="1116"/>
      <c r="E37" s="1116"/>
      <c r="F37" s="1116"/>
      <c r="G37" s="1116"/>
      <c r="H37" s="1116"/>
      <c r="I37" s="1116"/>
      <c r="J37" s="1116"/>
    </row>
    <row r="38" spans="2:10" ht="21.6" customHeight="1">
      <c r="B38" s="1116"/>
      <c r="C38" s="1116"/>
      <c r="D38" s="1116"/>
      <c r="E38" s="1116"/>
      <c r="F38" s="1116"/>
      <c r="G38" s="1116"/>
      <c r="H38" s="1116"/>
      <c r="I38" s="1116"/>
      <c r="J38" s="1116"/>
    </row>
    <row r="39" spans="2:10" ht="21.6" customHeight="1">
      <c r="B39" s="1116"/>
      <c r="C39" s="1116"/>
      <c r="D39" s="1116"/>
      <c r="E39" s="1116"/>
      <c r="F39" s="1116"/>
      <c r="G39" s="1116"/>
      <c r="H39" s="1116"/>
      <c r="I39" s="1116"/>
      <c r="J39" s="1116"/>
    </row>
    <row r="40" spans="2:10" ht="21.6" customHeight="1">
      <c r="B40" s="1116"/>
      <c r="C40" s="1116"/>
      <c r="D40" s="1116"/>
      <c r="E40" s="1116"/>
      <c r="F40" s="1116"/>
      <c r="G40" s="1116"/>
      <c r="H40" s="1116"/>
      <c r="I40" s="1116"/>
      <c r="J40" s="1116"/>
    </row>
    <row r="41" spans="2:10" ht="21.6" customHeight="1">
      <c r="B41" s="1116"/>
      <c r="C41" s="1116"/>
      <c r="D41" s="1116"/>
      <c r="E41" s="1116"/>
      <c r="F41" s="1116"/>
      <c r="G41" s="1116"/>
      <c r="H41" s="1116"/>
      <c r="I41" s="1116"/>
      <c r="J41" s="111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2" workbookViewId="0">
      <selection activeCell="B5" sqref="B5"/>
    </sheetView>
  </sheetViews>
  <sheetFormatPr defaultRowHeight="21"/>
  <cols>
    <col min="1" max="1" width="17.140625" style="1115" customWidth="1"/>
    <col min="2" max="2" width="11" style="1114" customWidth="1"/>
    <col min="3" max="3" width="10.140625" style="1114" customWidth="1"/>
    <col min="4" max="4" width="10" style="1114" customWidth="1"/>
    <col min="5" max="5" width="9.5703125" style="1114" customWidth="1"/>
    <col min="6" max="6" width="9.28515625" style="1114" customWidth="1"/>
    <col min="7" max="8" width="9.7109375" style="1114" customWidth="1"/>
    <col min="9" max="9" width="9.42578125" style="1114" customWidth="1"/>
    <col min="10" max="10" width="9.28515625" style="1114" customWidth="1"/>
    <col min="11" max="16384" width="9.140625" style="1113"/>
  </cols>
  <sheetData>
    <row r="1" spans="1:10">
      <c r="A1" s="1147" t="s">
        <v>204</v>
      </c>
    </row>
    <row r="2" spans="1:10" s="1144" customFormat="1" ht="8.25">
      <c r="A2" s="1146"/>
      <c r="B2" s="1145"/>
      <c r="C2" s="1145"/>
      <c r="D2" s="1145"/>
      <c r="E2" s="1145"/>
      <c r="F2" s="1145"/>
      <c r="G2" s="1145"/>
      <c r="H2" s="1145"/>
      <c r="I2" s="1145"/>
      <c r="J2" s="1145"/>
    </row>
    <row r="3" spans="1:10" s="1131" customFormat="1">
      <c r="A3" s="1143" t="s">
        <v>121</v>
      </c>
      <c r="B3" s="1142" t="s">
        <v>0</v>
      </c>
      <c r="C3" s="1139"/>
      <c r="D3" s="1141"/>
      <c r="E3" s="1139" t="s">
        <v>120</v>
      </c>
      <c r="F3" s="1140"/>
      <c r="G3" s="1141"/>
      <c r="H3" s="1139" t="s">
        <v>119</v>
      </c>
      <c r="I3" s="1140"/>
      <c r="J3" s="1139"/>
    </row>
    <row r="4" spans="1:10" s="1131" customFormat="1">
      <c r="A4" s="1138" t="s">
        <v>118</v>
      </c>
      <c r="B4" s="1137" t="s">
        <v>0</v>
      </c>
      <c r="C4" s="1136" t="s">
        <v>1</v>
      </c>
      <c r="D4" s="1136" t="s">
        <v>2</v>
      </c>
      <c r="E4" s="1136" t="s">
        <v>0</v>
      </c>
      <c r="F4" s="1136" t="s">
        <v>1</v>
      </c>
      <c r="G4" s="1136" t="s">
        <v>2</v>
      </c>
      <c r="H4" s="1136" t="s">
        <v>0</v>
      </c>
      <c r="I4" s="1136" t="s">
        <v>1</v>
      </c>
      <c r="J4" s="1135" t="s">
        <v>2</v>
      </c>
    </row>
    <row r="5" spans="1:10" s="1131" customFormat="1" ht="21.6" customHeight="1">
      <c r="A5" s="1134" t="s">
        <v>117</v>
      </c>
      <c r="B5" s="1133">
        <v>2474936</v>
      </c>
      <c r="C5" s="1133">
        <v>1209298</v>
      </c>
      <c r="D5" s="1133">
        <v>1265638</v>
      </c>
      <c r="E5" s="1133">
        <v>641506</v>
      </c>
      <c r="F5" s="1133">
        <v>308011</v>
      </c>
      <c r="G5" s="1133">
        <v>333495</v>
      </c>
      <c r="H5" s="1133">
        <v>1833430</v>
      </c>
      <c r="I5" s="1133">
        <v>901287</v>
      </c>
      <c r="J5" s="1132">
        <v>932143</v>
      </c>
    </row>
    <row r="6" spans="1:10" ht="21.6" customHeight="1">
      <c r="A6" s="1130" t="s">
        <v>116</v>
      </c>
      <c r="B6" s="1127">
        <v>418923</v>
      </c>
      <c r="C6" s="1126">
        <v>216997</v>
      </c>
      <c r="D6" s="1126">
        <v>201926</v>
      </c>
      <c r="E6" s="1127">
        <v>108476</v>
      </c>
      <c r="F6" s="1126">
        <v>55268</v>
      </c>
      <c r="G6" s="1126">
        <v>53208</v>
      </c>
      <c r="H6" s="1127">
        <v>310447</v>
      </c>
      <c r="I6" s="1126">
        <v>161729</v>
      </c>
      <c r="J6" s="1114">
        <v>148718</v>
      </c>
    </row>
    <row r="7" spans="1:10" ht="21.6" customHeight="1">
      <c r="A7" s="1129" t="s">
        <v>115</v>
      </c>
      <c r="B7" s="1127">
        <v>110123</v>
      </c>
      <c r="C7" s="1126">
        <v>57053</v>
      </c>
      <c r="D7" s="1126">
        <v>53070</v>
      </c>
      <c r="E7" s="1127">
        <v>28515</v>
      </c>
      <c r="F7" s="1126">
        <v>14532</v>
      </c>
      <c r="G7" s="1126">
        <v>13983</v>
      </c>
      <c r="H7" s="1127">
        <v>81608</v>
      </c>
      <c r="I7" s="1126">
        <v>42521</v>
      </c>
      <c r="J7" s="1114">
        <v>39087</v>
      </c>
    </row>
    <row r="8" spans="1:10" ht="21.6" customHeight="1">
      <c r="A8" s="1130" t="s">
        <v>114</v>
      </c>
      <c r="B8" s="1127">
        <v>80998</v>
      </c>
      <c r="C8" s="1126">
        <v>41704</v>
      </c>
      <c r="D8" s="1126">
        <v>39294</v>
      </c>
      <c r="E8" s="1127">
        <v>20976</v>
      </c>
      <c r="F8" s="1126">
        <v>10622</v>
      </c>
      <c r="G8" s="1126">
        <v>10354</v>
      </c>
      <c r="H8" s="1127">
        <v>60022</v>
      </c>
      <c r="I8" s="1126">
        <v>31082</v>
      </c>
      <c r="J8" s="1114">
        <v>28940</v>
      </c>
    </row>
    <row r="9" spans="1:10" ht="21.6" customHeight="1">
      <c r="A9" s="1129" t="s">
        <v>113</v>
      </c>
      <c r="B9" s="1127">
        <v>231559</v>
      </c>
      <c r="C9" s="1126">
        <v>117760</v>
      </c>
      <c r="D9" s="1126">
        <v>113799</v>
      </c>
      <c r="E9" s="1127">
        <v>59980</v>
      </c>
      <c r="F9" s="1126">
        <v>29994</v>
      </c>
      <c r="G9" s="1126">
        <v>29986</v>
      </c>
      <c r="H9" s="1127">
        <v>171579</v>
      </c>
      <c r="I9" s="1126">
        <v>87766</v>
      </c>
      <c r="J9" s="1114">
        <v>83813</v>
      </c>
    </row>
    <row r="10" spans="1:10" ht="21.6" customHeight="1">
      <c r="A10" s="1128" t="s">
        <v>112</v>
      </c>
      <c r="B10" s="1127">
        <v>182721</v>
      </c>
      <c r="C10" s="1126">
        <v>90552</v>
      </c>
      <c r="D10" s="1126">
        <v>92169</v>
      </c>
      <c r="E10" s="1127">
        <v>47350</v>
      </c>
      <c r="F10" s="1126">
        <v>23064</v>
      </c>
      <c r="G10" s="1126">
        <v>24286</v>
      </c>
      <c r="H10" s="1127">
        <v>135371</v>
      </c>
      <c r="I10" s="1126">
        <v>67488</v>
      </c>
      <c r="J10" s="1114">
        <v>67883</v>
      </c>
    </row>
    <row r="11" spans="1:10" ht="21.6" customHeight="1">
      <c r="A11" s="1128" t="s">
        <v>111</v>
      </c>
      <c r="B11" s="1127">
        <v>118603</v>
      </c>
      <c r="C11" s="1126">
        <v>60986</v>
      </c>
      <c r="D11" s="1126">
        <v>57617</v>
      </c>
      <c r="E11" s="1127">
        <v>30715</v>
      </c>
      <c r="F11" s="1126">
        <v>15533</v>
      </c>
      <c r="G11" s="1126">
        <v>15182</v>
      </c>
      <c r="H11" s="1127">
        <v>87888</v>
      </c>
      <c r="I11" s="1126">
        <v>45453</v>
      </c>
      <c r="J11" s="1114">
        <v>42435</v>
      </c>
    </row>
    <row r="12" spans="1:10" ht="21.6" customHeight="1">
      <c r="A12" s="1128" t="s">
        <v>110</v>
      </c>
      <c r="B12" s="1127">
        <v>107996</v>
      </c>
      <c r="C12" s="1126">
        <v>54895</v>
      </c>
      <c r="D12" s="1126">
        <v>53101</v>
      </c>
      <c r="E12" s="1127">
        <v>27973</v>
      </c>
      <c r="F12" s="1126">
        <v>13981</v>
      </c>
      <c r="G12" s="1126">
        <v>13992</v>
      </c>
      <c r="H12" s="1127">
        <v>80023</v>
      </c>
      <c r="I12" s="1126">
        <v>40914</v>
      </c>
      <c r="J12" s="1114">
        <v>39109</v>
      </c>
    </row>
    <row r="13" spans="1:10" ht="21.6" customHeight="1">
      <c r="A13" s="1128" t="s">
        <v>109</v>
      </c>
      <c r="B13" s="1127">
        <v>320821</v>
      </c>
      <c r="C13" s="1126">
        <v>152158</v>
      </c>
      <c r="D13" s="1126">
        <v>168663</v>
      </c>
      <c r="E13" s="1127">
        <v>83198</v>
      </c>
      <c r="F13" s="1126">
        <v>38755</v>
      </c>
      <c r="G13" s="1126">
        <v>44443</v>
      </c>
      <c r="H13" s="1127">
        <v>237623</v>
      </c>
      <c r="I13" s="1126">
        <v>113403</v>
      </c>
      <c r="J13" s="1114">
        <v>124220</v>
      </c>
    </row>
    <row r="14" spans="1:10" ht="21.6" customHeight="1">
      <c r="A14" s="1128" t="s">
        <v>108</v>
      </c>
      <c r="B14" s="1127">
        <v>370165</v>
      </c>
      <c r="C14" s="1126">
        <v>175133</v>
      </c>
      <c r="D14" s="1126">
        <v>195032</v>
      </c>
      <c r="E14" s="1127">
        <v>95996</v>
      </c>
      <c r="F14" s="1126">
        <v>44606</v>
      </c>
      <c r="G14" s="1126">
        <v>51390</v>
      </c>
      <c r="H14" s="1127">
        <v>274169</v>
      </c>
      <c r="I14" s="1126">
        <v>130527</v>
      </c>
      <c r="J14" s="1114">
        <v>143642</v>
      </c>
    </row>
    <row r="15" spans="1:10" ht="21.6" customHeight="1">
      <c r="A15" s="1125" t="s">
        <v>107</v>
      </c>
      <c r="B15" s="1124">
        <v>533027</v>
      </c>
      <c r="C15" s="1123">
        <v>242060</v>
      </c>
      <c r="D15" s="1123">
        <v>290967</v>
      </c>
      <c r="E15" s="1124">
        <v>138327</v>
      </c>
      <c r="F15" s="1123">
        <v>61656</v>
      </c>
      <c r="G15" s="1123">
        <v>76671</v>
      </c>
      <c r="H15" s="1124">
        <v>394700</v>
      </c>
      <c r="I15" s="1123">
        <v>180404</v>
      </c>
      <c r="J15" s="1122">
        <v>214296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zoomScaleNormal="100" workbookViewId="0">
      <pane xSplit="1" ySplit="5" topLeftCell="AP6" activePane="bottomRight" state="frozen"/>
      <selection activeCell="C40" sqref="C40"/>
      <selection pane="topRight" activeCell="C40" sqref="C40"/>
      <selection pane="bottomLeft" activeCell="C40" sqref="C40"/>
      <selection pane="bottomRight"/>
    </sheetView>
  </sheetViews>
  <sheetFormatPr defaultColWidth="9.140625" defaultRowHeight="26.25" customHeight="1"/>
  <cols>
    <col min="1" max="1" width="20.7109375" style="57" customWidth="1"/>
    <col min="2" max="5" width="11" style="55" customWidth="1"/>
    <col min="6" max="9" width="11.28515625" style="55" customWidth="1"/>
    <col min="10" max="13" width="11.5703125" style="55" customWidth="1"/>
    <col min="14" max="15" width="10.7109375" style="55" customWidth="1"/>
    <col min="16" max="16" width="10.7109375" style="20" customWidth="1"/>
    <col min="17" max="25" width="10.7109375" style="56" customWidth="1"/>
    <col min="26" max="28" width="10.7109375" style="55" customWidth="1"/>
    <col min="29" max="29" width="11.28515625" style="55" customWidth="1"/>
    <col min="30" max="37" width="11.42578125" style="55" customWidth="1"/>
    <col min="38" max="41" width="12.85546875" style="55" customWidth="1"/>
    <col min="42" max="45" width="11.5703125" style="55" customWidth="1"/>
    <col min="46" max="16384" width="9.140625" style="55"/>
  </cols>
  <sheetData>
    <row r="1" spans="1:45" s="57" customFormat="1" ht="26.25" customHeight="1">
      <c r="A1" s="57" t="s">
        <v>139</v>
      </c>
      <c r="P1" s="20"/>
      <c r="Q1" s="56"/>
      <c r="R1" s="56"/>
      <c r="S1" s="56"/>
      <c r="T1" s="56"/>
      <c r="U1" s="56"/>
      <c r="V1" s="56"/>
      <c r="W1" s="56"/>
      <c r="X1" s="56"/>
      <c r="Y1" s="56"/>
    </row>
    <row r="2" spans="1:45" ht="24.6" customHeight="1">
      <c r="A2" s="89"/>
      <c r="C2" s="63"/>
      <c r="G2" s="88"/>
      <c r="K2" s="88"/>
      <c r="P2" s="87"/>
    </row>
    <row r="3" spans="1:45" s="5" customFormat="1" ht="30" customHeight="1">
      <c r="A3" s="1160" t="s">
        <v>6</v>
      </c>
      <c r="B3" s="1159" t="s">
        <v>138</v>
      </c>
      <c r="C3" s="1159"/>
      <c r="D3" s="1159"/>
      <c r="E3" s="1159"/>
      <c r="F3" s="1159" t="s">
        <v>137</v>
      </c>
      <c r="G3" s="1159"/>
      <c r="H3" s="1159"/>
      <c r="I3" s="1159"/>
      <c r="J3" s="1162" t="s">
        <v>136</v>
      </c>
      <c r="K3" s="1162"/>
      <c r="L3" s="1162"/>
      <c r="M3" s="86"/>
      <c r="N3" s="1156" t="s">
        <v>135</v>
      </c>
      <c r="O3" s="1156"/>
      <c r="P3" s="1156"/>
      <c r="Q3" s="1156"/>
      <c r="R3" s="1156" t="s">
        <v>134</v>
      </c>
      <c r="S3" s="1156"/>
      <c r="T3" s="1156"/>
      <c r="U3" s="1156"/>
      <c r="V3" s="1156" t="s">
        <v>133</v>
      </c>
      <c r="W3" s="1156"/>
      <c r="X3" s="1156"/>
      <c r="Y3" s="1156"/>
      <c r="Z3" s="1156" t="s">
        <v>132</v>
      </c>
      <c r="AA3" s="1156"/>
      <c r="AB3" s="1156"/>
      <c r="AC3" s="1156"/>
      <c r="AD3" s="1156" t="s">
        <v>131</v>
      </c>
      <c r="AE3" s="1156"/>
      <c r="AF3" s="1156"/>
      <c r="AG3" s="1156"/>
      <c r="AH3" s="1156" t="s">
        <v>130</v>
      </c>
      <c r="AI3" s="1156"/>
      <c r="AJ3" s="1156"/>
      <c r="AK3" s="1156"/>
      <c r="AL3" s="1156" t="s">
        <v>169</v>
      </c>
      <c r="AM3" s="1156"/>
      <c r="AN3" s="1156"/>
      <c r="AO3" s="1156"/>
      <c r="AP3" s="1156" t="s">
        <v>205</v>
      </c>
      <c r="AQ3" s="1156"/>
      <c r="AR3" s="1156"/>
      <c r="AS3" s="1156"/>
    </row>
    <row r="4" spans="1:45" s="5" customFormat="1" ht="27" customHeight="1">
      <c r="A4" s="1161"/>
      <c r="B4" s="85" t="s">
        <v>129</v>
      </c>
      <c r="C4" s="85" t="s">
        <v>128</v>
      </c>
      <c r="D4" s="85" t="s">
        <v>127</v>
      </c>
      <c r="E4" s="85" t="s">
        <v>126</v>
      </c>
      <c r="F4" s="85" t="s">
        <v>129</v>
      </c>
      <c r="G4" s="85" t="s">
        <v>128</v>
      </c>
      <c r="H4" s="85" t="s">
        <v>127</v>
      </c>
      <c r="I4" s="85" t="s">
        <v>126</v>
      </c>
      <c r="J4" s="84" t="s">
        <v>129</v>
      </c>
      <c r="K4" s="84" t="s">
        <v>128</v>
      </c>
      <c r="L4" s="84" t="s">
        <v>127</v>
      </c>
      <c r="M4" s="84" t="s">
        <v>126</v>
      </c>
      <c r="N4" s="84" t="s">
        <v>129</v>
      </c>
      <c r="O4" s="84" t="s">
        <v>128</v>
      </c>
      <c r="P4" s="84" t="s">
        <v>127</v>
      </c>
      <c r="Q4" s="84" t="s">
        <v>126</v>
      </c>
      <c r="R4" s="84" t="s">
        <v>129</v>
      </c>
      <c r="S4" s="84" t="s">
        <v>128</v>
      </c>
      <c r="T4" s="84" t="s">
        <v>127</v>
      </c>
      <c r="U4" s="84" t="s">
        <v>126</v>
      </c>
      <c r="V4" s="84" t="s">
        <v>129</v>
      </c>
      <c r="W4" s="84" t="s">
        <v>128</v>
      </c>
      <c r="X4" s="84" t="s">
        <v>127</v>
      </c>
      <c r="Y4" s="84" t="s">
        <v>126</v>
      </c>
      <c r="Z4" s="84" t="s">
        <v>129</v>
      </c>
      <c r="AA4" s="84" t="s">
        <v>128</v>
      </c>
      <c r="AB4" s="84" t="s">
        <v>127</v>
      </c>
      <c r="AC4" s="84" t="s">
        <v>126</v>
      </c>
      <c r="AD4" s="84" t="s">
        <v>129</v>
      </c>
      <c r="AE4" s="84" t="s">
        <v>128</v>
      </c>
      <c r="AF4" s="84" t="s">
        <v>127</v>
      </c>
      <c r="AG4" s="84" t="s">
        <v>126</v>
      </c>
      <c r="AH4" s="84" t="s">
        <v>129</v>
      </c>
      <c r="AI4" s="84" t="s">
        <v>128</v>
      </c>
      <c r="AJ4" s="84" t="s">
        <v>127</v>
      </c>
      <c r="AK4" s="84" t="s">
        <v>126</v>
      </c>
      <c r="AL4" s="84" t="s">
        <v>129</v>
      </c>
      <c r="AM4" s="84" t="s">
        <v>128</v>
      </c>
      <c r="AN4" s="84" t="s">
        <v>127</v>
      </c>
      <c r="AO4" s="84" t="s">
        <v>126</v>
      </c>
      <c r="AP4" s="84" t="s">
        <v>129</v>
      </c>
      <c r="AQ4" s="84" t="s">
        <v>128</v>
      </c>
      <c r="AR4" s="84" t="s">
        <v>127</v>
      </c>
      <c r="AS4" s="84" t="s">
        <v>126</v>
      </c>
    </row>
    <row r="5" spans="1:45" s="5" customFormat="1" ht="20.25" customHeight="1">
      <c r="A5" s="1158" t="s">
        <v>21</v>
      </c>
      <c r="B5" s="1158"/>
      <c r="C5" s="1158"/>
      <c r="D5" s="1158"/>
      <c r="E5" s="1158"/>
      <c r="F5" s="1158"/>
      <c r="G5" s="1158"/>
      <c r="H5" s="1158"/>
      <c r="I5" s="1158"/>
      <c r="J5" s="1158"/>
      <c r="K5" s="1158"/>
      <c r="L5" s="1158"/>
      <c r="P5" s="83"/>
      <c r="AI5" s="5" t="s">
        <v>21</v>
      </c>
    </row>
    <row r="6" spans="1:45" s="56" customFormat="1" ht="21" customHeight="1">
      <c r="A6" s="1" t="s">
        <v>37</v>
      </c>
      <c r="B6" s="75">
        <v>1463504</v>
      </c>
      <c r="C6" s="82">
        <v>1496075</v>
      </c>
      <c r="D6" s="73">
        <v>0</v>
      </c>
      <c r="E6" s="75">
        <v>1554713</v>
      </c>
      <c r="F6" s="75">
        <v>2211286</v>
      </c>
      <c r="G6" s="80">
        <v>2216461</v>
      </c>
      <c r="H6" s="81">
        <v>1568702</v>
      </c>
      <c r="I6" s="75">
        <v>1596453</v>
      </c>
      <c r="J6" s="75">
        <v>2231241</v>
      </c>
      <c r="K6" s="80">
        <v>2236201</v>
      </c>
      <c r="L6" s="80">
        <v>2226720</v>
      </c>
      <c r="M6" s="80">
        <v>2206530</v>
      </c>
      <c r="N6" s="80">
        <v>2192585</v>
      </c>
      <c r="O6" s="80">
        <v>2179550</v>
      </c>
      <c r="P6" s="80">
        <v>2178229</v>
      </c>
      <c r="Q6" s="80">
        <v>2199606</v>
      </c>
      <c r="R6" s="80">
        <v>2011469</v>
      </c>
      <c r="S6" s="80">
        <v>1397340.87</v>
      </c>
      <c r="T6" s="80">
        <v>2017213</v>
      </c>
      <c r="U6" s="80">
        <v>2019155.77</v>
      </c>
      <c r="V6" s="80">
        <v>2021364</v>
      </c>
      <c r="W6" s="80">
        <v>2023741</v>
      </c>
      <c r="X6" s="80">
        <v>2025910</v>
      </c>
      <c r="Y6" s="75">
        <v>2027645</v>
      </c>
      <c r="Z6" s="75">
        <v>2029679</v>
      </c>
      <c r="AA6" s="75">
        <v>2031873</v>
      </c>
      <c r="AB6" s="75">
        <v>2033816</v>
      </c>
      <c r="AC6" s="75">
        <v>2035816</v>
      </c>
      <c r="AD6" s="75">
        <v>2037730</v>
      </c>
      <c r="AE6" s="75">
        <v>2039805</v>
      </c>
      <c r="AF6" s="75">
        <v>2041594</v>
      </c>
      <c r="AG6" s="75">
        <v>2043022</v>
      </c>
      <c r="AH6" s="75">
        <v>2044122</v>
      </c>
      <c r="AI6" s="75">
        <v>2045917</v>
      </c>
      <c r="AJ6" s="75">
        <v>2047509</v>
      </c>
      <c r="AK6" s="75">
        <v>2048551</v>
      </c>
      <c r="AL6" s="46">
        <v>2049836</v>
      </c>
      <c r="AM6" s="11">
        <v>2051355</v>
      </c>
      <c r="AN6" s="11">
        <v>2052652</v>
      </c>
      <c r="AO6" s="11">
        <v>2053245</v>
      </c>
      <c r="AP6" s="46">
        <v>2054008</v>
      </c>
      <c r="AQ6" s="11">
        <v>2054924</v>
      </c>
      <c r="AR6" s="11">
        <v>2055690</v>
      </c>
      <c r="AS6" s="11">
        <v>2056013</v>
      </c>
    </row>
    <row r="7" spans="1:45" s="56" customFormat="1" ht="14.25" customHeight="1">
      <c r="A7" s="1"/>
      <c r="B7" s="75"/>
      <c r="C7" s="75"/>
      <c r="D7" s="75"/>
      <c r="E7" s="75"/>
      <c r="F7" s="75"/>
      <c r="G7" s="4"/>
      <c r="H7" s="4"/>
      <c r="I7" s="75"/>
      <c r="J7" s="75"/>
      <c r="K7" s="4"/>
      <c r="L7" s="4"/>
      <c r="M7" s="4"/>
      <c r="N7" s="4"/>
      <c r="O7" s="4"/>
      <c r="P7" s="4"/>
      <c r="Q7" s="3"/>
      <c r="R7" s="3"/>
      <c r="S7" s="79"/>
      <c r="T7" s="79"/>
      <c r="U7" s="79"/>
      <c r="V7" s="79"/>
      <c r="W7" s="79"/>
      <c r="X7" s="79"/>
      <c r="Y7" s="3"/>
      <c r="Z7" s="3"/>
      <c r="AA7" s="3"/>
      <c r="AB7" s="3"/>
      <c r="AC7" s="3"/>
      <c r="AD7" s="3"/>
      <c r="AE7" s="3"/>
      <c r="AF7" s="3"/>
      <c r="AG7" s="3"/>
      <c r="AL7" s="47"/>
      <c r="AM7" s="10"/>
      <c r="AN7" s="10"/>
      <c r="AO7" s="10"/>
      <c r="AP7" s="47"/>
      <c r="AQ7" s="10"/>
      <c r="AR7" s="10"/>
      <c r="AS7" s="10"/>
    </row>
    <row r="8" spans="1:45" s="56" customFormat="1" ht="21" customHeight="1">
      <c r="A8" s="70" t="s">
        <v>36</v>
      </c>
      <c r="B8" s="65">
        <v>44706</v>
      </c>
      <c r="C8" s="65">
        <v>28861</v>
      </c>
      <c r="D8" s="64">
        <v>0</v>
      </c>
      <c r="E8" s="65">
        <v>25629</v>
      </c>
      <c r="F8" s="65">
        <v>74688.070000000007</v>
      </c>
      <c r="G8" s="78">
        <v>68546.81</v>
      </c>
      <c r="H8" s="78">
        <v>33272</v>
      </c>
      <c r="I8" s="65">
        <v>24978</v>
      </c>
      <c r="J8" s="65">
        <v>109562.67</v>
      </c>
      <c r="K8" s="78">
        <v>87120.98</v>
      </c>
      <c r="L8" s="78">
        <v>70261.210000000006</v>
      </c>
      <c r="M8" s="78">
        <v>75634</v>
      </c>
      <c r="N8" s="78">
        <v>84459</v>
      </c>
      <c r="O8" s="78">
        <v>70320</v>
      </c>
      <c r="P8" s="78">
        <v>53342</v>
      </c>
      <c r="Q8" s="78">
        <v>69039</v>
      </c>
      <c r="R8" s="78">
        <v>59516</v>
      </c>
      <c r="S8" s="78">
        <v>18722.509999999998</v>
      </c>
      <c r="T8" s="78">
        <v>50890</v>
      </c>
      <c r="U8" s="78">
        <v>56432</v>
      </c>
      <c r="V8" s="78">
        <v>62809</v>
      </c>
      <c r="W8" s="78">
        <v>54362.23</v>
      </c>
      <c r="X8" s="78">
        <v>74636.06</v>
      </c>
      <c r="Y8" s="65">
        <v>56402</v>
      </c>
      <c r="Z8" s="65">
        <v>71272</v>
      </c>
      <c r="AA8" s="65">
        <v>63749.59</v>
      </c>
      <c r="AB8" s="65">
        <v>73806.210000000006</v>
      </c>
      <c r="AC8" s="65">
        <v>80180.34</v>
      </c>
      <c r="AD8" s="65">
        <v>52242</v>
      </c>
      <c r="AE8" s="65">
        <v>60743</v>
      </c>
      <c r="AF8" s="65">
        <v>67737</v>
      </c>
      <c r="AG8" s="65">
        <v>53979</v>
      </c>
      <c r="AH8" s="65">
        <v>39518</v>
      </c>
      <c r="AI8" s="65">
        <v>52716</v>
      </c>
      <c r="AJ8" s="65">
        <v>63358</v>
      </c>
      <c r="AK8" s="65">
        <v>47207</v>
      </c>
      <c r="AL8" s="48">
        <v>50865</v>
      </c>
      <c r="AM8" s="10">
        <v>50533</v>
      </c>
      <c r="AN8" s="10">
        <v>41929</v>
      </c>
      <c r="AO8" s="10">
        <v>49436</v>
      </c>
      <c r="AP8" s="48">
        <v>34589</v>
      </c>
      <c r="AQ8" s="10">
        <v>36240</v>
      </c>
      <c r="AR8" s="10">
        <v>46914</v>
      </c>
      <c r="AS8" s="10">
        <v>44982</v>
      </c>
    </row>
    <row r="9" spans="1:45" s="56" customFormat="1" ht="21" customHeight="1">
      <c r="A9" s="56" t="s">
        <v>35</v>
      </c>
      <c r="B9" s="65">
        <v>453805</v>
      </c>
      <c r="C9" s="65">
        <v>469178</v>
      </c>
      <c r="D9" s="64">
        <v>0</v>
      </c>
      <c r="E9" s="65">
        <v>521526</v>
      </c>
      <c r="F9" s="65">
        <v>702126.63</v>
      </c>
      <c r="G9" s="78">
        <v>689000.68</v>
      </c>
      <c r="H9" s="78">
        <v>489011</v>
      </c>
      <c r="I9" s="65">
        <v>509873</v>
      </c>
      <c r="J9" s="65">
        <v>656108.71</v>
      </c>
      <c r="K9" s="78">
        <v>696717.4</v>
      </c>
      <c r="L9" s="78">
        <v>687773.52</v>
      </c>
      <c r="M9" s="78">
        <v>659715</v>
      </c>
      <c r="N9" s="78">
        <v>631888</v>
      </c>
      <c r="O9" s="78">
        <v>652463</v>
      </c>
      <c r="P9" s="78">
        <v>692385</v>
      </c>
      <c r="Q9" s="78">
        <v>602903</v>
      </c>
      <c r="R9" s="78">
        <v>611040</v>
      </c>
      <c r="S9" s="78">
        <v>377783.69</v>
      </c>
      <c r="T9" s="78">
        <v>619112</v>
      </c>
      <c r="U9" s="78">
        <v>634275</v>
      </c>
      <c r="V9" s="78">
        <v>675433</v>
      </c>
      <c r="W9" s="78">
        <v>689665.51</v>
      </c>
      <c r="X9" s="78">
        <v>662204.31999999995</v>
      </c>
      <c r="Y9" s="65">
        <v>657487</v>
      </c>
      <c r="Z9" s="65">
        <v>635033</v>
      </c>
      <c r="AA9" s="65">
        <v>645357.16</v>
      </c>
      <c r="AB9" s="65">
        <v>631655.55000000005</v>
      </c>
      <c r="AC9" s="65">
        <v>614924.18999999994</v>
      </c>
      <c r="AD9" s="65">
        <v>619080</v>
      </c>
      <c r="AE9" s="65">
        <v>626555</v>
      </c>
      <c r="AF9" s="65">
        <v>624260</v>
      </c>
      <c r="AG9" s="65">
        <v>644049</v>
      </c>
      <c r="AH9" s="65">
        <v>633176</v>
      </c>
      <c r="AI9" s="65">
        <v>630660</v>
      </c>
      <c r="AJ9" s="65">
        <v>653418</v>
      </c>
      <c r="AK9" s="65">
        <v>680069</v>
      </c>
      <c r="AL9" s="48">
        <v>603664</v>
      </c>
      <c r="AM9" s="10">
        <v>632934</v>
      </c>
      <c r="AN9" s="10">
        <v>650243</v>
      </c>
      <c r="AO9" s="10">
        <v>621796</v>
      </c>
      <c r="AP9" s="48">
        <v>609519</v>
      </c>
      <c r="AQ9" s="10">
        <v>616936</v>
      </c>
      <c r="AR9" s="10">
        <v>580852</v>
      </c>
      <c r="AS9" s="10">
        <v>580425</v>
      </c>
    </row>
    <row r="10" spans="1:45" s="56" customFormat="1" ht="21" customHeight="1">
      <c r="A10" s="69" t="s">
        <v>34</v>
      </c>
      <c r="B10" s="65">
        <v>305095</v>
      </c>
      <c r="C10" s="65">
        <v>319051</v>
      </c>
      <c r="D10" s="64">
        <v>0</v>
      </c>
      <c r="E10" s="65">
        <v>346634</v>
      </c>
      <c r="F10" s="65">
        <v>439237.04</v>
      </c>
      <c r="G10" s="78">
        <v>427043.87</v>
      </c>
      <c r="H10" s="78">
        <v>361151</v>
      </c>
      <c r="I10" s="65">
        <v>380816</v>
      </c>
      <c r="J10" s="65">
        <v>410339.33</v>
      </c>
      <c r="K10" s="78">
        <v>420797.39</v>
      </c>
      <c r="L10" s="78">
        <v>417528.32000000001</v>
      </c>
      <c r="M10" s="78">
        <v>414284</v>
      </c>
      <c r="N10" s="78">
        <v>434062</v>
      </c>
      <c r="O10" s="78">
        <v>402666</v>
      </c>
      <c r="P10" s="78">
        <v>359370</v>
      </c>
      <c r="Q10" s="78">
        <v>470430</v>
      </c>
      <c r="R10" s="78">
        <v>422353</v>
      </c>
      <c r="S10" s="78">
        <v>334375.58</v>
      </c>
      <c r="T10" s="78">
        <v>442360</v>
      </c>
      <c r="U10" s="78">
        <v>430804</v>
      </c>
      <c r="V10" s="78">
        <v>374815</v>
      </c>
      <c r="W10" s="78">
        <v>346904.07</v>
      </c>
      <c r="X10" s="78">
        <v>395536.1</v>
      </c>
      <c r="Y10" s="65">
        <v>411459</v>
      </c>
      <c r="Z10" s="65">
        <v>395374</v>
      </c>
      <c r="AA10" s="65">
        <v>372990.13</v>
      </c>
      <c r="AB10" s="65">
        <v>395280.99</v>
      </c>
      <c r="AC10" s="65">
        <v>404667.38</v>
      </c>
      <c r="AD10" s="65">
        <v>422581</v>
      </c>
      <c r="AE10" s="65">
        <v>395606</v>
      </c>
      <c r="AF10" s="65">
        <v>400201</v>
      </c>
      <c r="AG10" s="65">
        <v>394311</v>
      </c>
      <c r="AH10" s="65">
        <v>416181</v>
      </c>
      <c r="AI10" s="65">
        <v>401519</v>
      </c>
      <c r="AJ10" s="65">
        <v>407270</v>
      </c>
      <c r="AK10" s="65">
        <v>359078</v>
      </c>
      <c r="AL10" s="48">
        <v>395951</v>
      </c>
      <c r="AM10" s="10">
        <v>370448</v>
      </c>
      <c r="AN10" s="10">
        <v>375676</v>
      </c>
      <c r="AO10" s="10">
        <v>414137</v>
      </c>
      <c r="AP10" s="48">
        <v>410182</v>
      </c>
      <c r="AQ10" s="10">
        <v>378900</v>
      </c>
      <c r="AR10" s="10">
        <v>411809</v>
      </c>
      <c r="AS10" s="10">
        <v>431314</v>
      </c>
    </row>
    <row r="11" spans="1:45" s="56" customFormat="1" ht="21" customHeight="1">
      <c r="A11" s="69" t="s">
        <v>33</v>
      </c>
      <c r="B11" s="65">
        <v>225254</v>
      </c>
      <c r="C11" s="65">
        <v>286358</v>
      </c>
      <c r="D11" s="64">
        <v>0</v>
      </c>
      <c r="E11" s="65">
        <v>260481</v>
      </c>
      <c r="F11" s="65">
        <v>412688.32</v>
      </c>
      <c r="G11" s="78">
        <v>433296.68</v>
      </c>
      <c r="H11" s="78">
        <v>235984</v>
      </c>
      <c r="I11" s="65">
        <v>242670</v>
      </c>
      <c r="J11" s="65">
        <v>409232.18</v>
      </c>
      <c r="K11" s="78">
        <v>431395.19</v>
      </c>
      <c r="L11" s="78">
        <v>453215.6</v>
      </c>
      <c r="M11" s="78">
        <v>424779</v>
      </c>
      <c r="N11" s="78">
        <v>449819</v>
      </c>
      <c r="O11" s="78">
        <v>443429</v>
      </c>
      <c r="P11" s="78">
        <v>454407</v>
      </c>
      <c r="Q11" s="78">
        <v>473512</v>
      </c>
      <c r="R11" s="78">
        <v>377341</v>
      </c>
      <c r="S11" s="78">
        <v>243252.58</v>
      </c>
      <c r="T11" s="78">
        <v>384632</v>
      </c>
      <c r="U11" s="78">
        <v>351703</v>
      </c>
      <c r="V11" s="78">
        <v>363738</v>
      </c>
      <c r="W11" s="78">
        <v>396571</v>
      </c>
      <c r="X11" s="78">
        <v>403491</v>
      </c>
      <c r="Y11" s="65">
        <v>373420</v>
      </c>
      <c r="Z11" s="65">
        <v>382194</v>
      </c>
      <c r="AA11" s="65">
        <v>405527.65</v>
      </c>
      <c r="AB11" s="65">
        <v>372890.88</v>
      </c>
      <c r="AC11" s="65">
        <v>380004.99</v>
      </c>
      <c r="AD11" s="65">
        <v>398918</v>
      </c>
      <c r="AE11" s="65">
        <v>366148</v>
      </c>
      <c r="AF11" s="65">
        <v>369741</v>
      </c>
      <c r="AG11" s="65">
        <v>399984</v>
      </c>
      <c r="AH11" s="65">
        <v>395120</v>
      </c>
      <c r="AI11" s="65">
        <v>358711</v>
      </c>
      <c r="AJ11" s="65">
        <v>369764</v>
      </c>
      <c r="AK11" s="65">
        <v>396798</v>
      </c>
      <c r="AL11" s="48">
        <v>397466</v>
      </c>
      <c r="AM11" s="10">
        <v>372087</v>
      </c>
      <c r="AN11" s="10">
        <v>406391</v>
      </c>
      <c r="AO11" s="10">
        <v>371919</v>
      </c>
      <c r="AP11" s="48">
        <v>375875</v>
      </c>
      <c r="AQ11" s="10">
        <v>374804</v>
      </c>
      <c r="AR11" s="10">
        <v>396801</v>
      </c>
      <c r="AS11" s="10">
        <v>436657</v>
      </c>
    </row>
    <row r="12" spans="1:45" s="56" customFormat="1" ht="21" customHeight="1">
      <c r="A12" s="56" t="s">
        <v>32</v>
      </c>
      <c r="B12" s="78">
        <v>247863</v>
      </c>
      <c r="C12" s="78">
        <v>206367</v>
      </c>
      <c r="D12" s="64">
        <v>0</v>
      </c>
      <c r="E12" s="65">
        <v>199002</v>
      </c>
      <c r="F12" s="78">
        <v>308840.27</v>
      </c>
      <c r="G12" s="78">
        <v>334300.34000000003</v>
      </c>
      <c r="H12" s="78">
        <v>230959</v>
      </c>
      <c r="I12" s="78">
        <v>221781</v>
      </c>
      <c r="J12" s="78">
        <v>345551.99</v>
      </c>
      <c r="K12" s="78">
        <v>357153.4</v>
      </c>
      <c r="L12" s="78">
        <v>348690.25</v>
      </c>
      <c r="M12" s="78">
        <v>360663</v>
      </c>
      <c r="N12" s="78">
        <v>330785</v>
      </c>
      <c r="O12" s="78">
        <v>343187</v>
      </c>
      <c r="P12" s="78">
        <v>356758</v>
      </c>
      <c r="Q12" s="78">
        <f>Q13+Q14+Q15</f>
        <v>340041</v>
      </c>
      <c r="R12" s="78">
        <v>307756</v>
      </c>
      <c r="S12" s="78">
        <v>234933.38999999998</v>
      </c>
      <c r="T12" s="78">
        <v>302107</v>
      </c>
      <c r="U12" s="78">
        <v>324126</v>
      </c>
      <c r="V12" s="78">
        <v>310395</v>
      </c>
      <c r="W12" s="78">
        <f>SUM(W13:W15)</f>
        <v>313722.03000000003</v>
      </c>
      <c r="X12" s="78">
        <f>SUM(X13:X15)</f>
        <v>299905.01</v>
      </c>
      <c r="Y12" s="65">
        <v>320740</v>
      </c>
      <c r="Z12" s="65">
        <v>324330</v>
      </c>
      <c r="AA12" s="65">
        <v>321645.60000000003</v>
      </c>
      <c r="AB12" s="65">
        <v>319233.42</v>
      </c>
      <c r="AC12" s="65">
        <v>327431.44000000006</v>
      </c>
      <c r="AD12" s="65">
        <v>309470</v>
      </c>
      <c r="AE12" s="65">
        <v>344150</v>
      </c>
      <c r="AF12" s="65">
        <v>329600</v>
      </c>
      <c r="AG12" s="65">
        <v>302093</v>
      </c>
      <c r="AH12" s="65">
        <v>354064</v>
      </c>
      <c r="AI12" s="65">
        <v>380877</v>
      </c>
      <c r="AJ12" s="65">
        <v>327714</v>
      </c>
      <c r="AK12" s="65">
        <v>333418</v>
      </c>
      <c r="AL12" s="48">
        <v>354380</v>
      </c>
      <c r="AM12" s="10">
        <v>382672</v>
      </c>
      <c r="AN12" s="10">
        <v>341321</v>
      </c>
      <c r="AO12" s="10">
        <v>346520</v>
      </c>
      <c r="AP12" s="48">
        <v>363928</v>
      </c>
      <c r="AQ12" s="10">
        <v>382753</v>
      </c>
      <c r="AR12" s="10">
        <v>379317</v>
      </c>
      <c r="AS12" s="10">
        <v>335938</v>
      </c>
    </row>
    <row r="13" spans="1:45" s="56" customFormat="1" ht="21" customHeight="1">
      <c r="A13" s="66" t="s">
        <v>31</v>
      </c>
      <c r="B13" s="65">
        <v>189018</v>
      </c>
      <c r="C13" s="78">
        <v>172923</v>
      </c>
      <c r="D13" s="64">
        <v>0</v>
      </c>
      <c r="E13" s="65">
        <v>165175</v>
      </c>
      <c r="F13" s="78">
        <v>246038.88</v>
      </c>
      <c r="G13" s="78">
        <v>273127.84000000003</v>
      </c>
      <c r="H13" s="78">
        <v>203593</v>
      </c>
      <c r="I13" s="78">
        <v>190850</v>
      </c>
      <c r="J13" s="78">
        <v>280115.51</v>
      </c>
      <c r="K13" s="78">
        <v>305449.53000000003</v>
      </c>
      <c r="L13" s="78">
        <v>285871.99</v>
      </c>
      <c r="M13" s="78">
        <v>289043</v>
      </c>
      <c r="N13" s="78">
        <v>267786</v>
      </c>
      <c r="O13" s="78">
        <v>278776</v>
      </c>
      <c r="P13" s="78">
        <v>294946</v>
      </c>
      <c r="Q13" s="78">
        <v>294982</v>
      </c>
      <c r="R13" s="78">
        <v>263009</v>
      </c>
      <c r="S13" s="78">
        <v>185925.61</v>
      </c>
      <c r="T13" s="78">
        <v>246199</v>
      </c>
      <c r="U13" s="78">
        <v>270491</v>
      </c>
      <c r="V13" s="78">
        <v>260934</v>
      </c>
      <c r="W13" s="78">
        <v>262898.64</v>
      </c>
      <c r="X13" s="78">
        <v>237242.39</v>
      </c>
      <c r="Y13" s="65">
        <v>268502</v>
      </c>
      <c r="Z13" s="65">
        <v>276690</v>
      </c>
      <c r="AA13" s="65">
        <v>272093.39</v>
      </c>
      <c r="AB13" s="65">
        <v>267612.40999999997</v>
      </c>
      <c r="AC13" s="65">
        <v>275794.03000000003</v>
      </c>
      <c r="AD13" s="65">
        <v>256237</v>
      </c>
      <c r="AE13" s="65">
        <v>289526</v>
      </c>
      <c r="AF13" s="65">
        <v>276230</v>
      </c>
      <c r="AG13" s="65">
        <v>233849</v>
      </c>
      <c r="AH13" s="65">
        <v>293915</v>
      </c>
      <c r="AI13" s="65">
        <v>309712</v>
      </c>
      <c r="AJ13" s="65">
        <v>249977</v>
      </c>
      <c r="AK13" s="65">
        <v>293428</v>
      </c>
      <c r="AL13" s="48">
        <v>286814</v>
      </c>
      <c r="AM13" s="10">
        <v>282789</v>
      </c>
      <c r="AN13" s="10">
        <v>272456</v>
      </c>
      <c r="AO13" s="10">
        <v>292303</v>
      </c>
      <c r="AP13" s="48">
        <v>309142</v>
      </c>
      <c r="AQ13" s="10">
        <v>331138</v>
      </c>
      <c r="AR13" s="10">
        <v>313584</v>
      </c>
      <c r="AS13" s="10">
        <v>293772</v>
      </c>
    </row>
    <row r="14" spans="1:45" s="56" customFormat="1" ht="21" customHeight="1">
      <c r="A14" s="66" t="s">
        <v>30</v>
      </c>
      <c r="B14" s="65">
        <v>58845</v>
      </c>
      <c r="C14" s="78">
        <v>33444</v>
      </c>
      <c r="D14" s="64">
        <v>0</v>
      </c>
      <c r="E14" s="65">
        <v>33827</v>
      </c>
      <c r="F14" s="78">
        <v>62801.39</v>
      </c>
      <c r="G14" s="78">
        <v>61172.5</v>
      </c>
      <c r="H14" s="78">
        <v>27148</v>
      </c>
      <c r="I14" s="78">
        <v>30242</v>
      </c>
      <c r="J14" s="78">
        <v>65436.480000000003</v>
      </c>
      <c r="K14" s="78">
        <v>49893.31</v>
      </c>
      <c r="L14" s="78">
        <v>62818.26</v>
      </c>
      <c r="M14" s="78">
        <v>71366</v>
      </c>
      <c r="N14" s="78">
        <v>62999</v>
      </c>
      <c r="O14" s="78">
        <v>62793</v>
      </c>
      <c r="P14" s="78">
        <v>54984</v>
      </c>
      <c r="Q14" s="78">
        <v>44361</v>
      </c>
      <c r="R14" s="78">
        <v>44747</v>
      </c>
      <c r="S14" s="78">
        <v>49007.78</v>
      </c>
      <c r="T14" s="78">
        <v>55908</v>
      </c>
      <c r="U14" s="78">
        <v>53635</v>
      </c>
      <c r="V14" s="78">
        <v>49461</v>
      </c>
      <c r="W14" s="78">
        <v>50823.39</v>
      </c>
      <c r="X14" s="78">
        <v>62662.62</v>
      </c>
      <c r="Y14" s="65">
        <v>52238</v>
      </c>
      <c r="Z14" s="65">
        <v>47640</v>
      </c>
      <c r="AA14" s="65">
        <v>49552.21</v>
      </c>
      <c r="AB14" s="65">
        <v>51621.01</v>
      </c>
      <c r="AC14" s="65">
        <v>51637.41</v>
      </c>
      <c r="AD14" s="65">
        <v>53233</v>
      </c>
      <c r="AE14" s="65">
        <v>54624</v>
      </c>
      <c r="AF14" s="65">
        <v>53370</v>
      </c>
      <c r="AG14" s="65">
        <v>68244</v>
      </c>
      <c r="AH14" s="65">
        <v>59299</v>
      </c>
      <c r="AI14" s="65">
        <v>71165</v>
      </c>
      <c r="AJ14" s="65">
        <v>77737</v>
      </c>
      <c r="AK14" s="65">
        <v>39990</v>
      </c>
      <c r="AL14" s="48">
        <v>67124</v>
      </c>
      <c r="AM14" s="10">
        <v>99883</v>
      </c>
      <c r="AN14" s="10">
        <v>68865</v>
      </c>
      <c r="AO14" s="10">
        <v>54217</v>
      </c>
      <c r="AP14" s="48">
        <v>54786</v>
      </c>
      <c r="AQ14" s="10">
        <v>51615</v>
      </c>
      <c r="AR14" s="10">
        <v>65733</v>
      </c>
      <c r="AS14" s="10">
        <v>42166</v>
      </c>
    </row>
    <row r="15" spans="1:45" s="56" customFormat="1" ht="21" customHeight="1">
      <c r="A15" s="67" t="s">
        <v>100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5">
        <v>690</v>
      </c>
      <c r="J15" s="64">
        <v>0</v>
      </c>
      <c r="K15" s="65">
        <v>1810.56</v>
      </c>
      <c r="L15" s="64">
        <v>0</v>
      </c>
      <c r="M15" s="64">
        <v>254</v>
      </c>
      <c r="N15" s="64">
        <v>0</v>
      </c>
      <c r="O15" s="65">
        <v>1618</v>
      </c>
      <c r="P15" s="65">
        <v>6828</v>
      </c>
      <c r="Q15" s="65">
        <v>698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850</v>
      </c>
      <c r="AI15" s="52">
        <v>0</v>
      </c>
      <c r="AJ15" s="52">
        <v>0</v>
      </c>
      <c r="AK15" s="52">
        <v>0</v>
      </c>
      <c r="AL15" s="49">
        <v>442</v>
      </c>
      <c r="AM15" s="52">
        <v>0</v>
      </c>
      <c r="AN15" s="52">
        <v>0</v>
      </c>
      <c r="AO15" s="52">
        <v>0</v>
      </c>
      <c r="AP15" s="49" t="s">
        <v>7</v>
      </c>
      <c r="AQ15" s="52" t="s">
        <v>7</v>
      </c>
      <c r="AR15" s="52" t="s">
        <v>8</v>
      </c>
      <c r="AS15" s="52" t="s">
        <v>8</v>
      </c>
    </row>
    <row r="16" spans="1:45" s="56" customFormat="1" ht="21" customHeight="1">
      <c r="A16" s="56" t="s">
        <v>28</v>
      </c>
      <c r="B16" s="78">
        <v>186438</v>
      </c>
      <c r="C16" s="78">
        <v>186260</v>
      </c>
      <c r="D16" s="64">
        <v>0</v>
      </c>
      <c r="E16" s="65">
        <v>201441</v>
      </c>
      <c r="F16" s="78">
        <v>272892.69</v>
      </c>
      <c r="G16" s="78">
        <v>263530.78999999998</v>
      </c>
      <c r="H16" s="78">
        <v>218325</v>
      </c>
      <c r="I16" s="78">
        <v>216335</v>
      </c>
      <c r="J16" s="78">
        <v>300446.11</v>
      </c>
      <c r="K16" s="78">
        <v>239824.54</v>
      </c>
      <c r="L16" s="78">
        <v>247974.38</v>
      </c>
      <c r="M16" s="78">
        <v>271455</v>
      </c>
      <c r="N16" s="78">
        <v>261572</v>
      </c>
      <c r="O16" s="78">
        <v>267485</v>
      </c>
      <c r="P16" s="78">
        <v>260681</v>
      </c>
      <c r="Q16" s="78">
        <f>Q17+Q18+Q19</f>
        <v>241231</v>
      </c>
      <c r="R16" s="78">
        <v>232422</v>
      </c>
      <c r="S16" s="78">
        <v>187939.07</v>
      </c>
      <c r="T16" s="78">
        <v>217872</v>
      </c>
      <c r="U16" s="78">
        <v>221348</v>
      </c>
      <c r="V16" s="78">
        <v>230019</v>
      </c>
      <c r="W16" s="78">
        <f>SUM(W17:W19)</f>
        <v>219643.66999999998</v>
      </c>
      <c r="X16" s="78">
        <f>SUM(X17:X19)</f>
        <v>189691.03999999998</v>
      </c>
      <c r="Y16" s="65">
        <v>208137</v>
      </c>
      <c r="Z16" s="65">
        <v>220282</v>
      </c>
      <c r="AA16" s="65">
        <v>222602.87</v>
      </c>
      <c r="AB16" s="65">
        <v>238261.05</v>
      </c>
      <c r="AC16" s="65">
        <v>227879.78</v>
      </c>
      <c r="AD16" s="65">
        <v>234865</v>
      </c>
      <c r="AE16" s="65">
        <v>245501</v>
      </c>
      <c r="AF16" s="65">
        <v>249833</v>
      </c>
      <c r="AG16" s="65">
        <v>248331</v>
      </c>
      <c r="AH16" s="65">
        <v>206063</v>
      </c>
      <c r="AI16" s="65">
        <v>221434</v>
      </c>
      <c r="AJ16" s="65">
        <v>224494</v>
      </c>
      <c r="AK16" s="65">
        <v>231147</v>
      </c>
      <c r="AL16" s="48">
        <v>245193</v>
      </c>
      <c r="AM16" s="10">
        <v>239071</v>
      </c>
      <c r="AN16" s="10">
        <v>235247</v>
      </c>
      <c r="AO16" s="10">
        <v>248072</v>
      </c>
      <c r="AP16" s="48">
        <v>253568</v>
      </c>
      <c r="AQ16" s="10">
        <v>263765</v>
      </c>
      <c r="AR16" s="10">
        <v>239394</v>
      </c>
      <c r="AS16" s="10">
        <v>224373</v>
      </c>
    </row>
    <row r="17" spans="1:46" s="56" customFormat="1" ht="21" customHeight="1">
      <c r="A17" s="67" t="s">
        <v>27</v>
      </c>
      <c r="B17" s="65">
        <v>80213</v>
      </c>
      <c r="C17" s="78">
        <v>96697</v>
      </c>
      <c r="D17" s="64">
        <v>0</v>
      </c>
      <c r="E17" s="65">
        <v>99277</v>
      </c>
      <c r="F17" s="78">
        <v>128323.63</v>
      </c>
      <c r="G17" s="78">
        <v>116571.56</v>
      </c>
      <c r="H17" s="78">
        <v>92959</v>
      </c>
      <c r="I17" s="78">
        <v>106789</v>
      </c>
      <c r="J17" s="78">
        <v>180740.83</v>
      </c>
      <c r="K17" s="78">
        <v>153273.67000000001</v>
      </c>
      <c r="L17" s="78">
        <v>129828.43</v>
      </c>
      <c r="M17" s="78">
        <v>151312</v>
      </c>
      <c r="N17" s="78">
        <v>143180</v>
      </c>
      <c r="O17" s="78">
        <v>127289</v>
      </c>
      <c r="P17" s="78">
        <v>135260</v>
      </c>
      <c r="Q17" s="78">
        <v>147991</v>
      </c>
      <c r="R17" s="78">
        <v>130750</v>
      </c>
      <c r="S17" s="78">
        <v>109300.03</v>
      </c>
      <c r="T17" s="78">
        <v>118680</v>
      </c>
      <c r="U17" s="78">
        <v>118922</v>
      </c>
      <c r="V17" s="78">
        <v>135467</v>
      </c>
      <c r="W17" s="78">
        <v>129958.88</v>
      </c>
      <c r="X17" s="78">
        <v>111071</v>
      </c>
      <c r="Y17" s="65">
        <v>116944</v>
      </c>
      <c r="Z17" s="65">
        <v>121745</v>
      </c>
      <c r="AA17" s="65">
        <v>118459.24</v>
      </c>
      <c r="AB17" s="65">
        <v>141802.82999999999</v>
      </c>
      <c r="AC17" s="65">
        <v>141447.18</v>
      </c>
      <c r="AD17" s="65">
        <v>143531</v>
      </c>
      <c r="AE17" s="65">
        <v>133439</v>
      </c>
      <c r="AF17" s="65">
        <v>139492</v>
      </c>
      <c r="AG17" s="65">
        <v>123047</v>
      </c>
      <c r="AH17" s="65">
        <v>114074</v>
      </c>
      <c r="AI17" s="65">
        <v>124759</v>
      </c>
      <c r="AJ17" s="65">
        <v>135093</v>
      </c>
      <c r="AK17" s="65">
        <v>135049</v>
      </c>
      <c r="AL17" s="48">
        <v>120619</v>
      </c>
      <c r="AM17" s="10">
        <v>131867</v>
      </c>
      <c r="AN17" s="10">
        <v>117238</v>
      </c>
      <c r="AO17" s="10">
        <v>135622</v>
      </c>
      <c r="AP17" s="48">
        <v>121635</v>
      </c>
      <c r="AQ17" s="10">
        <v>127289</v>
      </c>
      <c r="AR17" s="10">
        <v>123170</v>
      </c>
      <c r="AS17" s="10">
        <v>110371</v>
      </c>
    </row>
    <row r="18" spans="1:46" s="56" customFormat="1" ht="21" customHeight="1">
      <c r="A18" s="67" t="s">
        <v>26</v>
      </c>
      <c r="B18" s="65">
        <v>71340</v>
      </c>
      <c r="C18" s="65">
        <v>58874</v>
      </c>
      <c r="D18" s="64">
        <v>0</v>
      </c>
      <c r="E18" s="65">
        <v>72633</v>
      </c>
      <c r="F18" s="65">
        <v>96683.33</v>
      </c>
      <c r="G18" s="78">
        <v>104416.77</v>
      </c>
      <c r="H18" s="78">
        <v>84639</v>
      </c>
      <c r="I18" s="65">
        <v>76371</v>
      </c>
      <c r="J18" s="65">
        <v>70261.41</v>
      </c>
      <c r="K18" s="78">
        <v>46655.94</v>
      </c>
      <c r="L18" s="78">
        <v>75324.899999999994</v>
      </c>
      <c r="M18" s="78">
        <v>89089</v>
      </c>
      <c r="N18" s="78">
        <v>87583</v>
      </c>
      <c r="O18" s="78">
        <v>103639</v>
      </c>
      <c r="P18" s="78">
        <v>82118</v>
      </c>
      <c r="Q18" s="78">
        <v>67518</v>
      </c>
      <c r="R18" s="78">
        <v>75078</v>
      </c>
      <c r="S18" s="78">
        <v>53484.94</v>
      </c>
      <c r="T18" s="78">
        <v>68187</v>
      </c>
      <c r="U18" s="78">
        <v>73866</v>
      </c>
      <c r="V18" s="78">
        <v>70809</v>
      </c>
      <c r="W18" s="78">
        <v>71689.789999999994</v>
      </c>
      <c r="X18" s="78">
        <v>55964.12</v>
      </c>
      <c r="Y18" s="65">
        <v>60105</v>
      </c>
      <c r="Z18" s="65">
        <v>63349</v>
      </c>
      <c r="AA18" s="65">
        <v>68528.009999999995</v>
      </c>
      <c r="AB18" s="65">
        <v>61670.14</v>
      </c>
      <c r="AC18" s="65">
        <v>52590</v>
      </c>
      <c r="AD18" s="65">
        <v>55419</v>
      </c>
      <c r="AE18" s="65">
        <v>74063</v>
      </c>
      <c r="AF18" s="65">
        <v>79298</v>
      </c>
      <c r="AG18" s="65">
        <v>97347</v>
      </c>
      <c r="AH18" s="65">
        <v>65260</v>
      </c>
      <c r="AI18" s="65">
        <v>73441</v>
      </c>
      <c r="AJ18" s="65">
        <v>68780</v>
      </c>
      <c r="AK18" s="65">
        <v>68827</v>
      </c>
      <c r="AL18" s="48">
        <v>79171</v>
      </c>
      <c r="AM18" s="10">
        <v>75253</v>
      </c>
      <c r="AN18" s="10">
        <v>85755</v>
      </c>
      <c r="AO18" s="10">
        <v>75927</v>
      </c>
      <c r="AP18" s="48">
        <v>88047</v>
      </c>
      <c r="AQ18" s="10">
        <v>86858</v>
      </c>
      <c r="AR18" s="10">
        <v>72097</v>
      </c>
      <c r="AS18" s="10">
        <v>71737</v>
      </c>
    </row>
    <row r="19" spans="1:46" s="56" customFormat="1" ht="21" customHeight="1">
      <c r="A19" s="67" t="s">
        <v>25</v>
      </c>
      <c r="B19" s="65">
        <v>34885</v>
      </c>
      <c r="C19" s="65">
        <v>30689</v>
      </c>
      <c r="D19" s="64">
        <v>0</v>
      </c>
      <c r="E19" s="65">
        <v>29531</v>
      </c>
      <c r="F19" s="65">
        <v>47885.73</v>
      </c>
      <c r="G19" s="78">
        <v>42542.46</v>
      </c>
      <c r="H19" s="78">
        <v>40725</v>
      </c>
      <c r="I19" s="65">
        <v>33175</v>
      </c>
      <c r="J19" s="65">
        <v>49443.87</v>
      </c>
      <c r="K19" s="78">
        <v>39894.93</v>
      </c>
      <c r="L19" s="78">
        <v>42821.05</v>
      </c>
      <c r="M19" s="78">
        <v>31054</v>
      </c>
      <c r="N19" s="78">
        <v>30809</v>
      </c>
      <c r="O19" s="78">
        <v>36557</v>
      </c>
      <c r="P19" s="78">
        <v>43303</v>
      </c>
      <c r="Q19" s="78">
        <v>25722</v>
      </c>
      <c r="R19" s="78">
        <v>26594</v>
      </c>
      <c r="S19" s="78">
        <v>25154.1</v>
      </c>
      <c r="T19" s="78">
        <v>31005</v>
      </c>
      <c r="U19" s="78">
        <v>28560</v>
      </c>
      <c r="V19" s="78">
        <v>23743</v>
      </c>
      <c r="W19" s="78">
        <v>17995</v>
      </c>
      <c r="X19" s="78">
        <v>22655.919999999998</v>
      </c>
      <c r="Y19" s="65">
        <v>31088</v>
      </c>
      <c r="Z19" s="65">
        <v>35188</v>
      </c>
      <c r="AA19" s="65">
        <v>35615.620000000003</v>
      </c>
      <c r="AB19" s="65">
        <v>34788.080000000002</v>
      </c>
      <c r="AC19" s="65">
        <v>33842.6</v>
      </c>
      <c r="AD19" s="65">
        <v>35916</v>
      </c>
      <c r="AE19" s="65">
        <v>37999</v>
      </c>
      <c r="AF19" s="65">
        <v>31043</v>
      </c>
      <c r="AG19" s="65">
        <v>27937</v>
      </c>
      <c r="AH19" s="65">
        <v>26729</v>
      </c>
      <c r="AI19" s="65">
        <v>23234</v>
      </c>
      <c r="AJ19" s="65">
        <v>20621</v>
      </c>
      <c r="AK19" s="65">
        <v>27271</v>
      </c>
      <c r="AL19" s="48">
        <v>45403</v>
      </c>
      <c r="AM19" s="10">
        <v>31951</v>
      </c>
      <c r="AN19" s="10">
        <v>32254</v>
      </c>
      <c r="AO19" s="10">
        <v>36523</v>
      </c>
      <c r="AP19" s="48">
        <v>43886</v>
      </c>
      <c r="AQ19" s="10">
        <v>49618</v>
      </c>
      <c r="AR19" s="10">
        <v>44127</v>
      </c>
      <c r="AS19" s="10">
        <v>42265</v>
      </c>
    </row>
    <row r="20" spans="1:46" s="56" customFormat="1" ht="21" customHeight="1">
      <c r="A20" s="66" t="s">
        <v>24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892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 t="s">
        <v>7</v>
      </c>
      <c r="AK20" s="64" t="s">
        <v>7</v>
      </c>
      <c r="AL20" s="52">
        <v>0</v>
      </c>
      <c r="AM20" s="52">
        <v>0</v>
      </c>
      <c r="AN20" s="52">
        <v>0</v>
      </c>
      <c r="AO20" s="52">
        <v>0</v>
      </c>
      <c r="AP20" s="52" t="s">
        <v>7</v>
      </c>
      <c r="AQ20" s="52" t="s">
        <v>7</v>
      </c>
      <c r="AR20" s="52">
        <v>0</v>
      </c>
      <c r="AS20" s="52" t="s">
        <v>8</v>
      </c>
    </row>
    <row r="21" spans="1:46" s="56" customFormat="1" ht="21" customHeight="1">
      <c r="A21" s="66" t="s">
        <v>23</v>
      </c>
      <c r="B21" s="65">
        <v>343</v>
      </c>
      <c r="C21" s="64">
        <v>0</v>
      </c>
      <c r="D21" s="64">
        <v>0</v>
      </c>
      <c r="E21" s="64">
        <v>0</v>
      </c>
      <c r="F21" s="65">
        <v>812.98</v>
      </c>
      <c r="G21" s="78">
        <v>741.83</v>
      </c>
      <c r="H21" s="64">
        <v>0</v>
      </c>
      <c r="I21" s="64">
        <v>0</v>
      </c>
      <c r="J21" s="64">
        <v>0</v>
      </c>
      <c r="K21" s="78">
        <v>3192.1</v>
      </c>
      <c r="L21" s="78">
        <v>1276.74</v>
      </c>
      <c r="M21" s="64">
        <v>0</v>
      </c>
      <c r="N21" s="64">
        <v>0</v>
      </c>
      <c r="O21" s="64">
        <v>0</v>
      </c>
      <c r="P21" s="78">
        <v>1286</v>
      </c>
      <c r="Q21" s="64">
        <v>2451</v>
      </c>
      <c r="R21" s="78">
        <v>1041.49</v>
      </c>
      <c r="S21" s="78">
        <v>334.05</v>
      </c>
      <c r="T21" s="78">
        <v>240</v>
      </c>
      <c r="U21" s="78">
        <v>467.77</v>
      </c>
      <c r="V21" s="78">
        <v>3263</v>
      </c>
      <c r="W21" s="78">
        <v>2871.99</v>
      </c>
      <c r="X21" s="78">
        <v>446.75</v>
      </c>
      <c r="Y21" s="64">
        <v>0</v>
      </c>
      <c r="Z21" s="65">
        <v>1194</v>
      </c>
      <c r="AA21" s="64">
        <v>0</v>
      </c>
      <c r="AB21" s="65">
        <v>2687.92</v>
      </c>
      <c r="AC21" s="65">
        <v>727.89</v>
      </c>
      <c r="AD21" s="65">
        <v>574</v>
      </c>
      <c r="AE21" s="64">
        <v>1102</v>
      </c>
      <c r="AF21" s="65">
        <v>222</v>
      </c>
      <c r="AG21" s="65">
        <v>275</v>
      </c>
      <c r="AH21" s="65">
        <v>0</v>
      </c>
      <c r="AI21" s="64">
        <v>0</v>
      </c>
      <c r="AJ21" s="65">
        <v>1491</v>
      </c>
      <c r="AK21" s="65">
        <v>834</v>
      </c>
      <c r="AL21" s="49">
        <v>2317</v>
      </c>
      <c r="AM21" s="10">
        <v>3610</v>
      </c>
      <c r="AN21" s="10">
        <v>1845</v>
      </c>
      <c r="AO21" s="10">
        <v>1365</v>
      </c>
      <c r="AP21" s="49">
        <v>6347</v>
      </c>
      <c r="AQ21" s="10">
        <v>1526</v>
      </c>
      <c r="AR21" s="10">
        <v>603</v>
      </c>
      <c r="AS21" s="10">
        <v>2324</v>
      </c>
    </row>
    <row r="22" spans="1:46" s="56" customFormat="1" ht="2.25" customHeight="1">
      <c r="A22" s="66"/>
      <c r="B22" s="77"/>
      <c r="C22" s="77"/>
      <c r="D22" s="65" t="s">
        <v>125</v>
      </c>
      <c r="E22" s="77"/>
      <c r="F22" s="4"/>
      <c r="G22" s="4"/>
      <c r="H22" s="4"/>
      <c r="I22" s="77"/>
      <c r="J22" s="77"/>
      <c r="K22" s="4"/>
      <c r="L22" s="4"/>
      <c r="M22" s="4"/>
      <c r="O22" s="56" t="s">
        <v>20</v>
      </c>
      <c r="P22" s="56" t="s">
        <v>20</v>
      </c>
      <c r="AD22" s="56" t="s">
        <v>20</v>
      </c>
      <c r="AE22" s="56" t="s">
        <v>20</v>
      </c>
      <c r="AF22" s="56" t="s">
        <v>20</v>
      </c>
      <c r="AG22" s="56" t="s">
        <v>20</v>
      </c>
      <c r="AH22" s="56" t="s">
        <v>20</v>
      </c>
      <c r="AI22" s="56" t="s">
        <v>20</v>
      </c>
      <c r="AJ22" s="56" t="s">
        <v>20</v>
      </c>
      <c r="AK22" s="56" t="s">
        <v>20</v>
      </c>
      <c r="AL22" s="265" t="s">
        <v>20</v>
      </c>
      <c r="AM22" s="265" t="s">
        <v>20</v>
      </c>
      <c r="AN22" s="265" t="s">
        <v>20</v>
      </c>
      <c r="AO22" s="265" t="s">
        <v>20</v>
      </c>
      <c r="AP22" s="265" t="s">
        <v>20</v>
      </c>
      <c r="AQ22" s="265" t="s">
        <v>20</v>
      </c>
      <c r="AR22" s="265" t="s">
        <v>20</v>
      </c>
      <c r="AS22" s="265" t="s">
        <v>20</v>
      </c>
    </row>
    <row r="23" spans="1:46" s="56" customFormat="1" ht="25.5" customHeight="1">
      <c r="A23" s="1157" t="s">
        <v>20</v>
      </c>
      <c r="B23" s="1157"/>
      <c r="C23" s="1157"/>
      <c r="D23" s="1157"/>
      <c r="E23" s="1157"/>
      <c r="F23" s="1157"/>
      <c r="G23" s="1157"/>
      <c r="H23" s="1157"/>
      <c r="I23" s="1157"/>
      <c r="J23" s="1157"/>
      <c r="K23" s="1157"/>
      <c r="L23" s="1157"/>
      <c r="M23" s="4"/>
      <c r="P23" s="76"/>
      <c r="Q23" s="76"/>
      <c r="R23" s="76"/>
      <c r="S23" s="76"/>
      <c r="T23" s="76"/>
      <c r="U23" s="76"/>
      <c r="V23" s="76"/>
      <c r="W23" s="76"/>
      <c r="X23" s="76"/>
      <c r="Y23" s="76"/>
      <c r="AI23" s="56" t="s">
        <v>20</v>
      </c>
    </row>
    <row r="24" spans="1:46" s="56" customFormat="1" ht="18.75" customHeight="1">
      <c r="A24" s="74" t="s">
        <v>37</v>
      </c>
      <c r="B24" s="73">
        <f>SUM(B26:B30,B34,B38:B39)-0.1</f>
        <v>99.999999999999986</v>
      </c>
      <c r="C24" s="73">
        <v>100</v>
      </c>
      <c r="D24" s="75" t="s">
        <v>125</v>
      </c>
      <c r="E24" s="73">
        <f>SUM(E26:E30,E34,E38:E39)</f>
        <v>100.00000000000001</v>
      </c>
      <c r="F24" s="73">
        <v>100</v>
      </c>
      <c r="G24" s="73">
        <v>100</v>
      </c>
      <c r="H24" s="73">
        <v>100</v>
      </c>
      <c r="I24" s="73">
        <v>100</v>
      </c>
      <c r="J24" s="73">
        <v>100</v>
      </c>
      <c r="K24" s="73">
        <v>100</v>
      </c>
      <c r="L24" s="73">
        <v>100</v>
      </c>
      <c r="M24" s="73">
        <v>100</v>
      </c>
      <c r="N24" s="73">
        <v>100</v>
      </c>
      <c r="O24" s="73">
        <v>100</v>
      </c>
      <c r="P24" s="73">
        <v>100</v>
      </c>
      <c r="Q24" s="73">
        <v>100</v>
      </c>
      <c r="R24" s="73">
        <v>100</v>
      </c>
      <c r="S24" s="73">
        <v>100</v>
      </c>
      <c r="T24" s="73">
        <v>100</v>
      </c>
      <c r="U24" s="73">
        <v>100</v>
      </c>
      <c r="V24" s="73">
        <v>100</v>
      </c>
      <c r="W24" s="73">
        <v>100</v>
      </c>
      <c r="X24" s="73">
        <v>100</v>
      </c>
      <c r="Y24" s="73">
        <v>100</v>
      </c>
      <c r="Z24" s="73">
        <v>100</v>
      </c>
      <c r="AA24" s="73">
        <v>100</v>
      </c>
      <c r="AB24" s="73">
        <v>100</v>
      </c>
      <c r="AC24" s="73">
        <v>100</v>
      </c>
      <c r="AD24" s="73">
        <v>100</v>
      </c>
      <c r="AE24" s="73">
        <v>100</v>
      </c>
      <c r="AF24" s="73">
        <v>100</v>
      </c>
      <c r="AG24" s="73">
        <v>100</v>
      </c>
      <c r="AH24" s="73">
        <v>100</v>
      </c>
      <c r="AI24" s="73">
        <v>100</v>
      </c>
      <c r="AJ24" s="73">
        <v>100</v>
      </c>
      <c r="AK24" s="73">
        <v>100</v>
      </c>
      <c r="AL24" s="50">
        <v>100</v>
      </c>
      <c r="AM24" s="50">
        <v>100</v>
      </c>
      <c r="AN24" s="50">
        <v>100</v>
      </c>
      <c r="AO24" s="51">
        <v>100</v>
      </c>
      <c r="AP24" s="50">
        <v>100</v>
      </c>
      <c r="AQ24" s="50">
        <v>100</v>
      </c>
      <c r="AR24" s="50">
        <v>100</v>
      </c>
      <c r="AS24" s="51">
        <v>100</v>
      </c>
    </row>
    <row r="25" spans="1:46" s="56" customFormat="1" ht="2.25" customHeight="1">
      <c r="A25" s="74"/>
      <c r="B25" s="73"/>
      <c r="C25" s="73"/>
      <c r="D25" s="65"/>
      <c r="E25" s="73"/>
      <c r="F25" s="73"/>
      <c r="G25" s="72"/>
      <c r="H25" s="73"/>
      <c r="I25" s="73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1"/>
      <c r="V25" s="72"/>
      <c r="W25" s="72"/>
      <c r="X25" s="72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46" s="56" customFormat="1" ht="21" customHeight="1">
      <c r="A26" s="70" t="s">
        <v>36</v>
      </c>
      <c r="B26" s="64">
        <f t="shared" ref="B26:B32" si="0">B8*100/$B$6</f>
        <v>3.0547234582208178</v>
      </c>
      <c r="C26" s="64">
        <f t="shared" ref="C26:C32" si="1">C8*100/$C$6</f>
        <v>1.9291145163176979</v>
      </c>
      <c r="D26" s="65" t="s">
        <v>125</v>
      </c>
      <c r="E26" s="64">
        <f t="shared" ref="E26:E39" si="2">E8*100/$E$6</f>
        <v>1.6484714542169518</v>
      </c>
      <c r="F26" s="64">
        <f>F8*100/$F$6</f>
        <v>3.37758526034172</v>
      </c>
      <c r="G26" s="64">
        <f>SUM(G8*100/G6)</f>
        <v>3.0926242329551479</v>
      </c>
      <c r="H26" s="64">
        <f t="shared" ref="H26:H39" si="3">H8*100/$H$6</f>
        <v>2.1209891999882706</v>
      </c>
      <c r="I26" s="64">
        <f t="shared" ref="I26:I33" si="4">I8*100/$I$6</f>
        <v>1.5645935082335654</v>
      </c>
      <c r="J26" s="64">
        <f t="shared" ref="J26:J32" si="5">J8*100/$J$6</f>
        <v>4.9103915713273469</v>
      </c>
      <c r="K26" s="64">
        <f t="shared" ref="K26:AH26" si="6">SUM(K8*100/K6)</f>
        <v>3.8959369037040945</v>
      </c>
      <c r="L26" s="64">
        <f t="shared" si="6"/>
        <v>3.1553679851979597</v>
      </c>
      <c r="M26" s="64">
        <f t="shared" si="6"/>
        <v>3.4277349503519101</v>
      </c>
      <c r="N26" s="64">
        <f t="shared" si="6"/>
        <v>3.852028541652889</v>
      </c>
      <c r="O26" s="64">
        <f t="shared" si="6"/>
        <v>3.2263540639122756</v>
      </c>
      <c r="P26" s="64">
        <f t="shared" si="6"/>
        <v>2.4488701601163148</v>
      </c>
      <c r="Q26" s="64">
        <f t="shared" si="6"/>
        <v>3.1386984759997927</v>
      </c>
      <c r="R26" s="64">
        <f t="shared" si="6"/>
        <v>2.9588325746009509</v>
      </c>
      <c r="S26" s="64">
        <f t="shared" si="6"/>
        <v>1.3398670576349776</v>
      </c>
      <c r="T26" s="64">
        <f t="shared" si="6"/>
        <v>2.5227876282772321</v>
      </c>
      <c r="U26" s="64">
        <f t="shared" si="6"/>
        <v>2.7948314260073159</v>
      </c>
      <c r="V26" s="64">
        <f t="shared" si="6"/>
        <v>3.1072582671898776</v>
      </c>
      <c r="W26" s="64">
        <f t="shared" si="6"/>
        <v>2.6862246700541226</v>
      </c>
      <c r="X26" s="64">
        <f t="shared" si="6"/>
        <v>3.6840757980364378</v>
      </c>
      <c r="Y26" s="64">
        <f t="shared" si="6"/>
        <v>2.7816506341100142</v>
      </c>
      <c r="Z26" s="64">
        <f t="shared" si="6"/>
        <v>3.511491225952478</v>
      </c>
      <c r="AA26" s="64">
        <f t="shared" si="6"/>
        <v>3.1374790648825002</v>
      </c>
      <c r="AB26" s="64">
        <f t="shared" si="6"/>
        <v>3.6289521765980801</v>
      </c>
      <c r="AC26" s="64">
        <f t="shared" si="6"/>
        <v>3.9384865822844501</v>
      </c>
      <c r="AD26" s="64">
        <f t="shared" si="6"/>
        <v>2.5637351366471517</v>
      </c>
      <c r="AE26" s="64">
        <f t="shared" si="6"/>
        <v>2.9778826897669139</v>
      </c>
      <c r="AF26" s="64">
        <f t="shared" si="6"/>
        <v>3.3178487005741593</v>
      </c>
      <c r="AG26" s="64">
        <f t="shared" si="6"/>
        <v>2.6421154544591299</v>
      </c>
      <c r="AH26" s="64">
        <f t="shared" si="6"/>
        <v>1.9332505594088807</v>
      </c>
      <c r="AI26" s="64">
        <f>SUM(AI8*100/AI6)-0.04</f>
        <v>2.5366441160614044</v>
      </c>
      <c r="AJ26" s="64">
        <f>SUM(AJ8*100/AJ6)</f>
        <v>3.0943942126750112</v>
      </c>
      <c r="AK26" s="64">
        <f>SUM(AK8*100/AK6)</f>
        <v>2.304409311752551</v>
      </c>
      <c r="AL26" s="64">
        <f t="shared" ref="AL26:AO26" si="7">SUM(AL8*100/AL6)</f>
        <v>2.481418025637173</v>
      </c>
      <c r="AM26" s="64">
        <f t="shared" si="7"/>
        <v>2.4633961454745767</v>
      </c>
      <c r="AN26" s="64">
        <f t="shared" si="7"/>
        <v>2.042674549801915</v>
      </c>
      <c r="AO26" s="64">
        <f t="shared" si="7"/>
        <v>2.407700980642836</v>
      </c>
      <c r="AP26" s="64">
        <f t="shared" ref="AP26:AS26" si="8">SUM(AP8*100/AP6)</f>
        <v>1.6839759144073441</v>
      </c>
      <c r="AQ26" s="64">
        <f t="shared" si="8"/>
        <v>1.7635688716468347</v>
      </c>
      <c r="AR26" s="64">
        <f t="shared" si="8"/>
        <v>2.2821534375319237</v>
      </c>
      <c r="AS26" s="64">
        <f t="shared" si="8"/>
        <v>2.1878266333919094</v>
      </c>
      <c r="AT26" s="51"/>
    </row>
    <row r="27" spans="1:46" s="56" customFormat="1" ht="21" customHeight="1">
      <c r="A27" s="56" t="s">
        <v>35</v>
      </c>
      <c r="B27" s="64">
        <f t="shared" si="0"/>
        <v>31.008114771124642</v>
      </c>
      <c r="C27" s="64">
        <f t="shared" si="1"/>
        <v>31.360593553130691</v>
      </c>
      <c r="D27" s="65" t="s">
        <v>125</v>
      </c>
      <c r="E27" s="64">
        <f t="shared" si="2"/>
        <v>33.544840751958724</v>
      </c>
      <c r="F27" s="64">
        <v>31.7</v>
      </c>
      <c r="G27" s="64">
        <f>SUM(G9*100/G6)</f>
        <v>31.085621628352584</v>
      </c>
      <c r="H27" s="64">
        <f t="shared" si="3"/>
        <v>31.172969754612414</v>
      </c>
      <c r="I27" s="64">
        <f t="shared" si="4"/>
        <v>31.937864753926359</v>
      </c>
      <c r="J27" s="64">
        <f t="shared" si="5"/>
        <v>29.405550991578231</v>
      </c>
      <c r="K27" s="64">
        <f t="shared" ref="K27:AK27" si="9">SUM(K9*100/K6)</f>
        <v>31.15629587859052</v>
      </c>
      <c r="L27" s="64">
        <f t="shared" si="9"/>
        <v>30.887292519939642</v>
      </c>
      <c r="M27" s="64">
        <f t="shared" si="9"/>
        <v>29.898301858574321</v>
      </c>
      <c r="N27" s="64">
        <f t="shared" si="9"/>
        <v>28.819316012834165</v>
      </c>
      <c r="O27" s="64">
        <f t="shared" si="9"/>
        <v>29.935674795255903</v>
      </c>
      <c r="P27" s="64">
        <f t="shared" si="9"/>
        <v>31.786602786024794</v>
      </c>
      <c r="Q27" s="64">
        <f t="shared" si="9"/>
        <v>27.40959062668496</v>
      </c>
      <c r="R27" s="64">
        <f t="shared" si="9"/>
        <v>30.377798514419062</v>
      </c>
      <c r="S27" s="64">
        <f t="shared" si="9"/>
        <v>27.035900696155831</v>
      </c>
      <c r="T27" s="64">
        <f t="shared" si="9"/>
        <v>30.691454001139196</v>
      </c>
      <c r="U27" s="64">
        <f t="shared" si="9"/>
        <v>31.412881037900309</v>
      </c>
      <c r="V27" s="64">
        <f t="shared" si="9"/>
        <v>33.414714024787223</v>
      </c>
      <c r="W27" s="64">
        <f t="shared" si="9"/>
        <v>34.078743772053834</v>
      </c>
      <c r="X27" s="64">
        <f t="shared" si="9"/>
        <v>32.68675903667981</v>
      </c>
      <c r="Y27" s="64">
        <f t="shared" si="9"/>
        <v>32.426139684214938</v>
      </c>
      <c r="Z27" s="64">
        <f t="shared" si="9"/>
        <v>31.28736120342182</v>
      </c>
      <c r="AA27" s="64">
        <f t="shared" si="9"/>
        <v>31.761687861396847</v>
      </c>
      <c r="AB27" s="64">
        <f t="shared" si="9"/>
        <v>31.057654674759174</v>
      </c>
      <c r="AC27" s="64">
        <f t="shared" si="9"/>
        <v>30.205293110968768</v>
      </c>
      <c r="AD27" s="64">
        <f t="shared" si="9"/>
        <v>30.380864982112449</v>
      </c>
      <c r="AE27" s="64">
        <f t="shared" si="9"/>
        <v>30.71641652020659</v>
      </c>
      <c r="AF27" s="64">
        <f t="shared" si="9"/>
        <v>30.577088294734409</v>
      </c>
      <c r="AG27" s="64">
        <f t="shared" si="9"/>
        <v>31.52433013447726</v>
      </c>
      <c r="AH27" s="64">
        <f t="shared" si="9"/>
        <v>30.975450584651991</v>
      </c>
      <c r="AI27" s="64">
        <f t="shared" si="9"/>
        <v>30.825297409425701</v>
      </c>
      <c r="AJ27" s="64">
        <f t="shared" si="9"/>
        <v>31.912826756805465</v>
      </c>
      <c r="AK27" s="64">
        <f t="shared" si="9"/>
        <v>33.197562569835945</v>
      </c>
      <c r="AL27" s="64">
        <f t="shared" ref="AL27:AO27" si="10">SUM(AL9*100/AL6)</f>
        <v>29.449380340671155</v>
      </c>
      <c r="AM27" s="64">
        <f t="shared" si="10"/>
        <v>30.85443523914681</v>
      </c>
      <c r="AN27" s="64">
        <f t="shared" si="10"/>
        <v>31.678189970827983</v>
      </c>
      <c r="AO27" s="64">
        <f t="shared" si="10"/>
        <v>30.28357551095948</v>
      </c>
      <c r="AP27" s="64">
        <f t="shared" ref="AP27:AS27" si="11">SUM(AP9*100/AP6)</f>
        <v>29.674616651931249</v>
      </c>
      <c r="AQ27" s="64">
        <f t="shared" si="11"/>
        <v>30.022326859776808</v>
      </c>
      <c r="AR27" s="64">
        <f t="shared" si="11"/>
        <v>28.255816781713197</v>
      </c>
      <c r="AS27" s="64">
        <f t="shared" si="11"/>
        <v>28.230609436808034</v>
      </c>
      <c r="AT27" s="51"/>
    </row>
    <row r="28" spans="1:46" s="56" customFormat="1" ht="21" customHeight="1">
      <c r="A28" s="69" t="s">
        <v>34</v>
      </c>
      <c r="B28" s="64">
        <f t="shared" si="0"/>
        <v>20.846885283538686</v>
      </c>
      <c r="C28" s="64">
        <f t="shared" si="1"/>
        <v>21.325869358153835</v>
      </c>
      <c r="D28" s="65" t="s">
        <v>125</v>
      </c>
      <c r="E28" s="64">
        <f t="shared" si="2"/>
        <v>22.295690587265945</v>
      </c>
      <c r="F28" s="64">
        <f t="shared" ref="F28:F39" si="12">F10*100/$F$6</f>
        <v>19.863420652054959</v>
      </c>
      <c r="G28" s="64">
        <f>SUM(G10*100/G6)</f>
        <v>19.266924615411686</v>
      </c>
      <c r="H28" s="64">
        <f t="shared" si="3"/>
        <v>23.022282116042437</v>
      </c>
      <c r="I28" s="64">
        <f t="shared" si="4"/>
        <v>23.853881072602828</v>
      </c>
      <c r="J28" s="64">
        <f t="shared" si="5"/>
        <v>18.390632387984983</v>
      </c>
      <c r="K28" s="64">
        <f t="shared" ref="K28:AK28" si="13">SUM(K10*100/K6)</f>
        <v>18.817511932066928</v>
      </c>
      <c r="L28" s="64">
        <f t="shared" si="13"/>
        <v>18.750822734784794</v>
      </c>
      <c r="M28" s="64">
        <f t="shared" si="13"/>
        <v>18.77536222031878</v>
      </c>
      <c r="N28" s="64">
        <f t="shared" si="13"/>
        <v>19.796815174782278</v>
      </c>
      <c r="O28" s="64">
        <f t="shared" si="13"/>
        <v>18.474731022458766</v>
      </c>
      <c r="P28" s="64">
        <f t="shared" si="13"/>
        <v>16.49826533390199</v>
      </c>
      <c r="Q28" s="64">
        <f t="shared" si="13"/>
        <v>21.387012037610372</v>
      </c>
      <c r="R28" s="64">
        <f t="shared" si="13"/>
        <v>20.997241319652453</v>
      </c>
      <c r="S28" s="64">
        <f t="shared" si="13"/>
        <v>23.929421029530179</v>
      </c>
      <c r="T28" s="64">
        <f t="shared" si="13"/>
        <v>21.929265774115077</v>
      </c>
      <c r="U28" s="64">
        <f t="shared" si="13"/>
        <v>21.335847704310599</v>
      </c>
      <c r="V28" s="64">
        <f t="shared" si="13"/>
        <v>18.54267712297241</v>
      </c>
      <c r="W28" s="64">
        <f t="shared" si="13"/>
        <v>17.141722680916185</v>
      </c>
      <c r="X28" s="64">
        <f t="shared" si="13"/>
        <v>19.523873222403758</v>
      </c>
      <c r="Y28" s="64">
        <f t="shared" si="13"/>
        <v>20.292457506121632</v>
      </c>
      <c r="Z28" s="64">
        <f t="shared" si="13"/>
        <v>19.479632000922312</v>
      </c>
      <c r="AA28" s="64">
        <f t="shared" si="13"/>
        <v>18.356960794301614</v>
      </c>
      <c r="AB28" s="64">
        <f t="shared" si="13"/>
        <v>19.435435162276235</v>
      </c>
      <c r="AC28" s="64">
        <f t="shared" si="13"/>
        <v>19.877404441265814</v>
      </c>
      <c r="AD28" s="64">
        <f t="shared" si="13"/>
        <v>20.737830821551434</v>
      </c>
      <c r="AE28" s="64">
        <f t="shared" si="13"/>
        <v>19.394304847767312</v>
      </c>
      <c r="AF28" s="64">
        <f t="shared" si="13"/>
        <v>19.602379317337334</v>
      </c>
      <c r="AG28" s="64">
        <f t="shared" si="13"/>
        <v>19.300379535805291</v>
      </c>
      <c r="AH28" s="64">
        <f t="shared" si="13"/>
        <v>20.359890456636151</v>
      </c>
      <c r="AI28" s="64">
        <f t="shared" si="13"/>
        <v>19.625380697261914</v>
      </c>
      <c r="AJ28" s="64">
        <f t="shared" si="13"/>
        <v>19.890999258122918</v>
      </c>
      <c r="AK28" s="64">
        <f t="shared" si="13"/>
        <v>17.528389578780317</v>
      </c>
      <c r="AL28" s="64">
        <f t="shared" ref="AL28:AO28" si="14">SUM(AL10*100/AL6)</f>
        <v>19.316228225087276</v>
      </c>
      <c r="AM28" s="64">
        <f t="shared" si="14"/>
        <v>18.058697787559929</v>
      </c>
      <c r="AN28" s="64">
        <f t="shared" si="14"/>
        <v>18.301982021307069</v>
      </c>
      <c r="AO28" s="64">
        <f t="shared" si="14"/>
        <v>20.16987743790926</v>
      </c>
      <c r="AP28" s="64">
        <f t="shared" ref="AP28:AS28" si="15">SUM(AP10*100/AP6)</f>
        <v>19.969834586817576</v>
      </c>
      <c r="AQ28" s="64">
        <f t="shared" si="15"/>
        <v>18.438638119949935</v>
      </c>
      <c r="AR28" s="64">
        <f t="shared" si="15"/>
        <v>20.032641108338318</v>
      </c>
      <c r="AS28" s="64">
        <f t="shared" si="15"/>
        <v>20.978174748895071</v>
      </c>
      <c r="AT28" s="51"/>
    </row>
    <row r="29" spans="1:46" s="56" customFormat="1" ht="21" customHeight="1">
      <c r="A29" s="69" t="s">
        <v>33</v>
      </c>
      <c r="B29" s="64">
        <f t="shared" si="0"/>
        <v>15.391416764149602</v>
      </c>
      <c r="C29" s="64">
        <f t="shared" si="1"/>
        <v>19.140617950303294</v>
      </c>
      <c r="D29" s="65" t="s">
        <v>125</v>
      </c>
      <c r="E29" s="64">
        <f t="shared" si="2"/>
        <v>16.754281980018177</v>
      </c>
      <c r="F29" s="64">
        <f t="shared" si="12"/>
        <v>18.662819734760678</v>
      </c>
      <c r="G29" s="64">
        <f>SUM(G11*100/G6)</f>
        <v>19.549032444062856</v>
      </c>
      <c r="H29" s="64">
        <f t="shared" si="3"/>
        <v>15.043265068827605</v>
      </c>
      <c r="I29" s="64">
        <f t="shared" si="4"/>
        <v>15.20057276975896</v>
      </c>
      <c r="J29" s="64">
        <f t="shared" si="5"/>
        <v>18.341012019768371</v>
      </c>
      <c r="K29" s="64">
        <f t="shared" ref="K29:AI29" si="16">SUM(K11*100/K6)</f>
        <v>19.291431763066022</v>
      </c>
      <c r="L29" s="64">
        <f t="shared" si="16"/>
        <v>20.353506502838254</v>
      </c>
      <c r="M29" s="64">
        <f t="shared" si="16"/>
        <v>19.250995907601528</v>
      </c>
      <c r="N29" s="64">
        <f t="shared" si="16"/>
        <v>20.515464622808238</v>
      </c>
      <c r="O29" s="64">
        <f t="shared" si="16"/>
        <v>20.344979468238858</v>
      </c>
      <c r="P29" s="64">
        <f t="shared" si="16"/>
        <v>20.861305216301869</v>
      </c>
      <c r="Q29" s="64">
        <f t="shared" si="16"/>
        <v>21.527128040203564</v>
      </c>
      <c r="R29" s="64">
        <f t="shared" si="16"/>
        <v>18.759473797508189</v>
      </c>
      <c r="S29" s="64">
        <f t="shared" si="16"/>
        <v>17.408249141098977</v>
      </c>
      <c r="T29" s="64">
        <f t="shared" si="16"/>
        <v>19.067495599126122</v>
      </c>
      <c r="U29" s="64">
        <f t="shared" si="16"/>
        <v>17.418319340463761</v>
      </c>
      <c r="V29" s="64">
        <f t="shared" si="16"/>
        <v>17.994680819486248</v>
      </c>
      <c r="W29" s="64">
        <f t="shared" si="16"/>
        <v>19.59593643653017</v>
      </c>
      <c r="X29" s="64">
        <f t="shared" si="16"/>
        <v>19.916531336535186</v>
      </c>
      <c r="Y29" s="64">
        <f t="shared" si="16"/>
        <v>18.41643877503212</v>
      </c>
      <c r="Z29" s="64">
        <f t="shared" si="16"/>
        <v>18.830268234533637</v>
      </c>
      <c r="AA29" s="64">
        <f t="shared" si="16"/>
        <v>19.958316784562815</v>
      </c>
      <c r="AB29" s="64">
        <f t="shared" si="16"/>
        <v>18.334543537861833</v>
      </c>
      <c r="AC29" s="64">
        <f t="shared" si="16"/>
        <v>18.665979145463048</v>
      </c>
      <c r="AD29" s="64">
        <f t="shared" si="16"/>
        <v>19.576587673538693</v>
      </c>
      <c r="AE29" s="64">
        <f t="shared" si="16"/>
        <v>17.950147195442703</v>
      </c>
      <c r="AF29" s="64">
        <f t="shared" si="16"/>
        <v>18.110407847985446</v>
      </c>
      <c r="AG29" s="64">
        <f t="shared" si="16"/>
        <v>19.578056428173557</v>
      </c>
      <c r="AH29" s="64">
        <f t="shared" si="16"/>
        <v>19.329570348540841</v>
      </c>
      <c r="AI29" s="64">
        <f t="shared" si="16"/>
        <v>17.533018201618148</v>
      </c>
      <c r="AJ29" s="64">
        <f>SUM(AJ11*100/AJ6)-0.04</f>
        <v>18.019212438138247</v>
      </c>
      <c r="AK29" s="64">
        <f>SUM(AK11*100/AK6)</f>
        <v>19.369691064562218</v>
      </c>
      <c r="AL29" s="64">
        <f t="shared" ref="AL29:AO29" si="17">SUM(AL11*100/AL6)</f>
        <v>19.390136576779803</v>
      </c>
      <c r="AM29" s="64">
        <f t="shared" si="17"/>
        <v>18.138596196172774</v>
      </c>
      <c r="AN29" s="64">
        <f t="shared" si="17"/>
        <v>19.798338929346038</v>
      </c>
      <c r="AO29" s="64">
        <f t="shared" si="17"/>
        <v>18.113717554407778</v>
      </c>
      <c r="AP29" s="64">
        <f t="shared" ref="AP29:AS29" si="18">SUM(AP11*100/AP6)</f>
        <v>18.299587927603007</v>
      </c>
      <c r="AQ29" s="64">
        <f t="shared" si="18"/>
        <v>18.239312013485655</v>
      </c>
      <c r="AR29" s="64">
        <f t="shared" si="18"/>
        <v>19.302569940020138</v>
      </c>
      <c r="AS29" s="64">
        <f t="shared" si="18"/>
        <v>21.238046646592217</v>
      </c>
      <c r="AT29" s="51"/>
    </row>
    <row r="30" spans="1:46" s="56" customFormat="1" ht="21" customHeight="1">
      <c r="A30" s="56" t="s">
        <v>32</v>
      </c>
      <c r="B30" s="64">
        <f t="shared" si="0"/>
        <v>16.936270758399022</v>
      </c>
      <c r="C30" s="64">
        <f t="shared" si="1"/>
        <v>13.793894022692713</v>
      </c>
      <c r="D30" s="65" t="s">
        <v>125</v>
      </c>
      <c r="E30" s="64">
        <f t="shared" si="2"/>
        <v>12.799918698820941</v>
      </c>
      <c r="F30" s="64">
        <f t="shared" si="12"/>
        <v>13.966545711409561</v>
      </c>
      <c r="G30" s="64">
        <f>SUM(G12*100/G6)</f>
        <v>15.082617740623455</v>
      </c>
      <c r="H30" s="64">
        <f t="shared" si="3"/>
        <v>14.72293654244082</v>
      </c>
      <c r="I30" s="64">
        <f t="shared" si="4"/>
        <v>13.892109570403889</v>
      </c>
      <c r="J30" s="64">
        <f t="shared" si="5"/>
        <v>15.486986390085159</v>
      </c>
      <c r="K30" s="64">
        <f t="shared" ref="K30:AK30" si="19">SUM(K12*100/K6)</f>
        <v>15.9714354836618</v>
      </c>
      <c r="L30" s="64">
        <f t="shared" si="19"/>
        <v>15.659366691815764</v>
      </c>
      <c r="M30" s="64">
        <f t="shared" si="19"/>
        <v>16.345257032535248</v>
      </c>
      <c r="N30" s="64">
        <f t="shared" si="19"/>
        <v>15.086530282748445</v>
      </c>
      <c r="O30" s="64">
        <f t="shared" si="19"/>
        <v>15.745773210066298</v>
      </c>
      <c r="P30" s="64">
        <f t="shared" si="19"/>
        <v>16.378351403823931</v>
      </c>
      <c r="Q30" s="64">
        <f t="shared" si="19"/>
        <v>15.459177689095229</v>
      </c>
      <c r="R30" s="64">
        <f t="shared" si="19"/>
        <v>15.300061795632942</v>
      </c>
      <c r="S30" s="64">
        <f t="shared" si="19"/>
        <v>16.812890472458591</v>
      </c>
      <c r="T30" s="64">
        <f t="shared" si="19"/>
        <v>14.976455138847509</v>
      </c>
      <c r="U30" s="64">
        <f t="shared" si="19"/>
        <v>16.052550517189665</v>
      </c>
      <c r="V30" s="64">
        <f t="shared" si="19"/>
        <v>15.355720196857172</v>
      </c>
      <c r="W30" s="64">
        <f t="shared" si="19"/>
        <v>15.502084011738658</v>
      </c>
      <c r="X30" s="64">
        <f t="shared" si="19"/>
        <v>14.803471526375802</v>
      </c>
      <c r="Y30" s="64">
        <f t="shared" si="19"/>
        <v>15.818350845438921</v>
      </c>
      <c r="Z30" s="64">
        <f t="shared" si="19"/>
        <v>15.979374078364115</v>
      </c>
      <c r="AA30" s="64">
        <f t="shared" si="19"/>
        <v>15.830005123351707</v>
      </c>
      <c r="AB30" s="64">
        <f t="shared" si="19"/>
        <v>15.696278326062927</v>
      </c>
      <c r="AC30" s="64">
        <f t="shared" si="19"/>
        <v>16.083547825540229</v>
      </c>
      <c r="AD30" s="64">
        <f t="shared" si="19"/>
        <v>15.186997296010757</v>
      </c>
      <c r="AE30" s="64">
        <f t="shared" si="19"/>
        <v>16.871710776275183</v>
      </c>
      <c r="AF30" s="64">
        <f t="shared" si="19"/>
        <v>16.144248072829367</v>
      </c>
      <c r="AG30" s="64">
        <f t="shared" si="19"/>
        <v>14.786575964429165</v>
      </c>
      <c r="AH30" s="64">
        <f t="shared" si="19"/>
        <v>17.321079661585756</v>
      </c>
      <c r="AI30" s="64">
        <f t="shared" si="19"/>
        <v>18.616444362112443</v>
      </c>
      <c r="AJ30" s="64">
        <f t="shared" si="19"/>
        <v>16.005497411732989</v>
      </c>
      <c r="AK30" s="64">
        <f t="shared" si="19"/>
        <v>16.275796892535261</v>
      </c>
      <c r="AL30" s="64">
        <f t="shared" ref="AL30:AO30" si="20">SUM(AL12*100/AL6)</f>
        <v>17.288212325278707</v>
      </c>
      <c r="AM30" s="64">
        <f t="shared" si="20"/>
        <v>18.654596595908558</v>
      </c>
      <c r="AN30" s="64">
        <f t="shared" si="20"/>
        <v>16.628293544156534</v>
      </c>
      <c r="AO30" s="64">
        <f t="shared" si="20"/>
        <v>16.876700052843184</v>
      </c>
      <c r="AP30" s="64">
        <f t="shared" ref="AP30:AS30" si="21">SUM(AP12*100/AP6)</f>
        <v>17.717944623389975</v>
      </c>
      <c r="AQ30" s="64">
        <f t="shared" si="21"/>
        <v>18.626138971562938</v>
      </c>
      <c r="AR30" s="64">
        <f t="shared" si="21"/>
        <v>18.452052595478889</v>
      </c>
      <c r="AS30" s="64">
        <f t="shared" si="21"/>
        <v>16.339293574505607</v>
      </c>
      <c r="AT30" s="51"/>
    </row>
    <row r="31" spans="1:46" s="56" customFormat="1" ht="21" customHeight="1">
      <c r="A31" s="66" t="s">
        <v>31</v>
      </c>
      <c r="B31" s="64">
        <f t="shared" si="0"/>
        <v>12.91544129705146</v>
      </c>
      <c r="C31" s="64">
        <f t="shared" si="1"/>
        <v>11.558444596694684</v>
      </c>
      <c r="D31" s="65" t="s">
        <v>125</v>
      </c>
      <c r="E31" s="64">
        <f t="shared" si="2"/>
        <v>10.624147350668579</v>
      </c>
      <c r="F31" s="64">
        <f t="shared" si="12"/>
        <v>11.126506476321923</v>
      </c>
      <c r="G31" s="64">
        <f>SUM(G13*100/G6)</f>
        <v>12.322700015926291</v>
      </c>
      <c r="H31" s="64">
        <f t="shared" si="3"/>
        <v>12.978436949783962</v>
      </c>
      <c r="I31" s="64">
        <f t="shared" si="4"/>
        <v>11.954626913538952</v>
      </c>
      <c r="J31" s="64">
        <f t="shared" si="5"/>
        <v>12.554247165590809</v>
      </c>
      <c r="K31" s="64">
        <f t="shared" ref="K31:AK31" si="22">SUM(K13*100/K6)</f>
        <v>13.659305670644098</v>
      </c>
      <c r="L31" s="64">
        <f t="shared" si="22"/>
        <v>12.838254922037795</v>
      </c>
      <c r="M31" s="64">
        <f t="shared" si="22"/>
        <v>13.099436672059749</v>
      </c>
      <c r="N31" s="64">
        <f t="shared" si="22"/>
        <v>12.213255130359826</v>
      </c>
      <c r="O31" s="64">
        <f t="shared" si="22"/>
        <v>12.790530155307287</v>
      </c>
      <c r="P31" s="64">
        <f t="shared" si="22"/>
        <v>13.540633239204878</v>
      </c>
      <c r="Q31" s="64">
        <f t="shared" si="22"/>
        <v>13.410674457152782</v>
      </c>
      <c r="R31" s="64">
        <f t="shared" si="22"/>
        <v>13.075468724598789</v>
      </c>
      <c r="S31" s="64">
        <f t="shared" si="22"/>
        <v>13.305673224887496</v>
      </c>
      <c r="T31" s="64">
        <f t="shared" si="22"/>
        <v>12.204908455378783</v>
      </c>
      <c r="U31" s="64">
        <f t="shared" si="22"/>
        <v>13.396242331516602</v>
      </c>
      <c r="V31" s="64">
        <f t="shared" si="22"/>
        <v>12.908808111750284</v>
      </c>
      <c r="W31" s="64">
        <f t="shared" si="22"/>
        <v>12.990725591861805</v>
      </c>
      <c r="X31" s="64">
        <f t="shared" si="22"/>
        <v>11.710411123890005</v>
      </c>
      <c r="Y31" s="64">
        <f t="shared" si="22"/>
        <v>13.242061603485817</v>
      </c>
      <c r="Z31" s="64">
        <f t="shared" si="22"/>
        <v>13.632204895453912</v>
      </c>
      <c r="AA31" s="64">
        <f t="shared" si="22"/>
        <v>13.391259689951095</v>
      </c>
      <c r="AB31" s="64">
        <f t="shared" si="22"/>
        <v>13.158142624504869</v>
      </c>
      <c r="AC31" s="64">
        <f t="shared" si="22"/>
        <v>13.547100032615916</v>
      </c>
      <c r="AD31" s="64">
        <f t="shared" si="22"/>
        <v>12.574629612362775</v>
      </c>
      <c r="AE31" s="64">
        <f t="shared" si="22"/>
        <v>14.193807741426264</v>
      </c>
      <c r="AF31" s="64">
        <f t="shared" si="22"/>
        <v>13.530114214677354</v>
      </c>
      <c r="AG31" s="64">
        <f t="shared" si="22"/>
        <v>11.446230143385632</v>
      </c>
      <c r="AH31" s="64">
        <f t="shared" si="22"/>
        <v>14.378544920508659</v>
      </c>
      <c r="AI31" s="64">
        <f t="shared" si="22"/>
        <v>15.138053009970591</v>
      </c>
      <c r="AJ31" s="64">
        <f t="shared" si="22"/>
        <v>12.208835223679115</v>
      </c>
      <c r="AK31" s="64">
        <f t="shared" si="22"/>
        <v>14.323685375663091</v>
      </c>
      <c r="AL31" s="64">
        <f t="shared" ref="AL31:AO31" si="23">SUM(AL13*100/AL6)</f>
        <v>13.992046192963731</v>
      </c>
      <c r="AM31" s="64">
        <f t="shared" si="23"/>
        <v>13.78547350409851</v>
      </c>
      <c r="AN31" s="64">
        <f t="shared" si="23"/>
        <v>13.273365382929011</v>
      </c>
      <c r="AO31" s="64">
        <f t="shared" si="23"/>
        <v>14.236148145983552</v>
      </c>
      <c r="AP31" s="64">
        <f t="shared" ref="AP31:AS31" si="24">SUM(AP13*100/AP6)</f>
        <v>15.050671662427799</v>
      </c>
      <c r="AQ31" s="64">
        <f t="shared" si="24"/>
        <v>16.114367246671897</v>
      </c>
      <c r="AR31" s="64">
        <f t="shared" si="24"/>
        <v>15.254440114997884</v>
      </c>
      <c r="AS31" s="64">
        <f t="shared" si="24"/>
        <v>14.288431055640212</v>
      </c>
      <c r="AT31" s="51"/>
    </row>
    <row r="32" spans="1:46" s="56" customFormat="1" ht="21" customHeight="1">
      <c r="A32" s="66" t="s">
        <v>30</v>
      </c>
      <c r="B32" s="64">
        <f t="shared" si="0"/>
        <v>4.0208294613475601</v>
      </c>
      <c r="C32" s="64">
        <f t="shared" si="1"/>
        <v>2.235449425998028</v>
      </c>
      <c r="D32" s="65" t="s">
        <v>125</v>
      </c>
      <c r="E32" s="64">
        <f t="shared" si="2"/>
        <v>2.17577134815236</v>
      </c>
      <c r="F32" s="64">
        <f t="shared" si="12"/>
        <v>2.8400392350876369</v>
      </c>
      <c r="G32" s="64">
        <f>SUM(G14*100/G6)</f>
        <v>2.7599177246971638</v>
      </c>
      <c r="H32" s="64">
        <f t="shared" si="3"/>
        <v>1.7306027531041588</v>
      </c>
      <c r="I32" s="64">
        <f t="shared" si="4"/>
        <v>1.8943244805828923</v>
      </c>
      <c r="J32" s="64">
        <f t="shared" si="5"/>
        <v>2.9327392244943509</v>
      </c>
      <c r="K32" s="64">
        <f t="shared" ref="K32:AK32" si="25">SUM(K14*100/K$6)</f>
        <v>2.2311639248886839</v>
      </c>
      <c r="L32" s="64">
        <f t="shared" si="25"/>
        <v>2.8211117697779695</v>
      </c>
      <c r="M32" s="64">
        <f t="shared" si="25"/>
        <v>3.2343090735226805</v>
      </c>
      <c r="N32" s="64">
        <f t="shared" si="25"/>
        <v>2.8732751523886191</v>
      </c>
      <c r="O32" s="64">
        <f t="shared" si="25"/>
        <v>2.8810075474295154</v>
      </c>
      <c r="P32" s="64">
        <f t="shared" si="25"/>
        <v>2.5242525005405767</v>
      </c>
      <c r="Q32" s="64">
        <f t="shared" si="25"/>
        <v>2.0167702761312709</v>
      </c>
      <c r="R32" s="64">
        <f t="shared" si="25"/>
        <v>2.2245930710341546</v>
      </c>
      <c r="S32" s="64">
        <f t="shared" si="25"/>
        <v>3.5072172475710954</v>
      </c>
      <c r="T32" s="64">
        <f t="shared" si="25"/>
        <v>2.7715466834687263</v>
      </c>
      <c r="U32" s="64">
        <f t="shared" si="25"/>
        <v>2.6563081856730646</v>
      </c>
      <c r="V32" s="64">
        <f t="shared" si="25"/>
        <v>2.4469120851068884</v>
      </c>
      <c r="W32" s="64">
        <f t="shared" si="25"/>
        <v>2.5113584198768519</v>
      </c>
      <c r="X32" s="64">
        <f t="shared" si="25"/>
        <v>3.0930604024857966</v>
      </c>
      <c r="Y32" s="64">
        <f t="shared" si="25"/>
        <v>2.5762892419531034</v>
      </c>
      <c r="Z32" s="64">
        <f t="shared" si="25"/>
        <v>2.3471691829102039</v>
      </c>
      <c r="AA32" s="64">
        <f t="shared" si="25"/>
        <v>2.4387454334006113</v>
      </c>
      <c r="AB32" s="64">
        <f t="shared" si="25"/>
        <v>2.5381357015580566</v>
      </c>
      <c r="AC32" s="64">
        <f t="shared" si="25"/>
        <v>2.5364477929243114</v>
      </c>
      <c r="AD32" s="64">
        <f t="shared" si="25"/>
        <v>2.6123676836479808</v>
      </c>
      <c r="AE32" s="64">
        <f t="shared" si="25"/>
        <v>2.6779030348489195</v>
      </c>
      <c r="AF32" s="64">
        <f t="shared" si="25"/>
        <v>2.6141338581520124</v>
      </c>
      <c r="AG32" s="64">
        <f t="shared" si="25"/>
        <v>3.3403458210435324</v>
      </c>
      <c r="AH32" s="64">
        <f t="shared" si="25"/>
        <v>2.9009520958142421</v>
      </c>
      <c r="AI32" s="64">
        <f t="shared" si="25"/>
        <v>3.4783913521418515</v>
      </c>
      <c r="AJ32" s="64">
        <f t="shared" si="25"/>
        <v>3.7966621880538742</v>
      </c>
      <c r="AK32" s="64">
        <f t="shared" si="25"/>
        <v>1.9521115168721697</v>
      </c>
      <c r="AL32" s="64">
        <f t="shared" ref="AL32:AO32" si="26">SUM(AL14*100/AL$6)</f>
        <v>3.2746034316891692</v>
      </c>
      <c r="AM32" s="64">
        <f t="shared" si="26"/>
        <v>4.8691230918100477</v>
      </c>
      <c r="AN32" s="64">
        <f t="shared" si="26"/>
        <v>3.3549281612275244</v>
      </c>
      <c r="AO32" s="64">
        <f t="shared" si="26"/>
        <v>2.6405519068596295</v>
      </c>
      <c r="AP32" s="64">
        <f t="shared" ref="AP32:AS32" si="27">SUM(AP14*100/AP$6)</f>
        <v>2.6672729609621775</v>
      </c>
      <c r="AQ32" s="64">
        <f t="shared" si="27"/>
        <v>2.5117717248910423</v>
      </c>
      <c r="AR32" s="64">
        <f t="shared" si="27"/>
        <v>3.1976124804810064</v>
      </c>
      <c r="AS32" s="64">
        <f t="shared" si="27"/>
        <v>2.0508625188653964</v>
      </c>
      <c r="AT32" s="51"/>
    </row>
    <row r="33" spans="1:46" s="56" customFormat="1" ht="21" customHeight="1">
      <c r="A33" s="67" t="s">
        <v>29</v>
      </c>
      <c r="B33" s="65" t="s">
        <v>125</v>
      </c>
      <c r="C33" s="65" t="s">
        <v>125</v>
      </c>
      <c r="D33" s="65" t="s">
        <v>125</v>
      </c>
      <c r="E33" s="64">
        <f t="shared" si="2"/>
        <v>0</v>
      </c>
      <c r="F33" s="64">
        <f t="shared" si="12"/>
        <v>0</v>
      </c>
      <c r="G33" s="65">
        <f>SUM(G15*100/G6)</f>
        <v>0</v>
      </c>
      <c r="H33" s="65">
        <f t="shared" si="3"/>
        <v>0</v>
      </c>
      <c r="I33" s="64">
        <f t="shared" si="4"/>
        <v>4.3220815144573627E-2</v>
      </c>
      <c r="J33" s="68">
        <f>0*100/$I$6</f>
        <v>0</v>
      </c>
      <c r="K33" s="64">
        <f t="shared" ref="K33:AG33" si="28">SUM(K15*100/K$6)</f>
        <v>8.0965888129018809E-2</v>
      </c>
      <c r="L33" s="64">
        <f t="shared" si="28"/>
        <v>0</v>
      </c>
      <c r="M33" s="64">
        <f t="shared" si="28"/>
        <v>1.1511286952817319E-2</v>
      </c>
      <c r="N33" s="64">
        <f t="shared" si="28"/>
        <v>0</v>
      </c>
      <c r="O33" s="64">
        <f t="shared" si="28"/>
        <v>7.4235507329494618E-2</v>
      </c>
      <c r="P33" s="64">
        <f t="shared" si="28"/>
        <v>0.31346566407847842</v>
      </c>
      <c r="Q33" s="64">
        <f t="shared" si="28"/>
        <v>3.1732955811177091E-2</v>
      </c>
      <c r="R33" s="64">
        <f t="shared" si="28"/>
        <v>0</v>
      </c>
      <c r="S33" s="64">
        <f t="shared" si="28"/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51"/>
    </row>
    <row r="34" spans="1:46" s="56" customFormat="1" ht="21" customHeight="1">
      <c r="A34" s="56" t="s">
        <v>28</v>
      </c>
      <c r="B34" s="64">
        <f>B16*100/$B$6+0.1</f>
        <v>12.839152062447386</v>
      </c>
      <c r="C34" s="64">
        <f>C16*100/$C$6+0.03</f>
        <v>12.479910599401768</v>
      </c>
      <c r="D34" s="65" t="s">
        <v>125</v>
      </c>
      <c r="E34" s="64">
        <f t="shared" si="2"/>
        <v>12.956796527719264</v>
      </c>
      <c r="F34" s="64">
        <f t="shared" si="12"/>
        <v>12.340904342540947</v>
      </c>
      <c r="G34" s="64">
        <f>SUM(G16*100/G6)</f>
        <v>11.889710218226261</v>
      </c>
      <c r="H34" s="64">
        <f t="shared" si="3"/>
        <v>13.917557318088457</v>
      </c>
      <c r="I34" s="64">
        <v>13.5</v>
      </c>
      <c r="J34" s="64">
        <f t="shared" ref="J34:J39" si="29">J16*100/$J$6</f>
        <v>13.465426191074833</v>
      </c>
      <c r="K34" s="64">
        <f t="shared" ref="K34:AK34" si="30">K16*100/K$6</f>
        <v>10.724641479008373</v>
      </c>
      <c r="L34" s="64">
        <f t="shared" si="30"/>
        <v>11.136307214198462</v>
      </c>
      <c r="M34" s="64">
        <f t="shared" si="30"/>
        <v>12.30234803061821</v>
      </c>
      <c r="N34" s="64">
        <f t="shared" si="30"/>
        <v>11.929845365173984</v>
      </c>
      <c r="O34" s="64">
        <f t="shared" si="30"/>
        <v>12.272487440067904</v>
      </c>
      <c r="P34" s="64">
        <f t="shared" si="30"/>
        <v>11.967566311898336</v>
      </c>
      <c r="Q34" s="64">
        <f t="shared" si="30"/>
        <v>10.967009546255102</v>
      </c>
      <c r="R34" s="64">
        <f t="shared" si="30"/>
        <v>11.554838777033103</v>
      </c>
      <c r="S34" s="64">
        <f t="shared" si="30"/>
        <v>13.449765482061652</v>
      </c>
      <c r="T34" s="64">
        <f t="shared" si="30"/>
        <v>10.80064425521747</v>
      </c>
      <c r="U34" s="64">
        <f t="shared" si="30"/>
        <v>10.962403361282027</v>
      </c>
      <c r="V34" s="64">
        <f t="shared" si="30"/>
        <v>11.379395299411684</v>
      </c>
      <c r="W34" s="64">
        <f t="shared" si="30"/>
        <v>10.853348822798965</v>
      </c>
      <c r="X34" s="64">
        <f t="shared" si="30"/>
        <v>9.3632510822297128</v>
      </c>
      <c r="Y34" s="64">
        <f t="shared" si="30"/>
        <v>10.264962555082374</v>
      </c>
      <c r="Z34" s="64">
        <f t="shared" si="30"/>
        <v>10.853046220609269</v>
      </c>
      <c r="AA34" s="64">
        <f t="shared" si="30"/>
        <v>10.955550371504518</v>
      </c>
      <c r="AB34" s="64">
        <f t="shared" si="30"/>
        <v>11.714975691016296</v>
      </c>
      <c r="AC34" s="64">
        <f t="shared" si="30"/>
        <v>11.193535172137365</v>
      </c>
      <c r="AD34" s="64">
        <f t="shared" si="30"/>
        <v>11.525815490766686</v>
      </c>
      <c r="AE34" s="64">
        <f t="shared" si="30"/>
        <v>12.03551319856555</v>
      </c>
      <c r="AF34" s="64">
        <f t="shared" si="30"/>
        <v>12.237153910131006</v>
      </c>
      <c r="AG34" s="64">
        <f t="shared" si="30"/>
        <v>12.155082030443138</v>
      </c>
      <c r="AH34" s="64">
        <f t="shared" si="30"/>
        <v>10.080758389176379</v>
      </c>
      <c r="AI34" s="64">
        <f t="shared" si="30"/>
        <v>10.823215213520392</v>
      </c>
      <c r="AJ34" s="64">
        <f t="shared" si="30"/>
        <v>10.964249729793618</v>
      </c>
      <c r="AK34" s="64">
        <f t="shared" si="30"/>
        <v>11.283438879481155</v>
      </c>
      <c r="AL34" s="64">
        <f t="shared" ref="AL34:AO34" si="31">AL16*100/AL$6</f>
        <v>11.961591073627353</v>
      </c>
      <c r="AM34" s="64">
        <f t="shared" si="31"/>
        <v>11.654296794070261</v>
      </c>
      <c r="AN34" s="64">
        <f t="shared" si="31"/>
        <v>11.460637263403635</v>
      </c>
      <c r="AO34" s="64">
        <f t="shared" si="31"/>
        <v>12.081948330569416</v>
      </c>
      <c r="AP34" s="64">
        <f t="shared" ref="AP34:AS34" si="32">AP16*100/AP$6</f>
        <v>12.345034683409217</v>
      </c>
      <c r="AQ34" s="64">
        <f t="shared" si="32"/>
        <v>12.835754509655832</v>
      </c>
      <c r="AR34" s="64">
        <f t="shared" si="32"/>
        <v>11.645432920333318</v>
      </c>
      <c r="AS34" s="64">
        <f t="shared" si="32"/>
        <v>10.913014655062979</v>
      </c>
      <c r="AT34" s="51"/>
    </row>
    <row r="35" spans="1:46" s="56" customFormat="1" ht="21" customHeight="1">
      <c r="A35" s="67" t="s">
        <v>27</v>
      </c>
      <c r="B35" s="64">
        <f>B17*100/$B$6</f>
        <v>5.4808869671692051</v>
      </c>
      <c r="C35" s="64">
        <f>C17*100/$C$6</f>
        <v>6.4633791755092496</v>
      </c>
      <c r="D35" s="65" t="s">
        <v>125</v>
      </c>
      <c r="E35" s="64">
        <f t="shared" si="2"/>
        <v>6.3855515455264094</v>
      </c>
      <c r="F35" s="64">
        <f t="shared" si="12"/>
        <v>5.8031222555562687</v>
      </c>
      <c r="G35" s="64">
        <f>SUM(G17*100/G6)</f>
        <v>5.2593553416911014</v>
      </c>
      <c r="H35" s="64">
        <f t="shared" si="3"/>
        <v>5.9258546237590055</v>
      </c>
      <c r="I35" s="64">
        <f>I17*100/$I$6</f>
        <v>6.6891414905418447</v>
      </c>
      <c r="J35" s="64">
        <f t="shared" si="29"/>
        <v>8.1004620298748549</v>
      </c>
      <c r="K35" s="64">
        <f t="shared" ref="K35:AK35" si="33">SUM(K17*100/K6)</f>
        <v>6.8541991529383992</v>
      </c>
      <c r="L35" s="64">
        <f t="shared" si="33"/>
        <v>5.8304784615937342</v>
      </c>
      <c r="M35" s="64">
        <f t="shared" si="33"/>
        <v>6.8574639819082455</v>
      </c>
      <c r="N35" s="64">
        <f t="shared" si="33"/>
        <v>6.5301915319132435</v>
      </c>
      <c r="O35" s="64">
        <f t="shared" si="33"/>
        <v>5.8401504897800001</v>
      </c>
      <c r="P35" s="64">
        <f t="shared" si="33"/>
        <v>6.2096317696624181</v>
      </c>
      <c r="Q35" s="64">
        <f t="shared" si="33"/>
        <v>6.7280685722806721</v>
      </c>
      <c r="R35" s="64">
        <f t="shared" si="33"/>
        <v>6.50022446281797</v>
      </c>
      <c r="S35" s="64">
        <f t="shared" si="33"/>
        <v>7.8220019428759704</v>
      </c>
      <c r="T35" s="64">
        <f t="shared" si="33"/>
        <v>5.8833648206708959</v>
      </c>
      <c r="U35" s="64">
        <f t="shared" si="33"/>
        <v>5.8896892338326134</v>
      </c>
      <c r="V35" s="64">
        <f t="shared" si="33"/>
        <v>6.7017617806590009</v>
      </c>
      <c r="W35" s="64">
        <f t="shared" si="33"/>
        <v>6.4217150317160154</v>
      </c>
      <c r="X35" s="64">
        <f t="shared" si="33"/>
        <v>5.4825239028387243</v>
      </c>
      <c r="Y35" s="64">
        <f t="shared" si="33"/>
        <v>5.767479021229061</v>
      </c>
      <c r="Z35" s="64">
        <f t="shared" si="33"/>
        <v>5.9982391304240723</v>
      </c>
      <c r="AA35" s="64">
        <f t="shared" si="33"/>
        <v>5.8300513860856462</v>
      </c>
      <c r="AB35" s="64">
        <f t="shared" si="33"/>
        <v>6.9722546189035777</v>
      </c>
      <c r="AC35" s="64">
        <f t="shared" si="33"/>
        <v>6.947935373334329</v>
      </c>
      <c r="AD35" s="64">
        <f t="shared" si="33"/>
        <v>7.0436711438708759</v>
      </c>
      <c r="AE35" s="64">
        <f t="shared" si="33"/>
        <v>6.5417527655829844</v>
      </c>
      <c r="AF35" s="64">
        <f t="shared" si="33"/>
        <v>6.8325044058710986</v>
      </c>
      <c r="AG35" s="64">
        <f t="shared" si="33"/>
        <v>6.0227936850410817</v>
      </c>
      <c r="AH35" s="64">
        <f t="shared" si="33"/>
        <v>5.5805866773118238</v>
      </c>
      <c r="AI35" s="64">
        <f t="shared" si="33"/>
        <v>6.0979502101013869</v>
      </c>
      <c r="AJ35" s="64">
        <f t="shared" si="33"/>
        <v>6.5979197161038119</v>
      </c>
      <c r="AK35" s="64">
        <f t="shared" si="33"/>
        <v>6.5924158100042423</v>
      </c>
      <c r="AL35" s="64">
        <f t="shared" ref="AL35:AO35" si="34">SUM(AL17*100/AL6)</f>
        <v>5.8843244044889449</v>
      </c>
      <c r="AM35" s="64">
        <f t="shared" si="34"/>
        <v>6.4282876440206591</v>
      </c>
      <c r="AN35" s="64">
        <f t="shared" si="34"/>
        <v>5.7115380493137655</v>
      </c>
      <c r="AO35" s="64">
        <f t="shared" si="34"/>
        <v>6.6052516869638058</v>
      </c>
      <c r="AP35" s="64">
        <f t="shared" ref="AP35:AS35" si="35">SUM(AP17*100/AP6)</f>
        <v>5.9218367211812222</v>
      </c>
      <c r="AQ35" s="64">
        <f t="shared" si="35"/>
        <v>6.1943410072586627</v>
      </c>
      <c r="AR35" s="64">
        <f t="shared" si="35"/>
        <v>5.991662166960972</v>
      </c>
      <c r="AS35" s="64">
        <f t="shared" si="35"/>
        <v>5.3682053566781924</v>
      </c>
      <c r="AT35" s="51"/>
    </row>
    <row r="36" spans="1:46" s="56" customFormat="1" ht="21" customHeight="1">
      <c r="A36" s="67" t="s">
        <v>26</v>
      </c>
      <c r="B36" s="64">
        <f>B18*100/$B$6</f>
        <v>4.8746023242847301</v>
      </c>
      <c r="C36" s="64">
        <f>C18*100/$C$6</f>
        <v>3.9352305198603013</v>
      </c>
      <c r="D36" s="65" t="s">
        <v>125</v>
      </c>
      <c r="E36" s="64">
        <f t="shared" si="2"/>
        <v>4.6717947299598057</v>
      </c>
      <c r="F36" s="64">
        <f t="shared" si="12"/>
        <v>4.3722670880202745</v>
      </c>
      <c r="G36" s="64">
        <f>SUM(G18*100/G6)</f>
        <v>4.7109680702705798</v>
      </c>
      <c r="H36" s="64">
        <f t="shared" si="3"/>
        <v>5.3954798298210873</v>
      </c>
      <c r="I36" s="64">
        <f>I18*100/$I$6</f>
        <v>4.7837925701539596</v>
      </c>
      <c r="J36" s="64">
        <f t="shared" si="29"/>
        <v>3.1489834580845368</v>
      </c>
      <c r="K36" s="64">
        <f t="shared" ref="K36:AK36" si="36">SUM(K18*100/K6)</f>
        <v>2.0863929494710001</v>
      </c>
      <c r="L36" s="64">
        <f t="shared" si="36"/>
        <v>3.3827737658978223</v>
      </c>
      <c r="M36" s="64">
        <f t="shared" si="36"/>
        <v>4.037515918659615</v>
      </c>
      <c r="N36" s="64">
        <f t="shared" si="36"/>
        <v>3.9945087647685265</v>
      </c>
      <c r="O36" s="64">
        <f t="shared" si="36"/>
        <v>4.7550641187401066</v>
      </c>
      <c r="P36" s="64">
        <f t="shared" si="36"/>
        <v>3.7699433806087423</v>
      </c>
      <c r="Q36" s="64">
        <f t="shared" si="36"/>
        <v>3.069549728451368</v>
      </c>
      <c r="R36" s="64">
        <f t="shared" si="36"/>
        <v>3.7324960016783755</v>
      </c>
      <c r="S36" s="64">
        <f t="shared" si="36"/>
        <v>3.827622962176723</v>
      </c>
      <c r="T36" s="64">
        <f t="shared" si="36"/>
        <v>3.3802578111483519</v>
      </c>
      <c r="U36" s="64">
        <f t="shared" si="36"/>
        <v>3.6582615911797634</v>
      </c>
      <c r="V36" s="64">
        <f t="shared" si="36"/>
        <v>3.5030306268440516</v>
      </c>
      <c r="W36" s="64">
        <f t="shared" si="36"/>
        <v>3.5424389781103409</v>
      </c>
      <c r="X36" s="64">
        <f t="shared" si="36"/>
        <v>2.7624188636217797</v>
      </c>
      <c r="Y36" s="64">
        <f t="shared" si="36"/>
        <v>2.9642762909680935</v>
      </c>
      <c r="Z36" s="64">
        <f t="shared" si="36"/>
        <v>3.1211339330012282</v>
      </c>
      <c r="AA36" s="64">
        <f t="shared" si="36"/>
        <v>3.3726522277721092</v>
      </c>
      <c r="AB36" s="64">
        <f t="shared" si="36"/>
        <v>3.0322379212278792</v>
      </c>
      <c r="AC36" s="64">
        <f t="shared" si="36"/>
        <v>2.5832393497251225</v>
      </c>
      <c r="AD36" s="64">
        <f t="shared" si="36"/>
        <v>2.71964391749643</v>
      </c>
      <c r="AE36" s="64">
        <f t="shared" si="36"/>
        <v>3.6308862856988782</v>
      </c>
      <c r="AF36" s="64">
        <f t="shared" si="36"/>
        <v>3.8841219165024974</v>
      </c>
      <c r="AG36" s="64">
        <f t="shared" si="36"/>
        <v>4.7648532419132055</v>
      </c>
      <c r="AH36" s="64">
        <f t="shared" si="36"/>
        <v>3.1925687410046955</v>
      </c>
      <c r="AI36" s="64">
        <f t="shared" si="36"/>
        <v>3.5896373117775551</v>
      </c>
      <c r="AJ36" s="64">
        <f t="shared" si="36"/>
        <v>3.3592037934875987</v>
      </c>
      <c r="AK36" s="64">
        <f t="shared" si="36"/>
        <v>3.3597894316519334</v>
      </c>
      <c r="AL36" s="64">
        <f t="shared" ref="AL36:AO36" si="37">SUM(AL18*100/AL6)</f>
        <v>3.8623089847187777</v>
      </c>
      <c r="AM36" s="64">
        <f t="shared" si="37"/>
        <v>3.6684532906298521</v>
      </c>
      <c r="AN36" s="64">
        <f t="shared" si="37"/>
        <v>4.1777661288908199</v>
      </c>
      <c r="AO36" s="64">
        <f t="shared" si="37"/>
        <v>3.6979025883418686</v>
      </c>
      <c r="AP36" s="64">
        <f t="shared" ref="AP36:AS36" si="38">SUM(AP18*100/AP6)</f>
        <v>4.2865947941780167</v>
      </c>
      <c r="AQ36" s="64">
        <f t="shared" si="38"/>
        <v>4.2268229871275045</v>
      </c>
      <c r="AR36" s="64">
        <f t="shared" si="38"/>
        <v>3.5071922322918341</v>
      </c>
      <c r="AS36" s="64">
        <f t="shared" si="38"/>
        <v>3.4891316348680674</v>
      </c>
      <c r="AT36" s="51"/>
    </row>
    <row r="37" spans="1:46" s="56" customFormat="1" ht="21" customHeight="1">
      <c r="A37" s="67" t="s">
        <v>25</v>
      </c>
      <c r="B37" s="64">
        <f>B19*100/$B$6</f>
        <v>2.3836627709934515</v>
      </c>
      <c r="C37" s="64">
        <f>C19*100/$C$6</f>
        <v>2.0513009040322174</v>
      </c>
      <c r="D37" s="65" t="s">
        <v>125</v>
      </c>
      <c r="E37" s="64">
        <f t="shared" si="2"/>
        <v>1.8994502522330488</v>
      </c>
      <c r="F37" s="64">
        <f t="shared" si="12"/>
        <v>2.1655149989644036</v>
      </c>
      <c r="G37" s="64">
        <f>SUM(G19*100/G$6)</f>
        <v>1.9193868062645811</v>
      </c>
      <c r="H37" s="64">
        <f t="shared" si="3"/>
        <v>2.5960953705675136</v>
      </c>
      <c r="I37" s="64">
        <f>I19*100/$I$6</f>
        <v>2.0780442643785944</v>
      </c>
      <c r="J37" s="64">
        <f t="shared" si="29"/>
        <v>2.215980703115441</v>
      </c>
      <c r="K37" s="64">
        <f t="shared" ref="K37:AK37" si="39">SUM(K19*100/K6)</f>
        <v>1.7840493765989729</v>
      </c>
      <c r="L37" s="64">
        <f t="shared" si="39"/>
        <v>1.9230549867069053</v>
      </c>
      <c r="M37" s="64">
        <f t="shared" si="39"/>
        <v>1.4073681300503504</v>
      </c>
      <c r="N37" s="64">
        <f t="shared" si="39"/>
        <v>1.4051450684922135</v>
      </c>
      <c r="O37" s="64">
        <f t="shared" si="39"/>
        <v>1.6772728315477965</v>
      </c>
      <c r="P37" s="64">
        <f t="shared" si="39"/>
        <v>1.987991161627175</v>
      </c>
      <c r="Q37" s="64">
        <f t="shared" si="39"/>
        <v>1.169391245523062</v>
      </c>
      <c r="R37" s="64">
        <f t="shared" si="39"/>
        <v>1.3221183125367579</v>
      </c>
      <c r="S37" s="64">
        <f t="shared" si="39"/>
        <v>1.8001405770089582</v>
      </c>
      <c r="T37" s="64">
        <f t="shared" si="39"/>
        <v>1.5370216233982232</v>
      </c>
      <c r="U37" s="64">
        <f t="shared" si="39"/>
        <v>1.414452536269651</v>
      </c>
      <c r="V37" s="64">
        <f t="shared" si="39"/>
        <v>1.174602891908632</v>
      </c>
      <c r="W37" s="64">
        <f t="shared" si="39"/>
        <v>0.88919481297260861</v>
      </c>
      <c r="X37" s="64">
        <f t="shared" si="39"/>
        <v>1.11830831576921</v>
      </c>
      <c r="Y37" s="64">
        <f t="shared" si="39"/>
        <v>1.533207242885219</v>
      </c>
      <c r="Z37" s="64">
        <f t="shared" si="39"/>
        <v>1.7336731571839685</v>
      </c>
      <c r="AA37" s="64">
        <f t="shared" si="39"/>
        <v>1.7528467576467626</v>
      </c>
      <c r="AB37" s="64">
        <f t="shared" si="39"/>
        <v>1.710483150884839</v>
      </c>
      <c r="AC37" s="64">
        <f t="shared" si="39"/>
        <v>1.6623604490779127</v>
      </c>
      <c r="AD37" s="64">
        <f t="shared" si="39"/>
        <v>1.7625495036143159</v>
      </c>
      <c r="AE37" s="64">
        <f t="shared" si="39"/>
        <v>1.8628741472836865</v>
      </c>
      <c r="AF37" s="64">
        <f t="shared" si="39"/>
        <v>1.5205275877574091</v>
      </c>
      <c r="AG37" s="64">
        <f t="shared" si="39"/>
        <v>1.3674351034888512</v>
      </c>
      <c r="AH37" s="64">
        <f t="shared" si="39"/>
        <v>1.3076029708598607</v>
      </c>
      <c r="AI37" s="64">
        <f t="shared" si="39"/>
        <v>1.1356276916414498</v>
      </c>
      <c r="AJ37" s="64">
        <f t="shared" si="39"/>
        <v>1.0071262202022067</v>
      </c>
      <c r="AK37" s="64">
        <f t="shared" si="39"/>
        <v>1.3312336378249796</v>
      </c>
      <c r="AL37" s="64">
        <f t="shared" ref="AL37:AO37" si="40">SUM(AL19*100/AL6)</f>
        <v>2.2149576844196317</v>
      </c>
      <c r="AM37" s="64">
        <f t="shared" si="40"/>
        <v>1.5575558594197494</v>
      </c>
      <c r="AN37" s="64">
        <f t="shared" si="40"/>
        <v>1.5713330851990499</v>
      </c>
      <c r="AO37" s="64">
        <f t="shared" si="40"/>
        <v>1.7787940552637411</v>
      </c>
      <c r="AP37" s="64">
        <f t="shared" ref="AP37:AS37" si="41">SUM(AP19*100/AP6)</f>
        <v>2.1366031680499784</v>
      </c>
      <c r="AQ37" s="64">
        <f t="shared" si="41"/>
        <v>2.4145905152696643</v>
      </c>
      <c r="AR37" s="64">
        <f t="shared" si="41"/>
        <v>2.1465785210805133</v>
      </c>
      <c r="AS37" s="64">
        <f t="shared" si="41"/>
        <v>2.0556776635167191</v>
      </c>
      <c r="AT37" s="51"/>
    </row>
    <row r="38" spans="1:46" s="56" customFormat="1" ht="21" customHeight="1">
      <c r="A38" s="66" t="s">
        <v>24</v>
      </c>
      <c r="B38" s="64">
        <f>B20*100/$B$6</f>
        <v>0</v>
      </c>
      <c r="C38" s="65" t="s">
        <v>125</v>
      </c>
      <c r="D38" s="65" t="s">
        <v>125</v>
      </c>
      <c r="E38" s="64">
        <f t="shared" si="2"/>
        <v>0</v>
      </c>
      <c r="F38" s="64">
        <f t="shared" si="12"/>
        <v>0</v>
      </c>
      <c r="G38" s="64">
        <f>SUM(G20*100/G$6)</f>
        <v>0</v>
      </c>
      <c r="H38" s="65">
        <f t="shared" si="3"/>
        <v>0</v>
      </c>
      <c r="I38" s="65">
        <f>I20*100/$I$6</f>
        <v>0</v>
      </c>
      <c r="J38" s="65">
        <f t="shared" si="29"/>
        <v>0</v>
      </c>
      <c r="K38" s="65">
        <f t="shared" ref="K38:AI38" si="42">SUM(K20*100/K6)</f>
        <v>0</v>
      </c>
      <c r="L38" s="65">
        <f t="shared" si="42"/>
        <v>0</v>
      </c>
      <c r="M38" s="65">
        <f t="shared" si="42"/>
        <v>0</v>
      </c>
      <c r="N38" s="65">
        <f t="shared" si="42"/>
        <v>0</v>
      </c>
      <c r="O38" s="65">
        <f t="shared" si="42"/>
        <v>0</v>
      </c>
      <c r="P38" s="65">
        <f t="shared" si="42"/>
        <v>0</v>
      </c>
      <c r="Q38" s="65">
        <f t="shared" si="42"/>
        <v>0</v>
      </c>
      <c r="R38" s="65">
        <f t="shared" si="42"/>
        <v>0</v>
      </c>
      <c r="S38" s="65">
        <f t="shared" si="42"/>
        <v>0</v>
      </c>
      <c r="T38" s="65">
        <f t="shared" si="42"/>
        <v>0</v>
      </c>
      <c r="U38" s="65">
        <f t="shared" si="42"/>
        <v>0</v>
      </c>
      <c r="V38" s="65">
        <f t="shared" si="42"/>
        <v>4.4128618101440413E-2</v>
      </c>
      <c r="W38" s="65">
        <f t="shared" si="42"/>
        <v>0</v>
      </c>
      <c r="X38" s="65">
        <f t="shared" si="42"/>
        <v>0</v>
      </c>
      <c r="Y38" s="65">
        <f t="shared" si="42"/>
        <v>0</v>
      </c>
      <c r="Z38" s="65">
        <f t="shared" si="42"/>
        <v>0</v>
      </c>
      <c r="AA38" s="65">
        <f t="shared" si="42"/>
        <v>0</v>
      </c>
      <c r="AB38" s="65">
        <f t="shared" si="42"/>
        <v>0</v>
      </c>
      <c r="AC38" s="65">
        <f t="shared" si="42"/>
        <v>0</v>
      </c>
      <c r="AD38" s="65">
        <f t="shared" si="42"/>
        <v>0</v>
      </c>
      <c r="AE38" s="65">
        <f t="shared" si="42"/>
        <v>0</v>
      </c>
      <c r="AF38" s="65">
        <f t="shared" si="42"/>
        <v>0</v>
      </c>
      <c r="AG38" s="65">
        <f t="shared" si="42"/>
        <v>0</v>
      </c>
      <c r="AH38" s="65">
        <f t="shared" si="42"/>
        <v>0</v>
      </c>
      <c r="AI38" s="65">
        <f t="shared" si="42"/>
        <v>0</v>
      </c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51"/>
    </row>
    <row r="39" spans="1:46" s="56" customFormat="1" ht="21" customHeight="1">
      <c r="A39" s="66" t="s">
        <v>23</v>
      </c>
      <c r="B39" s="64">
        <f>B21*100/$B$6</f>
        <v>2.343690211984388E-2</v>
      </c>
      <c r="C39" s="65" t="s">
        <v>125</v>
      </c>
      <c r="D39" s="65" t="s">
        <v>125</v>
      </c>
      <c r="E39" s="64">
        <f t="shared" si="2"/>
        <v>0</v>
      </c>
      <c r="F39" s="64">
        <f t="shared" si="12"/>
        <v>3.676503175075499E-2</v>
      </c>
      <c r="G39" s="64">
        <f>SUM(G21*100/G$6)</f>
        <v>3.3469120368010086E-2</v>
      </c>
      <c r="H39" s="64">
        <f t="shared" si="3"/>
        <v>0</v>
      </c>
      <c r="I39" s="64">
        <f>I21*100/$I$6</f>
        <v>0</v>
      </c>
      <c r="J39" s="64">
        <f t="shared" si="29"/>
        <v>0</v>
      </c>
      <c r="K39" s="64">
        <f t="shared" ref="K39:AI39" si="43">SUM(K21*100/K6)</f>
        <v>0.14274655990226282</v>
      </c>
      <c r="L39" s="64">
        <f t="shared" si="43"/>
        <v>5.7337249407199829E-2</v>
      </c>
      <c r="M39" s="64">
        <f t="shared" si="43"/>
        <v>0</v>
      </c>
      <c r="N39" s="64">
        <f t="shared" si="43"/>
        <v>0</v>
      </c>
      <c r="O39" s="64">
        <f t="shared" si="43"/>
        <v>0</v>
      </c>
      <c r="P39" s="64">
        <f t="shared" si="43"/>
        <v>5.9038787932765562E-2</v>
      </c>
      <c r="Q39" s="64">
        <f t="shared" si="43"/>
        <v>0.11142904683838833</v>
      </c>
      <c r="R39" s="64">
        <f t="shared" si="43"/>
        <v>5.177758145912266E-2</v>
      </c>
      <c r="S39" s="64">
        <f t="shared" si="43"/>
        <v>2.390612105978121E-2</v>
      </c>
      <c r="T39" s="64">
        <f t="shared" si="43"/>
        <v>1.1897603277393117E-2</v>
      </c>
      <c r="U39" s="64">
        <f t="shared" si="43"/>
        <v>2.3166612846318439E-2</v>
      </c>
      <c r="V39" s="64">
        <f t="shared" si="43"/>
        <v>0.16142565119394628</v>
      </c>
      <c r="W39" s="64">
        <f t="shared" si="43"/>
        <v>0.14191489918917491</v>
      </c>
      <c r="X39" s="64">
        <f t="shared" si="43"/>
        <v>2.2051818688885488E-2</v>
      </c>
      <c r="Y39" s="64">
        <f t="shared" si="43"/>
        <v>0</v>
      </c>
      <c r="Z39" s="64">
        <f t="shared" si="43"/>
        <v>5.8827036196364056E-2</v>
      </c>
      <c r="AA39" s="64">
        <f t="shared" si="43"/>
        <v>0</v>
      </c>
      <c r="AB39" s="64">
        <f t="shared" si="43"/>
        <v>0.13216141479858551</v>
      </c>
      <c r="AC39" s="64">
        <f t="shared" si="43"/>
        <v>3.5754213543856612E-2</v>
      </c>
      <c r="AD39" s="64">
        <f t="shared" si="43"/>
        <v>2.8168599372831532E-2</v>
      </c>
      <c r="AE39" s="64">
        <f t="shared" si="43"/>
        <v>5.4024771975752582E-2</v>
      </c>
      <c r="AF39" s="64">
        <f t="shared" si="43"/>
        <v>1.0873856408277063E-2</v>
      </c>
      <c r="AG39" s="64">
        <f t="shared" si="43"/>
        <v>1.346045221245782E-2</v>
      </c>
      <c r="AH39" s="64">
        <f t="shared" si="43"/>
        <v>0</v>
      </c>
      <c r="AI39" s="64">
        <f t="shared" si="43"/>
        <v>0</v>
      </c>
      <c r="AJ39" s="64">
        <f>SUM(AJ21*100/AJ6)</f>
        <v>7.2820192731753566E-2</v>
      </c>
      <c r="AK39" s="64">
        <f>SUM(AK21*100/AK6)</f>
        <v>4.0711703052547871E-2</v>
      </c>
      <c r="AL39" s="64">
        <f t="shared" ref="AL39:AO39" si="44">SUM(AL21*100/AL6)</f>
        <v>0.11303343291853592</v>
      </c>
      <c r="AM39" s="64">
        <f t="shared" si="44"/>
        <v>0.17598124166709322</v>
      </c>
      <c r="AN39" s="64">
        <f t="shared" si="44"/>
        <v>8.9883721156825414E-2</v>
      </c>
      <c r="AO39" s="64">
        <f t="shared" si="44"/>
        <v>6.6480132668044978E-2</v>
      </c>
      <c r="AP39" s="64">
        <f t="shared" ref="AP39:AS39" si="45">SUM(AP21*100/AP6)</f>
        <v>0.30900561244162633</v>
      </c>
      <c r="AQ39" s="64">
        <f t="shared" si="45"/>
        <v>7.4260653921994199E-2</v>
      </c>
      <c r="AR39" s="64">
        <f t="shared" si="45"/>
        <v>2.9333216584212601E-2</v>
      </c>
      <c r="AS39" s="64">
        <f t="shared" si="45"/>
        <v>0.11303430474418207</v>
      </c>
      <c r="AT39" s="51"/>
    </row>
    <row r="40" spans="1:46" ht="8.25" customHeight="1">
      <c r="A40" s="63"/>
      <c r="B40" s="63"/>
      <c r="C40" s="62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2"/>
      <c r="O40" s="61"/>
      <c r="P40" s="61"/>
      <c r="Q40" s="62"/>
      <c r="R40" s="62"/>
      <c r="S40" s="61"/>
      <c r="T40" s="61"/>
      <c r="U40" s="60"/>
      <c r="V40" s="62"/>
      <c r="W40" s="61"/>
      <c r="X40" s="61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</row>
    <row r="41" spans="1:46" ht="26.25" customHeight="1">
      <c r="A41" s="59" t="s">
        <v>22</v>
      </c>
      <c r="U41" s="8"/>
      <c r="Y41" s="8"/>
      <c r="AG41" s="56"/>
      <c r="AQ41" s="266"/>
      <c r="AR41" s="266"/>
      <c r="AS41" s="266"/>
      <c r="AT41" s="266"/>
    </row>
    <row r="42" spans="1:46" ht="26.25" customHeight="1">
      <c r="U42" s="58"/>
      <c r="Y42" s="58"/>
    </row>
    <row r="43" spans="1:46" ht="26.25" customHeight="1">
      <c r="U43" s="58"/>
      <c r="Y43" s="58"/>
    </row>
    <row r="44" spans="1:46" ht="26.25" customHeight="1">
      <c r="U44" s="58"/>
      <c r="Y44" s="58"/>
    </row>
    <row r="45" spans="1:46" ht="26.25" customHeight="1">
      <c r="U45" s="58"/>
      <c r="Y45" s="58"/>
    </row>
    <row r="46" spans="1:46" ht="26.25" customHeight="1">
      <c r="U46" s="58"/>
      <c r="Y46" s="58"/>
    </row>
    <row r="47" spans="1:46" ht="26.25" customHeight="1">
      <c r="U47" s="58"/>
      <c r="Y47" s="58"/>
    </row>
    <row r="48" spans="1:46" ht="26.25" customHeight="1">
      <c r="U48" s="58"/>
      <c r="Y48" s="58"/>
    </row>
    <row r="49" spans="21:25" s="55" customFormat="1" ht="26.25" customHeight="1">
      <c r="U49" s="58"/>
      <c r="V49" s="56"/>
      <c r="W49" s="56"/>
      <c r="X49" s="56"/>
      <c r="Y49" s="58"/>
    </row>
    <row r="50" spans="21:25" s="55" customFormat="1" ht="26.25" customHeight="1">
      <c r="U50" s="58"/>
      <c r="V50" s="56"/>
      <c r="W50" s="56"/>
      <c r="X50" s="56"/>
      <c r="Y50" s="58"/>
    </row>
    <row r="51" spans="21:25" s="55" customFormat="1" ht="26.25" customHeight="1">
      <c r="U51" s="58"/>
      <c r="V51" s="56"/>
      <c r="W51" s="56"/>
      <c r="X51" s="56"/>
      <c r="Y51" s="58"/>
    </row>
    <row r="52" spans="21:25" s="55" customFormat="1" ht="26.25" customHeight="1">
      <c r="U52" s="58"/>
      <c r="V52" s="56"/>
      <c r="W52" s="56"/>
      <c r="X52" s="56"/>
      <c r="Y52" s="58"/>
    </row>
    <row r="53" spans="21:25" s="55" customFormat="1" ht="26.25" customHeight="1">
      <c r="U53" s="58"/>
      <c r="V53" s="56"/>
      <c r="W53" s="56"/>
      <c r="X53" s="56"/>
      <c r="Y53" s="58"/>
    </row>
    <row r="54" spans="21:25" s="55" customFormat="1" ht="26.25" customHeight="1">
      <c r="U54" s="58"/>
      <c r="V54" s="56"/>
      <c r="W54" s="56"/>
      <c r="X54" s="56"/>
      <c r="Y54" s="58"/>
    </row>
    <row r="55" spans="21:25" s="55" customFormat="1" ht="26.25" customHeight="1">
      <c r="U55" s="58"/>
      <c r="V55" s="56"/>
      <c r="W55" s="56"/>
      <c r="X55" s="56"/>
      <c r="Y55" s="58"/>
    </row>
    <row r="56" spans="21:25" s="55" customFormat="1" ht="26.25" customHeight="1">
      <c r="U56" s="58"/>
      <c r="V56" s="56"/>
      <c r="W56" s="56"/>
      <c r="X56" s="56"/>
      <c r="Y56" s="58"/>
    </row>
    <row r="57" spans="21:25" s="55" customFormat="1" ht="26.25" customHeight="1">
      <c r="U57" s="58"/>
      <c r="V57" s="56"/>
      <c r="W57" s="56"/>
      <c r="X57" s="56"/>
      <c r="Y57" s="58"/>
    </row>
    <row r="58" spans="21:25" s="55" customFormat="1" ht="26.25" customHeight="1">
      <c r="U58" s="58"/>
      <c r="V58" s="56"/>
      <c r="W58" s="56"/>
      <c r="X58" s="56"/>
      <c r="Y58" s="58"/>
    </row>
    <row r="59" spans="21:25" s="55" customFormat="1" ht="26.25" customHeight="1">
      <c r="U59" s="58"/>
      <c r="V59" s="56"/>
      <c r="W59" s="56"/>
      <c r="X59" s="56"/>
      <c r="Y59" s="58"/>
    </row>
    <row r="60" spans="21:25" s="55" customFormat="1" ht="26.25" customHeight="1">
      <c r="U60" s="58"/>
      <c r="V60" s="56"/>
      <c r="W60" s="56"/>
      <c r="X60" s="56"/>
      <c r="Y60" s="58"/>
    </row>
    <row r="61" spans="21:25" s="55" customFormat="1" ht="26.25" customHeight="1">
      <c r="U61" s="58"/>
      <c r="V61" s="56"/>
      <c r="W61" s="56"/>
      <c r="X61" s="56"/>
      <c r="Y61" s="58"/>
    </row>
    <row r="62" spans="21:25" s="55" customFormat="1" ht="26.25" customHeight="1">
      <c r="U62" s="58"/>
      <c r="V62" s="56"/>
      <c r="W62" s="56"/>
      <c r="X62" s="56"/>
      <c r="Y62" s="58"/>
    </row>
    <row r="63" spans="21:25" s="55" customFormat="1" ht="26.25" customHeight="1">
      <c r="U63" s="58"/>
      <c r="V63" s="56"/>
      <c r="W63" s="56"/>
      <c r="X63" s="56"/>
      <c r="Y63" s="58"/>
    </row>
    <row r="64" spans="21:25" s="55" customFormat="1" ht="26.25" customHeight="1">
      <c r="U64" s="58"/>
      <c r="V64" s="56"/>
      <c r="W64" s="56"/>
      <c r="X64" s="56"/>
      <c r="Y64" s="58"/>
    </row>
    <row r="65" spans="21:25" s="55" customFormat="1" ht="26.25" customHeight="1">
      <c r="U65" s="58"/>
      <c r="V65" s="56"/>
      <c r="W65" s="56"/>
      <c r="X65" s="56"/>
      <c r="Y65" s="58"/>
    </row>
    <row r="66" spans="21:25" s="55" customFormat="1" ht="26.25" customHeight="1">
      <c r="U66" s="58"/>
      <c r="V66" s="56"/>
      <c r="W66" s="56"/>
      <c r="X66" s="56"/>
      <c r="Y66" s="58"/>
    </row>
    <row r="67" spans="21:25" s="55" customFormat="1" ht="26.25" customHeight="1">
      <c r="U67" s="58"/>
      <c r="V67" s="56"/>
      <c r="W67" s="56"/>
      <c r="X67" s="56"/>
      <c r="Y67" s="58"/>
    </row>
    <row r="68" spans="21:25" s="55" customFormat="1" ht="26.25" customHeight="1">
      <c r="U68" s="58"/>
      <c r="V68" s="56"/>
      <c r="W68" s="56"/>
      <c r="X68" s="56"/>
      <c r="Y68" s="58"/>
    </row>
    <row r="69" spans="21:25" s="55" customFormat="1" ht="26.25" customHeight="1">
      <c r="U69" s="58"/>
      <c r="V69" s="56"/>
      <c r="W69" s="56"/>
      <c r="X69" s="56"/>
      <c r="Y69" s="58"/>
    </row>
    <row r="70" spans="21:25" s="55" customFormat="1" ht="26.25" customHeight="1">
      <c r="U70" s="58"/>
      <c r="V70" s="56"/>
      <c r="W70" s="56"/>
      <c r="X70" s="56"/>
      <c r="Y70" s="58"/>
    </row>
    <row r="71" spans="21:25" s="55" customFormat="1" ht="26.25" customHeight="1">
      <c r="U71" s="58"/>
      <c r="V71" s="56"/>
      <c r="W71" s="56"/>
      <c r="X71" s="56"/>
      <c r="Y71" s="58"/>
    </row>
    <row r="72" spans="21:25" s="55" customFormat="1" ht="26.25" customHeight="1">
      <c r="U72" s="58"/>
      <c r="V72" s="56"/>
      <c r="W72" s="56"/>
      <c r="X72" s="56"/>
      <c r="Y72" s="58"/>
    </row>
    <row r="73" spans="21:25" s="55" customFormat="1" ht="26.25" customHeight="1">
      <c r="U73" s="58"/>
      <c r="V73" s="56"/>
      <c r="W73" s="56"/>
      <c r="X73" s="56"/>
      <c r="Y73" s="58"/>
    </row>
    <row r="74" spans="21:25" s="55" customFormat="1" ht="26.25" customHeight="1">
      <c r="U74" s="58"/>
      <c r="V74" s="56"/>
      <c r="W74" s="56"/>
      <c r="X74" s="56"/>
      <c r="Y74" s="58"/>
    </row>
    <row r="75" spans="21:25" s="55" customFormat="1" ht="26.25" customHeight="1">
      <c r="U75" s="58"/>
      <c r="V75" s="56"/>
      <c r="W75" s="56"/>
      <c r="X75" s="56"/>
      <c r="Y75" s="58"/>
    </row>
    <row r="76" spans="21:25" s="55" customFormat="1" ht="26.25" customHeight="1">
      <c r="U76" s="58"/>
      <c r="V76" s="56"/>
      <c r="W76" s="56"/>
      <c r="X76" s="56"/>
      <c r="Y76" s="58"/>
    </row>
    <row r="77" spans="21:25" s="55" customFormat="1" ht="26.25" customHeight="1">
      <c r="U77" s="58"/>
      <c r="V77" s="56"/>
      <c r="W77" s="56"/>
      <c r="X77" s="56"/>
      <c r="Y77" s="58"/>
    </row>
    <row r="78" spans="21:25" s="55" customFormat="1" ht="26.25" customHeight="1">
      <c r="U78" s="58"/>
      <c r="V78" s="56"/>
      <c r="W78" s="56"/>
      <c r="X78" s="56"/>
      <c r="Y78" s="58"/>
    </row>
    <row r="79" spans="21:25" s="55" customFormat="1" ht="26.25" customHeight="1">
      <c r="U79" s="58"/>
      <c r="V79" s="56"/>
      <c r="W79" s="56"/>
      <c r="X79" s="56"/>
      <c r="Y79" s="58"/>
    </row>
    <row r="80" spans="21:25" s="55" customFormat="1" ht="26.25" customHeight="1">
      <c r="U80" s="58"/>
      <c r="V80" s="56"/>
      <c r="W80" s="56"/>
      <c r="X80" s="56"/>
      <c r="Y80" s="58"/>
    </row>
    <row r="81" spans="21:25" s="55" customFormat="1" ht="26.25" customHeight="1">
      <c r="U81" s="58"/>
      <c r="V81" s="56"/>
      <c r="W81" s="56"/>
      <c r="X81" s="56"/>
      <c r="Y81" s="58"/>
    </row>
    <row r="82" spans="21:25" s="55" customFormat="1" ht="26.25" customHeight="1">
      <c r="U82" s="58"/>
      <c r="V82" s="56"/>
      <c r="W82" s="56"/>
      <c r="X82" s="56"/>
      <c r="Y82" s="58"/>
    </row>
    <row r="83" spans="21:25" s="55" customFormat="1" ht="26.25" customHeight="1">
      <c r="U83" s="58"/>
      <c r="V83" s="56"/>
      <c r="W83" s="56"/>
      <c r="X83" s="56"/>
      <c r="Y83" s="58"/>
    </row>
    <row r="84" spans="21:25" s="55" customFormat="1" ht="26.25" customHeight="1">
      <c r="U84" s="58"/>
      <c r="V84" s="56"/>
      <c r="W84" s="56"/>
      <c r="X84" s="56"/>
      <c r="Y84" s="58"/>
    </row>
    <row r="85" spans="21:25" s="55" customFormat="1" ht="26.25" customHeight="1">
      <c r="U85" s="58"/>
      <c r="V85" s="56"/>
      <c r="W85" s="56"/>
      <c r="X85" s="56"/>
      <c r="Y85" s="58"/>
    </row>
    <row r="86" spans="21:25" s="55" customFormat="1" ht="26.25" customHeight="1">
      <c r="U86" s="58"/>
      <c r="V86" s="56"/>
      <c r="W86" s="56"/>
      <c r="X86" s="56"/>
      <c r="Y86" s="58"/>
    </row>
    <row r="87" spans="21:25" s="55" customFormat="1" ht="26.25" customHeight="1">
      <c r="U87" s="58"/>
      <c r="V87" s="56"/>
      <c r="W87" s="56"/>
      <c r="X87" s="56"/>
      <c r="Y87" s="58"/>
    </row>
    <row r="88" spans="21:25" s="55" customFormat="1" ht="26.25" customHeight="1">
      <c r="U88" s="58"/>
      <c r="V88" s="56"/>
      <c r="W88" s="56"/>
      <c r="X88" s="56"/>
      <c r="Y88" s="58"/>
    </row>
    <row r="89" spans="21:25" s="55" customFormat="1" ht="26.25" customHeight="1">
      <c r="U89" s="58"/>
      <c r="V89" s="56"/>
      <c r="W89" s="56"/>
      <c r="X89" s="56"/>
      <c r="Y89" s="58"/>
    </row>
    <row r="90" spans="21:25" s="55" customFormat="1" ht="26.25" customHeight="1">
      <c r="U90" s="58"/>
      <c r="V90" s="56"/>
      <c r="W90" s="56"/>
      <c r="X90" s="56"/>
      <c r="Y90" s="58"/>
    </row>
    <row r="91" spans="21:25" s="55" customFormat="1" ht="26.25" customHeight="1">
      <c r="U91" s="58"/>
      <c r="V91" s="56"/>
      <c r="W91" s="56"/>
      <c r="X91" s="56"/>
      <c r="Y91" s="58"/>
    </row>
    <row r="92" spans="21:25" s="55" customFormat="1" ht="26.25" customHeight="1">
      <c r="U92" s="58"/>
      <c r="V92" s="56"/>
      <c r="W92" s="56"/>
      <c r="X92" s="56"/>
      <c r="Y92" s="58"/>
    </row>
    <row r="93" spans="21:25" s="55" customFormat="1" ht="26.25" customHeight="1">
      <c r="U93" s="58"/>
      <c r="V93" s="56"/>
      <c r="W93" s="56"/>
      <c r="X93" s="56"/>
      <c r="Y93" s="58"/>
    </row>
    <row r="94" spans="21:25" s="55" customFormat="1" ht="26.25" customHeight="1">
      <c r="U94" s="58"/>
      <c r="V94" s="56"/>
      <c r="W94" s="56"/>
      <c r="X94" s="56"/>
      <c r="Y94" s="58"/>
    </row>
    <row r="95" spans="21:25" s="55" customFormat="1" ht="26.25" customHeight="1">
      <c r="U95" s="58"/>
      <c r="V95" s="56"/>
      <c r="W95" s="56"/>
      <c r="X95" s="56"/>
      <c r="Y95" s="58"/>
    </row>
    <row r="96" spans="21:25" s="55" customFormat="1" ht="26.25" customHeight="1">
      <c r="U96" s="58"/>
      <c r="V96" s="56"/>
      <c r="W96" s="56"/>
      <c r="X96" s="56"/>
      <c r="Y96" s="58"/>
    </row>
    <row r="97" spans="21:25" s="55" customFormat="1" ht="26.25" customHeight="1">
      <c r="U97" s="58"/>
      <c r="V97" s="56"/>
      <c r="W97" s="56"/>
      <c r="X97" s="56"/>
      <c r="Y97" s="58"/>
    </row>
    <row r="98" spans="21:25" s="55" customFormat="1" ht="26.25" customHeight="1">
      <c r="U98" s="58"/>
      <c r="V98" s="56"/>
      <c r="W98" s="56"/>
      <c r="X98" s="56"/>
      <c r="Y98" s="58"/>
    </row>
    <row r="99" spans="21:25" s="55" customFormat="1" ht="26.25" customHeight="1">
      <c r="U99" s="58"/>
      <c r="V99" s="56"/>
      <c r="W99" s="56"/>
      <c r="X99" s="56"/>
      <c r="Y99" s="58"/>
    </row>
    <row r="100" spans="21:25" s="55" customFormat="1" ht="26.25" customHeight="1">
      <c r="U100" s="58"/>
      <c r="V100" s="56"/>
      <c r="W100" s="56"/>
      <c r="X100" s="56"/>
      <c r="Y100" s="58"/>
    </row>
    <row r="101" spans="21:25" s="55" customFormat="1" ht="26.25" customHeight="1">
      <c r="U101" s="58"/>
      <c r="V101" s="56"/>
      <c r="W101" s="56"/>
      <c r="X101" s="56"/>
      <c r="Y101" s="58"/>
    </row>
    <row r="102" spans="21:25" s="55" customFormat="1" ht="26.25" customHeight="1">
      <c r="U102" s="58"/>
      <c r="V102" s="56"/>
      <c r="W102" s="56"/>
      <c r="X102" s="56"/>
      <c r="Y102" s="58"/>
    </row>
    <row r="103" spans="21:25" s="55" customFormat="1" ht="26.25" customHeight="1">
      <c r="U103" s="58"/>
      <c r="V103" s="56"/>
      <c r="W103" s="56"/>
      <c r="X103" s="56"/>
      <c r="Y103" s="58"/>
    </row>
    <row r="104" spans="21:25" s="55" customFormat="1" ht="26.25" customHeight="1">
      <c r="U104" s="58"/>
      <c r="V104" s="56"/>
      <c r="W104" s="56"/>
      <c r="X104" s="56"/>
      <c r="Y104" s="58"/>
    </row>
    <row r="105" spans="21:25" s="55" customFormat="1" ht="26.25" customHeight="1">
      <c r="U105" s="58"/>
      <c r="V105" s="56"/>
      <c r="W105" s="56"/>
      <c r="X105" s="56"/>
      <c r="Y105" s="58"/>
    </row>
    <row r="106" spans="21:25" s="55" customFormat="1" ht="26.25" customHeight="1">
      <c r="U106" s="58"/>
      <c r="V106" s="56"/>
      <c r="W106" s="56"/>
      <c r="X106" s="56"/>
      <c r="Y106" s="58"/>
    </row>
    <row r="107" spans="21:25" s="55" customFormat="1" ht="26.25" customHeight="1">
      <c r="U107" s="58"/>
      <c r="V107" s="56"/>
      <c r="W107" s="56"/>
      <c r="X107" s="56"/>
      <c r="Y107" s="58"/>
    </row>
    <row r="108" spans="21:25" s="55" customFormat="1" ht="26.25" customHeight="1">
      <c r="U108" s="58"/>
      <c r="V108" s="56"/>
      <c r="W108" s="56"/>
      <c r="X108" s="56"/>
      <c r="Y108" s="58"/>
    </row>
    <row r="109" spans="21:25" s="55" customFormat="1" ht="26.25" customHeight="1">
      <c r="U109" s="58"/>
      <c r="V109" s="56"/>
      <c r="W109" s="56"/>
      <c r="X109" s="56"/>
      <c r="Y109" s="58"/>
    </row>
    <row r="110" spans="21:25" s="55" customFormat="1" ht="26.25" customHeight="1">
      <c r="U110" s="58"/>
      <c r="V110" s="56"/>
      <c r="W110" s="56"/>
      <c r="X110" s="56"/>
      <c r="Y110" s="58"/>
    </row>
    <row r="111" spans="21:25" s="55" customFormat="1" ht="26.25" customHeight="1">
      <c r="U111" s="58"/>
      <c r="V111" s="56"/>
      <c r="W111" s="56"/>
      <c r="X111" s="56"/>
      <c r="Y111" s="58"/>
    </row>
    <row r="112" spans="21:25" s="55" customFormat="1" ht="26.25" customHeight="1">
      <c r="U112" s="58"/>
      <c r="V112" s="56"/>
      <c r="W112" s="56"/>
      <c r="X112" s="56"/>
      <c r="Y112" s="58"/>
    </row>
    <row r="113" spans="21:25" s="55" customFormat="1" ht="26.25" customHeight="1">
      <c r="U113" s="58"/>
      <c r="V113" s="56"/>
      <c r="W113" s="56"/>
      <c r="X113" s="56"/>
      <c r="Y113" s="58"/>
    </row>
    <row r="114" spans="21:25" s="55" customFormat="1" ht="26.25" customHeight="1">
      <c r="U114" s="58"/>
      <c r="V114" s="56"/>
      <c r="W114" s="56"/>
      <c r="X114" s="56"/>
      <c r="Y114" s="58"/>
    </row>
    <row r="115" spans="21:25" s="55" customFormat="1" ht="26.25" customHeight="1">
      <c r="U115" s="58"/>
      <c r="V115" s="56"/>
      <c r="W115" s="56"/>
      <c r="X115" s="56"/>
      <c r="Y115" s="58"/>
    </row>
    <row r="116" spans="21:25" s="55" customFormat="1" ht="26.25" customHeight="1">
      <c r="U116" s="58"/>
      <c r="V116" s="56"/>
      <c r="W116" s="56"/>
      <c r="X116" s="56"/>
      <c r="Y116" s="58"/>
    </row>
    <row r="117" spans="21:25" s="55" customFormat="1" ht="26.25" customHeight="1">
      <c r="U117" s="58"/>
      <c r="V117" s="56"/>
      <c r="W117" s="56"/>
      <c r="X117" s="56"/>
      <c r="Y117" s="58"/>
    </row>
    <row r="118" spans="21:25" s="55" customFormat="1" ht="26.25" customHeight="1">
      <c r="U118" s="58"/>
      <c r="V118" s="56"/>
      <c r="W118" s="56"/>
      <c r="X118" s="56"/>
      <c r="Y118" s="58"/>
    </row>
    <row r="119" spans="21:25" s="55" customFormat="1" ht="26.25" customHeight="1">
      <c r="U119" s="58"/>
      <c r="V119" s="56"/>
      <c r="W119" s="56"/>
      <c r="X119" s="56"/>
      <c r="Y119" s="58"/>
    </row>
    <row r="120" spans="21:25" s="55" customFormat="1" ht="26.25" customHeight="1">
      <c r="U120" s="58"/>
      <c r="V120" s="56"/>
      <c r="W120" s="56"/>
      <c r="X120" s="56"/>
      <c r="Y120" s="58"/>
    </row>
    <row r="121" spans="21:25" s="55" customFormat="1" ht="26.25" customHeight="1">
      <c r="U121" s="58"/>
      <c r="V121" s="56"/>
      <c r="W121" s="56"/>
      <c r="X121" s="56"/>
      <c r="Y121" s="58"/>
    </row>
    <row r="122" spans="21:25" s="55" customFormat="1" ht="26.25" customHeight="1">
      <c r="U122" s="58"/>
      <c r="V122" s="56"/>
      <c r="W122" s="56"/>
      <c r="X122" s="56"/>
      <c r="Y122" s="58"/>
    </row>
    <row r="123" spans="21:25" s="55" customFormat="1" ht="26.25" customHeight="1">
      <c r="U123" s="58"/>
      <c r="V123" s="56"/>
      <c r="W123" s="56"/>
      <c r="X123" s="56"/>
      <c r="Y123" s="58"/>
    </row>
    <row r="124" spans="21:25" s="55" customFormat="1" ht="26.25" customHeight="1">
      <c r="U124" s="58"/>
      <c r="V124" s="56"/>
      <c r="W124" s="56"/>
      <c r="X124" s="56"/>
      <c r="Y124" s="58"/>
    </row>
    <row r="125" spans="21:25" s="55" customFormat="1" ht="26.25" customHeight="1">
      <c r="U125" s="58"/>
      <c r="V125" s="56"/>
      <c r="W125" s="56"/>
      <c r="X125" s="56"/>
      <c r="Y125" s="58"/>
    </row>
    <row r="126" spans="21:25" s="55" customFormat="1" ht="26.25" customHeight="1">
      <c r="U126" s="58"/>
      <c r="V126" s="56"/>
      <c r="W126" s="56"/>
      <c r="X126" s="56"/>
      <c r="Y126" s="58"/>
    </row>
    <row r="127" spans="21:25" s="55" customFormat="1" ht="26.25" customHeight="1">
      <c r="U127" s="58"/>
      <c r="V127" s="56"/>
      <c r="W127" s="56"/>
      <c r="X127" s="56"/>
      <c r="Y127" s="58"/>
    </row>
    <row r="128" spans="21:25" s="55" customFormat="1" ht="26.25" customHeight="1">
      <c r="U128" s="58"/>
      <c r="V128" s="56"/>
      <c r="W128" s="56"/>
      <c r="X128" s="56"/>
      <c r="Y128" s="58"/>
    </row>
    <row r="129" spans="21:25" s="55" customFormat="1" ht="26.25" customHeight="1">
      <c r="U129" s="58"/>
      <c r="V129" s="56"/>
      <c r="W129" s="56"/>
      <c r="X129" s="56"/>
      <c r="Y129" s="58"/>
    </row>
    <row r="130" spans="21:25" s="55" customFormat="1" ht="26.25" customHeight="1">
      <c r="U130" s="58"/>
      <c r="V130" s="56"/>
      <c r="W130" s="56"/>
      <c r="X130" s="56"/>
      <c r="Y130" s="58"/>
    </row>
    <row r="131" spans="21:25" s="55" customFormat="1" ht="26.25" customHeight="1">
      <c r="U131" s="58"/>
      <c r="V131" s="56"/>
      <c r="W131" s="56"/>
      <c r="X131" s="56"/>
      <c r="Y131" s="58"/>
    </row>
    <row r="132" spans="21:25" s="55" customFormat="1" ht="26.25" customHeight="1">
      <c r="U132" s="58"/>
      <c r="V132" s="56"/>
      <c r="W132" s="56"/>
      <c r="X132" s="56"/>
      <c r="Y132" s="58"/>
    </row>
    <row r="133" spans="21:25" s="55" customFormat="1" ht="26.25" customHeight="1">
      <c r="U133" s="58"/>
      <c r="V133" s="56"/>
      <c r="W133" s="56"/>
      <c r="X133" s="56"/>
      <c r="Y133" s="58"/>
    </row>
    <row r="134" spans="21:25" s="55" customFormat="1" ht="26.25" customHeight="1">
      <c r="U134" s="58"/>
      <c r="V134" s="56"/>
      <c r="W134" s="56"/>
      <c r="X134" s="56"/>
      <c r="Y134" s="58"/>
    </row>
    <row r="135" spans="21:25" s="55" customFormat="1" ht="26.25" customHeight="1">
      <c r="U135" s="58"/>
      <c r="V135" s="56"/>
      <c r="W135" s="56"/>
      <c r="X135" s="56"/>
      <c r="Y135" s="58"/>
    </row>
    <row r="136" spans="21:25" s="55" customFormat="1" ht="26.25" customHeight="1">
      <c r="U136" s="58"/>
      <c r="V136" s="56"/>
      <c r="W136" s="56"/>
      <c r="X136" s="56"/>
      <c r="Y136" s="58"/>
    </row>
    <row r="137" spans="21:25" s="55" customFormat="1" ht="26.25" customHeight="1">
      <c r="U137" s="58"/>
      <c r="V137" s="56"/>
      <c r="W137" s="56"/>
      <c r="X137" s="56"/>
      <c r="Y137" s="58"/>
    </row>
    <row r="138" spans="21:25" s="55" customFormat="1" ht="26.25" customHeight="1">
      <c r="U138" s="58"/>
      <c r="V138" s="56"/>
      <c r="W138" s="56"/>
      <c r="X138" s="56"/>
      <c r="Y138" s="58"/>
    </row>
    <row r="139" spans="21:25" s="55" customFormat="1" ht="26.25" customHeight="1">
      <c r="U139" s="58"/>
      <c r="V139" s="56"/>
      <c r="W139" s="56"/>
      <c r="X139" s="56"/>
      <c r="Y139" s="58"/>
    </row>
    <row r="140" spans="21:25" s="55" customFormat="1" ht="26.25" customHeight="1">
      <c r="U140" s="58"/>
      <c r="V140" s="56"/>
      <c r="W140" s="56"/>
      <c r="X140" s="56"/>
      <c r="Y140" s="58"/>
    </row>
    <row r="141" spans="21:25" s="55" customFormat="1" ht="26.25" customHeight="1">
      <c r="U141" s="58"/>
      <c r="V141" s="56"/>
      <c r="W141" s="56"/>
      <c r="X141" s="56"/>
      <c r="Y141" s="58"/>
    </row>
    <row r="142" spans="21:25" s="55" customFormat="1" ht="26.25" customHeight="1">
      <c r="U142" s="58"/>
      <c r="V142" s="56"/>
      <c r="W142" s="56"/>
      <c r="X142" s="56"/>
      <c r="Y142" s="58"/>
    </row>
    <row r="143" spans="21:25" s="55" customFormat="1" ht="26.25" customHeight="1">
      <c r="U143" s="58"/>
      <c r="V143" s="56"/>
      <c r="W143" s="56"/>
      <c r="X143" s="56"/>
      <c r="Y143" s="58"/>
    </row>
    <row r="144" spans="21:25" s="55" customFormat="1" ht="26.25" customHeight="1">
      <c r="U144" s="58"/>
      <c r="V144" s="56"/>
      <c r="W144" s="56"/>
      <c r="X144" s="56"/>
      <c r="Y144" s="58"/>
    </row>
    <row r="145" spans="21:25" s="55" customFormat="1" ht="26.25" customHeight="1">
      <c r="U145" s="58"/>
      <c r="V145" s="56"/>
      <c r="W145" s="56"/>
      <c r="X145" s="56"/>
      <c r="Y145" s="58"/>
    </row>
    <row r="146" spans="21:25" s="55" customFormat="1" ht="26.25" customHeight="1">
      <c r="U146" s="58"/>
      <c r="V146" s="56"/>
      <c r="W146" s="56"/>
      <c r="X146" s="56"/>
      <c r="Y146" s="58"/>
    </row>
    <row r="147" spans="21:25" s="55" customFormat="1" ht="26.25" customHeight="1">
      <c r="U147" s="58"/>
      <c r="V147" s="56"/>
      <c r="W147" s="56"/>
      <c r="X147" s="56"/>
      <c r="Y147" s="58"/>
    </row>
    <row r="148" spans="21:25" s="55" customFormat="1" ht="26.25" customHeight="1">
      <c r="U148" s="58"/>
      <c r="V148" s="56"/>
      <c r="W148" s="56"/>
      <c r="X148" s="56"/>
      <c r="Y148" s="58"/>
    </row>
    <row r="149" spans="21:25" s="55" customFormat="1" ht="26.25" customHeight="1">
      <c r="U149" s="58"/>
      <c r="V149" s="56"/>
      <c r="W149" s="56"/>
      <c r="X149" s="56"/>
      <c r="Y149" s="58"/>
    </row>
    <row r="150" spans="21:25" s="55" customFormat="1" ht="26.25" customHeight="1">
      <c r="U150" s="58"/>
      <c r="V150" s="56"/>
      <c r="W150" s="56"/>
      <c r="X150" s="56"/>
      <c r="Y150" s="58"/>
    </row>
    <row r="151" spans="21:25" s="55" customFormat="1" ht="26.25" customHeight="1">
      <c r="U151" s="58"/>
      <c r="V151" s="56"/>
      <c r="W151" s="56"/>
      <c r="X151" s="56"/>
      <c r="Y151" s="58"/>
    </row>
    <row r="152" spans="21:25" s="55" customFormat="1" ht="26.25" customHeight="1">
      <c r="U152" s="58"/>
      <c r="V152" s="56"/>
      <c r="W152" s="56"/>
      <c r="X152" s="56"/>
      <c r="Y152" s="58"/>
    </row>
    <row r="153" spans="21:25" s="55" customFormat="1" ht="26.25" customHeight="1">
      <c r="U153" s="58"/>
      <c r="V153" s="56"/>
      <c r="W153" s="56"/>
      <c r="X153" s="56"/>
      <c r="Y153" s="58"/>
    </row>
    <row r="154" spans="21:25" s="55" customFormat="1" ht="26.25" customHeight="1">
      <c r="U154" s="58"/>
      <c r="V154" s="56"/>
      <c r="W154" s="56"/>
      <c r="X154" s="56"/>
      <c r="Y154" s="58"/>
    </row>
    <row r="155" spans="21:25" s="55" customFormat="1" ht="26.25" customHeight="1">
      <c r="U155" s="58"/>
      <c r="V155" s="56"/>
      <c r="W155" s="56"/>
      <c r="X155" s="56"/>
      <c r="Y155" s="58"/>
    </row>
    <row r="156" spans="21:25" s="55" customFormat="1" ht="26.25" customHeight="1">
      <c r="U156" s="58"/>
      <c r="V156" s="56"/>
      <c r="W156" s="56"/>
      <c r="X156" s="56"/>
      <c r="Y156" s="58"/>
    </row>
    <row r="157" spans="21:25" s="55" customFormat="1" ht="26.25" customHeight="1">
      <c r="U157" s="58"/>
      <c r="V157" s="56"/>
      <c r="W157" s="56"/>
      <c r="X157" s="56"/>
      <c r="Y157" s="58"/>
    </row>
    <row r="158" spans="21:25" s="55" customFormat="1" ht="26.25" customHeight="1">
      <c r="U158" s="58"/>
      <c r="V158" s="56"/>
      <c r="W158" s="56"/>
      <c r="X158" s="56"/>
      <c r="Y158" s="58"/>
    </row>
    <row r="159" spans="21:25" s="55" customFormat="1" ht="26.25" customHeight="1">
      <c r="U159" s="58"/>
      <c r="V159" s="56"/>
      <c r="W159" s="56"/>
      <c r="X159" s="56"/>
      <c r="Y159" s="58"/>
    </row>
    <row r="160" spans="21:25" s="55" customFormat="1" ht="26.25" customHeight="1">
      <c r="U160" s="58"/>
      <c r="V160" s="56"/>
      <c r="W160" s="56"/>
      <c r="X160" s="56"/>
      <c r="Y160" s="58"/>
    </row>
    <row r="161" spans="21:25" s="55" customFormat="1" ht="26.25" customHeight="1">
      <c r="U161" s="58"/>
      <c r="V161" s="56"/>
      <c r="W161" s="56"/>
      <c r="X161" s="56"/>
      <c r="Y161" s="58"/>
    </row>
    <row r="162" spans="21:25" s="55" customFormat="1" ht="26.25" customHeight="1">
      <c r="U162" s="58"/>
      <c r="V162" s="56"/>
      <c r="W162" s="56"/>
      <c r="X162" s="56"/>
      <c r="Y162" s="58"/>
    </row>
    <row r="163" spans="21:25" s="55" customFormat="1" ht="26.25" customHeight="1">
      <c r="U163" s="58"/>
      <c r="V163" s="56"/>
      <c r="W163" s="56"/>
      <c r="X163" s="56"/>
      <c r="Y163" s="58"/>
    </row>
    <row r="164" spans="21:25" s="55" customFormat="1" ht="26.25" customHeight="1">
      <c r="U164" s="58"/>
      <c r="V164" s="56"/>
      <c r="W164" s="56"/>
      <c r="X164" s="56"/>
      <c r="Y164" s="58"/>
    </row>
    <row r="165" spans="21:25" s="55" customFormat="1" ht="26.25" customHeight="1">
      <c r="U165" s="58"/>
      <c r="V165" s="56"/>
      <c r="W165" s="56"/>
      <c r="X165" s="56"/>
      <c r="Y165" s="58"/>
    </row>
    <row r="166" spans="21:25" s="55" customFormat="1" ht="26.25" customHeight="1">
      <c r="U166" s="58"/>
      <c r="V166" s="56"/>
      <c r="W166" s="56"/>
      <c r="X166" s="56"/>
      <c r="Y166" s="58"/>
    </row>
    <row r="167" spans="21:25" s="55" customFormat="1" ht="26.25" customHeight="1">
      <c r="U167" s="58"/>
      <c r="V167" s="56"/>
      <c r="W167" s="56"/>
      <c r="X167" s="56"/>
      <c r="Y167" s="58"/>
    </row>
    <row r="168" spans="21:25" s="55" customFormat="1" ht="26.25" customHeight="1">
      <c r="U168" s="58"/>
      <c r="V168" s="56"/>
      <c r="W168" s="56"/>
      <c r="X168" s="56"/>
      <c r="Y168" s="58"/>
    </row>
    <row r="169" spans="21:25" s="55" customFormat="1" ht="26.25" customHeight="1">
      <c r="U169" s="58"/>
      <c r="V169" s="56"/>
      <c r="W169" s="56"/>
      <c r="X169" s="56"/>
      <c r="Y169" s="58"/>
    </row>
    <row r="170" spans="21:25" s="55" customFormat="1" ht="26.25" customHeight="1">
      <c r="U170" s="58"/>
      <c r="V170" s="56"/>
      <c r="W170" s="56"/>
      <c r="X170" s="56"/>
      <c r="Y170" s="58"/>
    </row>
    <row r="171" spans="21:25" s="55" customFormat="1" ht="26.25" customHeight="1">
      <c r="U171" s="58"/>
      <c r="V171" s="56"/>
      <c r="W171" s="56"/>
      <c r="X171" s="56"/>
      <c r="Y171" s="58"/>
    </row>
    <row r="172" spans="21:25" s="55" customFormat="1" ht="26.25" customHeight="1">
      <c r="U172" s="58"/>
      <c r="V172" s="56"/>
      <c r="W172" s="56"/>
      <c r="X172" s="56"/>
      <c r="Y172" s="58"/>
    </row>
    <row r="173" spans="21:25" s="55" customFormat="1" ht="26.25" customHeight="1">
      <c r="U173" s="58"/>
      <c r="V173" s="56"/>
      <c r="W173" s="56"/>
      <c r="X173" s="56"/>
      <c r="Y173" s="58"/>
    </row>
    <row r="174" spans="21:25" s="55" customFormat="1" ht="26.25" customHeight="1">
      <c r="U174" s="58"/>
      <c r="V174" s="56"/>
      <c r="W174" s="56"/>
      <c r="X174" s="56"/>
      <c r="Y174" s="58"/>
    </row>
    <row r="175" spans="21:25" s="55" customFormat="1" ht="26.25" customHeight="1">
      <c r="U175" s="58"/>
      <c r="V175" s="56"/>
      <c r="W175" s="56"/>
      <c r="X175" s="56"/>
      <c r="Y175" s="58"/>
    </row>
    <row r="176" spans="21:25" s="55" customFormat="1" ht="26.25" customHeight="1">
      <c r="U176" s="58"/>
      <c r="V176" s="56"/>
      <c r="W176" s="56"/>
      <c r="X176" s="56"/>
      <c r="Y176" s="58"/>
    </row>
    <row r="177" spans="21:25" s="55" customFormat="1" ht="26.25" customHeight="1">
      <c r="U177" s="58"/>
      <c r="V177" s="56"/>
      <c r="W177" s="56"/>
      <c r="X177" s="56"/>
      <c r="Y177" s="58"/>
    </row>
    <row r="178" spans="21:25" s="55" customFormat="1" ht="26.25" customHeight="1">
      <c r="U178" s="58"/>
      <c r="V178" s="56"/>
      <c r="W178" s="56"/>
      <c r="X178" s="56"/>
      <c r="Y178" s="58"/>
    </row>
    <row r="179" spans="21:25" s="55" customFormat="1" ht="26.25" customHeight="1">
      <c r="U179" s="58"/>
      <c r="V179" s="56"/>
      <c r="W179" s="56"/>
      <c r="X179" s="56"/>
      <c r="Y179" s="58"/>
    </row>
    <row r="180" spans="21:25" s="55" customFormat="1" ht="26.25" customHeight="1">
      <c r="U180" s="58"/>
      <c r="V180" s="56"/>
      <c r="W180" s="56"/>
      <c r="X180" s="56"/>
      <c r="Y180" s="58"/>
    </row>
    <row r="181" spans="21:25" s="55" customFormat="1" ht="26.25" customHeight="1">
      <c r="U181" s="58"/>
      <c r="V181" s="56"/>
      <c r="W181" s="56"/>
      <c r="X181" s="56"/>
      <c r="Y181" s="58"/>
    </row>
    <row r="182" spans="21:25" s="55" customFormat="1" ht="26.25" customHeight="1">
      <c r="U182" s="58"/>
      <c r="V182" s="56"/>
      <c r="W182" s="56"/>
      <c r="X182" s="56"/>
      <c r="Y182" s="58"/>
    </row>
    <row r="183" spans="21:25" s="55" customFormat="1" ht="26.25" customHeight="1">
      <c r="U183" s="58"/>
      <c r="V183" s="56"/>
      <c r="W183" s="56"/>
      <c r="X183" s="56"/>
      <c r="Y183" s="58"/>
    </row>
    <row r="184" spans="21:25" s="55" customFormat="1" ht="26.25" customHeight="1">
      <c r="U184" s="58"/>
      <c r="V184" s="56"/>
      <c r="W184" s="56"/>
      <c r="X184" s="56"/>
      <c r="Y184" s="58"/>
    </row>
    <row r="185" spans="21:25" s="55" customFormat="1" ht="26.25" customHeight="1">
      <c r="U185" s="58"/>
      <c r="V185" s="56"/>
      <c r="W185" s="56"/>
      <c r="X185" s="56"/>
      <c r="Y185" s="58"/>
    </row>
    <row r="186" spans="21:25" s="55" customFormat="1" ht="26.25" customHeight="1">
      <c r="U186" s="58"/>
      <c r="V186" s="56"/>
      <c r="W186" s="56"/>
      <c r="X186" s="56"/>
      <c r="Y186" s="58"/>
    </row>
    <row r="187" spans="21:25" s="55" customFormat="1" ht="26.25" customHeight="1">
      <c r="U187" s="58"/>
      <c r="V187" s="56"/>
      <c r="W187" s="56"/>
      <c r="X187" s="56"/>
      <c r="Y187" s="58"/>
    </row>
    <row r="188" spans="21:25" s="55" customFormat="1" ht="26.25" customHeight="1">
      <c r="U188" s="58"/>
      <c r="V188" s="56"/>
      <c r="W188" s="56"/>
      <c r="X188" s="56"/>
      <c r="Y188" s="58"/>
    </row>
    <row r="189" spans="21:25" s="55" customFormat="1" ht="26.25" customHeight="1">
      <c r="U189" s="58"/>
      <c r="V189" s="56"/>
      <c r="W189" s="56"/>
      <c r="X189" s="56"/>
      <c r="Y189" s="58"/>
    </row>
    <row r="190" spans="21:25" s="55" customFormat="1" ht="26.25" customHeight="1">
      <c r="U190" s="58"/>
      <c r="V190" s="56"/>
      <c r="W190" s="56"/>
      <c r="X190" s="56"/>
      <c r="Y190" s="58"/>
    </row>
    <row r="191" spans="21:25" s="55" customFormat="1" ht="26.25" customHeight="1">
      <c r="U191" s="58"/>
      <c r="V191" s="56"/>
      <c r="W191" s="56"/>
      <c r="X191" s="56"/>
      <c r="Y191" s="58"/>
    </row>
    <row r="192" spans="21:25" s="55" customFormat="1" ht="26.25" customHeight="1">
      <c r="U192" s="58"/>
      <c r="V192" s="56"/>
      <c r="W192" s="56"/>
      <c r="X192" s="56"/>
      <c r="Y192" s="58"/>
    </row>
    <row r="193" spans="21:25" s="55" customFormat="1" ht="26.25" customHeight="1">
      <c r="U193" s="58"/>
      <c r="V193" s="56"/>
      <c r="W193" s="56"/>
      <c r="X193" s="56"/>
      <c r="Y193" s="58"/>
    </row>
    <row r="194" spans="21:25" s="55" customFormat="1" ht="26.25" customHeight="1">
      <c r="U194" s="58"/>
      <c r="V194" s="56"/>
      <c r="W194" s="56"/>
      <c r="X194" s="56"/>
      <c r="Y194" s="58"/>
    </row>
    <row r="195" spans="21:25" s="55" customFormat="1" ht="26.25" customHeight="1">
      <c r="U195" s="58"/>
      <c r="V195" s="56"/>
      <c r="W195" s="56"/>
      <c r="X195" s="56"/>
      <c r="Y195" s="58"/>
    </row>
    <row r="196" spans="21:25" s="55" customFormat="1" ht="26.25" customHeight="1">
      <c r="U196" s="58"/>
      <c r="V196" s="56"/>
      <c r="W196" s="56"/>
      <c r="X196" s="56"/>
      <c r="Y196" s="58"/>
    </row>
    <row r="197" spans="21:25" s="55" customFormat="1" ht="26.25" customHeight="1">
      <c r="U197" s="58"/>
      <c r="V197" s="56"/>
      <c r="W197" s="56"/>
      <c r="X197" s="56"/>
      <c r="Y197" s="58"/>
    </row>
    <row r="198" spans="21:25" s="55" customFormat="1" ht="26.25" customHeight="1">
      <c r="U198" s="58"/>
      <c r="V198" s="56"/>
      <c r="W198" s="56"/>
      <c r="X198" s="56"/>
      <c r="Y198" s="58"/>
    </row>
    <row r="199" spans="21:25" s="55" customFormat="1" ht="26.25" customHeight="1">
      <c r="U199" s="58"/>
      <c r="V199" s="56"/>
      <c r="W199" s="56"/>
      <c r="X199" s="56"/>
      <c r="Y199" s="58"/>
    </row>
    <row r="200" spans="21:25" s="55" customFormat="1" ht="26.25" customHeight="1">
      <c r="U200" s="58"/>
      <c r="V200" s="56"/>
      <c r="W200" s="56"/>
      <c r="X200" s="56"/>
      <c r="Y200" s="58"/>
    </row>
    <row r="201" spans="21:25" s="55" customFormat="1" ht="26.25" customHeight="1">
      <c r="U201" s="58"/>
      <c r="V201" s="56"/>
      <c r="W201" s="56"/>
      <c r="X201" s="56"/>
      <c r="Y201" s="58"/>
    </row>
    <row r="202" spans="21:25" s="55" customFormat="1" ht="26.25" customHeight="1">
      <c r="U202" s="58"/>
      <c r="V202" s="56"/>
      <c r="W202" s="56"/>
      <c r="X202" s="56"/>
      <c r="Y202" s="58"/>
    </row>
    <row r="203" spans="21:25" s="55" customFormat="1" ht="26.25" customHeight="1">
      <c r="U203" s="58"/>
      <c r="V203" s="56"/>
      <c r="W203" s="56"/>
      <c r="X203" s="56"/>
      <c r="Y203" s="58"/>
    </row>
    <row r="204" spans="21:25" s="55" customFormat="1" ht="26.25" customHeight="1">
      <c r="U204" s="58"/>
      <c r="V204" s="56"/>
      <c r="W204" s="56"/>
      <c r="X204" s="56"/>
      <c r="Y204" s="58"/>
    </row>
    <row r="205" spans="21:25" s="55" customFormat="1" ht="26.25" customHeight="1">
      <c r="U205" s="58"/>
      <c r="V205" s="56"/>
      <c r="W205" s="56"/>
      <c r="X205" s="56"/>
      <c r="Y205" s="58"/>
    </row>
    <row r="206" spans="21:25" s="55" customFormat="1" ht="26.25" customHeight="1">
      <c r="U206" s="58"/>
      <c r="V206" s="56"/>
      <c r="W206" s="56"/>
      <c r="X206" s="56"/>
      <c r="Y206" s="58"/>
    </row>
    <row r="207" spans="21:25" s="55" customFormat="1" ht="26.25" customHeight="1">
      <c r="U207" s="58"/>
      <c r="V207" s="56"/>
      <c r="W207" s="56"/>
      <c r="X207" s="56"/>
      <c r="Y207" s="58"/>
    </row>
    <row r="208" spans="21:25" s="55" customFormat="1" ht="26.25" customHeight="1">
      <c r="U208" s="58"/>
      <c r="V208" s="56"/>
      <c r="W208" s="56"/>
      <c r="X208" s="56"/>
      <c r="Y208" s="58"/>
    </row>
    <row r="209" spans="21:25" s="55" customFormat="1" ht="26.25" customHeight="1">
      <c r="U209" s="58"/>
      <c r="V209" s="56"/>
      <c r="W209" s="56"/>
      <c r="X209" s="56"/>
      <c r="Y209" s="58"/>
    </row>
    <row r="210" spans="21:25" s="55" customFormat="1" ht="26.25" customHeight="1">
      <c r="U210" s="58"/>
      <c r="V210" s="56"/>
      <c r="W210" s="56"/>
      <c r="X210" s="56"/>
      <c r="Y210" s="58"/>
    </row>
    <row r="211" spans="21:25" s="55" customFormat="1" ht="26.25" customHeight="1">
      <c r="U211" s="58"/>
      <c r="V211" s="56"/>
      <c r="W211" s="56"/>
      <c r="X211" s="56"/>
      <c r="Y211" s="58"/>
    </row>
    <row r="212" spans="21:25" s="55" customFormat="1" ht="26.25" customHeight="1">
      <c r="U212" s="58"/>
      <c r="V212" s="56"/>
      <c r="W212" s="56"/>
      <c r="X212" s="56"/>
      <c r="Y212" s="58"/>
    </row>
    <row r="213" spans="21:25" s="55" customFormat="1" ht="26.25" customHeight="1">
      <c r="U213" s="58"/>
      <c r="V213" s="56"/>
      <c r="W213" s="56"/>
      <c r="X213" s="56"/>
      <c r="Y213" s="58"/>
    </row>
    <row r="214" spans="21:25" s="55" customFormat="1" ht="26.25" customHeight="1">
      <c r="U214" s="58"/>
      <c r="V214" s="56"/>
      <c r="W214" s="56"/>
      <c r="X214" s="56"/>
      <c r="Y214" s="58"/>
    </row>
    <row r="215" spans="21:25" s="55" customFormat="1" ht="26.25" customHeight="1">
      <c r="U215" s="58"/>
      <c r="V215" s="56"/>
      <c r="W215" s="56"/>
      <c r="X215" s="56"/>
      <c r="Y215" s="58"/>
    </row>
    <row r="216" spans="21:25" s="55" customFormat="1" ht="26.25" customHeight="1">
      <c r="U216" s="58"/>
      <c r="V216" s="56"/>
      <c r="W216" s="56"/>
      <c r="X216" s="56"/>
      <c r="Y216" s="58"/>
    </row>
    <row r="217" spans="21:25" s="55" customFormat="1" ht="26.25" customHeight="1">
      <c r="U217" s="58"/>
      <c r="V217" s="56"/>
      <c r="W217" s="56"/>
      <c r="X217" s="56"/>
      <c r="Y217" s="58"/>
    </row>
    <row r="218" spans="21:25" s="55" customFormat="1" ht="26.25" customHeight="1">
      <c r="U218" s="58"/>
      <c r="V218" s="56"/>
      <c r="W218" s="56"/>
      <c r="X218" s="56"/>
      <c r="Y218" s="58"/>
    </row>
    <row r="219" spans="21:25" s="55" customFormat="1" ht="26.25" customHeight="1">
      <c r="U219" s="58"/>
      <c r="V219" s="56"/>
      <c r="W219" s="56"/>
      <c r="X219" s="56"/>
      <c r="Y219" s="58"/>
    </row>
    <row r="220" spans="21:25" s="55" customFormat="1" ht="26.25" customHeight="1">
      <c r="U220" s="58"/>
      <c r="V220" s="56"/>
      <c r="W220" s="56"/>
      <c r="X220" s="56"/>
      <c r="Y220" s="58"/>
    </row>
    <row r="221" spans="21:25" s="55" customFormat="1" ht="26.25" customHeight="1">
      <c r="U221" s="58"/>
      <c r="V221" s="56"/>
      <c r="W221" s="56"/>
      <c r="X221" s="56"/>
      <c r="Y221" s="58"/>
    </row>
    <row r="222" spans="21:25" s="55" customFormat="1" ht="26.25" customHeight="1">
      <c r="U222" s="58"/>
      <c r="V222" s="56"/>
      <c r="W222" s="56"/>
      <c r="X222" s="56"/>
      <c r="Y222" s="58"/>
    </row>
    <row r="223" spans="21:25" s="55" customFormat="1" ht="26.25" customHeight="1">
      <c r="U223" s="58"/>
      <c r="V223" s="56"/>
      <c r="W223" s="56"/>
      <c r="X223" s="56"/>
      <c r="Y223" s="58"/>
    </row>
    <row r="224" spans="21:25" s="55" customFormat="1" ht="26.25" customHeight="1">
      <c r="U224" s="58"/>
      <c r="V224" s="56"/>
      <c r="W224" s="56"/>
      <c r="X224" s="56"/>
      <c r="Y224" s="58"/>
    </row>
    <row r="225" spans="21:25" s="55" customFormat="1" ht="26.25" customHeight="1">
      <c r="U225" s="58"/>
      <c r="V225" s="56"/>
      <c r="W225" s="56"/>
      <c r="X225" s="56"/>
      <c r="Y225" s="58"/>
    </row>
    <row r="226" spans="21:25" s="55" customFormat="1" ht="26.25" customHeight="1">
      <c r="U226" s="58"/>
      <c r="V226" s="56"/>
      <c r="W226" s="56"/>
      <c r="X226" s="56"/>
      <c r="Y226" s="58"/>
    </row>
    <row r="227" spans="21:25" s="55" customFormat="1" ht="26.25" customHeight="1">
      <c r="U227" s="58"/>
      <c r="V227" s="56"/>
      <c r="W227" s="56"/>
      <c r="X227" s="56"/>
      <c r="Y227" s="58"/>
    </row>
    <row r="228" spans="21:25" s="55" customFormat="1" ht="26.25" customHeight="1">
      <c r="U228" s="58"/>
      <c r="V228" s="56"/>
      <c r="W228" s="56"/>
      <c r="X228" s="56"/>
      <c r="Y228" s="58"/>
    </row>
    <row r="229" spans="21:25" s="55" customFormat="1" ht="26.25" customHeight="1">
      <c r="U229" s="58"/>
      <c r="V229" s="56"/>
      <c r="W229" s="56"/>
      <c r="X229" s="56"/>
      <c r="Y229" s="58"/>
    </row>
    <row r="230" spans="21:25" s="55" customFormat="1" ht="26.25" customHeight="1">
      <c r="U230" s="58"/>
      <c r="V230" s="56"/>
      <c r="W230" s="56"/>
      <c r="X230" s="56"/>
      <c r="Y230" s="58"/>
    </row>
    <row r="231" spans="21:25" s="55" customFormat="1" ht="26.25" customHeight="1">
      <c r="U231" s="58"/>
      <c r="V231" s="56"/>
      <c r="W231" s="56"/>
      <c r="X231" s="56"/>
      <c r="Y231" s="58"/>
    </row>
    <row r="232" spans="21:25" s="55" customFormat="1" ht="26.25" customHeight="1">
      <c r="U232" s="58"/>
      <c r="V232" s="56"/>
      <c r="W232" s="56"/>
      <c r="X232" s="56"/>
      <c r="Y232" s="58"/>
    </row>
    <row r="233" spans="21:25" s="55" customFormat="1" ht="26.25" customHeight="1">
      <c r="U233" s="58"/>
      <c r="V233" s="56"/>
      <c r="W233" s="56"/>
      <c r="X233" s="56"/>
      <c r="Y233" s="58"/>
    </row>
    <row r="234" spans="21:25" s="55" customFormat="1" ht="26.25" customHeight="1">
      <c r="U234" s="58"/>
      <c r="V234" s="56"/>
      <c r="W234" s="56"/>
      <c r="X234" s="56"/>
      <c r="Y234" s="58"/>
    </row>
    <row r="235" spans="21:25" s="55" customFormat="1" ht="26.25" customHeight="1">
      <c r="U235" s="58"/>
      <c r="V235" s="56"/>
      <c r="W235" s="56"/>
      <c r="X235" s="56"/>
      <c r="Y235" s="58"/>
    </row>
    <row r="236" spans="21:25" s="55" customFormat="1" ht="26.25" customHeight="1">
      <c r="U236" s="58"/>
      <c r="V236" s="56"/>
      <c r="W236" s="56"/>
      <c r="X236" s="56"/>
      <c r="Y236" s="58"/>
    </row>
    <row r="237" spans="21:25" s="55" customFormat="1" ht="26.25" customHeight="1">
      <c r="U237" s="58"/>
      <c r="V237" s="56"/>
      <c r="W237" s="56"/>
      <c r="X237" s="56"/>
      <c r="Y237" s="58"/>
    </row>
    <row r="238" spans="21:25" s="55" customFormat="1" ht="26.25" customHeight="1">
      <c r="U238" s="58"/>
      <c r="V238" s="56"/>
      <c r="W238" s="56"/>
      <c r="X238" s="56"/>
      <c r="Y238" s="58"/>
    </row>
    <row r="239" spans="21:25" s="55" customFormat="1" ht="26.25" customHeight="1">
      <c r="U239" s="58"/>
      <c r="V239" s="56"/>
      <c r="W239" s="56"/>
      <c r="X239" s="56"/>
      <c r="Y239" s="58"/>
    </row>
    <row r="240" spans="21:25" s="55" customFormat="1" ht="26.25" customHeight="1">
      <c r="U240" s="58"/>
      <c r="V240" s="56"/>
      <c r="W240" s="56"/>
      <c r="X240" s="56"/>
      <c r="Y240" s="58"/>
    </row>
    <row r="241" spans="21:25" s="55" customFormat="1" ht="26.25" customHeight="1">
      <c r="U241" s="58"/>
      <c r="V241" s="56"/>
      <c r="W241" s="56"/>
      <c r="X241" s="56"/>
      <c r="Y241" s="58"/>
    </row>
    <row r="242" spans="21:25" s="55" customFormat="1" ht="26.25" customHeight="1">
      <c r="U242" s="58"/>
      <c r="V242" s="56"/>
      <c r="W242" s="56"/>
      <c r="X242" s="56"/>
      <c r="Y242" s="58"/>
    </row>
    <row r="243" spans="21:25" s="55" customFormat="1" ht="26.25" customHeight="1">
      <c r="U243" s="58"/>
      <c r="V243" s="56"/>
      <c r="W243" s="56"/>
      <c r="X243" s="56"/>
      <c r="Y243" s="58"/>
    </row>
    <row r="244" spans="21:25" s="55" customFormat="1" ht="26.25" customHeight="1">
      <c r="U244" s="58"/>
      <c r="V244" s="56"/>
      <c r="W244" s="56"/>
      <c r="X244" s="56"/>
      <c r="Y244" s="58"/>
    </row>
    <row r="245" spans="21:25" s="55" customFormat="1" ht="26.25" customHeight="1">
      <c r="U245" s="58"/>
      <c r="V245" s="56"/>
      <c r="W245" s="56"/>
      <c r="X245" s="56"/>
      <c r="Y245" s="58"/>
    </row>
    <row r="246" spans="21:25" s="55" customFormat="1" ht="26.25" customHeight="1">
      <c r="U246" s="58"/>
      <c r="V246" s="56"/>
      <c r="W246" s="56"/>
      <c r="X246" s="56"/>
      <c r="Y246" s="58"/>
    </row>
    <row r="247" spans="21:25" s="55" customFormat="1" ht="26.25" customHeight="1">
      <c r="U247" s="58"/>
      <c r="V247" s="56"/>
      <c r="W247" s="56"/>
      <c r="X247" s="56"/>
      <c r="Y247" s="58"/>
    </row>
    <row r="248" spans="21:25" s="55" customFormat="1" ht="26.25" customHeight="1">
      <c r="U248" s="58"/>
      <c r="V248" s="56"/>
      <c r="W248" s="56"/>
      <c r="X248" s="56"/>
      <c r="Y248" s="58"/>
    </row>
    <row r="249" spans="21:25" s="55" customFormat="1" ht="26.25" customHeight="1">
      <c r="U249" s="58"/>
      <c r="V249" s="56"/>
      <c r="W249" s="56"/>
      <c r="X249" s="56"/>
      <c r="Y249" s="58"/>
    </row>
    <row r="250" spans="21:25" s="55" customFormat="1" ht="26.25" customHeight="1">
      <c r="U250" s="58"/>
      <c r="V250" s="56"/>
      <c r="W250" s="56"/>
      <c r="X250" s="56"/>
      <c r="Y250" s="58"/>
    </row>
    <row r="251" spans="21:25" s="55" customFormat="1" ht="26.25" customHeight="1">
      <c r="U251" s="58"/>
      <c r="V251" s="56"/>
      <c r="W251" s="56"/>
      <c r="X251" s="56"/>
      <c r="Y251" s="58"/>
    </row>
    <row r="252" spans="21:25" s="55" customFormat="1" ht="26.25" customHeight="1">
      <c r="U252" s="58"/>
      <c r="V252" s="56"/>
      <c r="W252" s="56"/>
      <c r="X252" s="56"/>
      <c r="Y252" s="58"/>
    </row>
    <row r="253" spans="21:25" s="55" customFormat="1" ht="26.25" customHeight="1">
      <c r="U253" s="58"/>
      <c r="V253" s="56"/>
      <c r="W253" s="56"/>
      <c r="X253" s="56"/>
      <c r="Y253" s="58"/>
    </row>
    <row r="254" spans="21:25" s="55" customFormat="1" ht="26.25" customHeight="1">
      <c r="U254" s="58"/>
      <c r="V254" s="56"/>
      <c r="W254" s="56"/>
      <c r="X254" s="56"/>
      <c r="Y254" s="58"/>
    </row>
    <row r="255" spans="21:25" s="55" customFormat="1" ht="26.25" customHeight="1">
      <c r="U255" s="58"/>
      <c r="V255" s="56"/>
      <c r="W255" s="56"/>
      <c r="X255" s="56"/>
      <c r="Y255" s="58"/>
    </row>
    <row r="256" spans="21:25" s="55" customFormat="1" ht="26.25" customHeight="1">
      <c r="U256" s="58"/>
      <c r="V256" s="56"/>
      <c r="W256" s="56"/>
      <c r="X256" s="56"/>
      <c r="Y256" s="58"/>
    </row>
    <row r="257" spans="21:25" s="55" customFormat="1" ht="26.25" customHeight="1">
      <c r="U257" s="58"/>
      <c r="V257" s="56"/>
      <c r="W257" s="56"/>
      <c r="X257" s="56"/>
      <c r="Y257" s="58"/>
    </row>
    <row r="258" spans="21:25" s="55" customFormat="1" ht="26.25" customHeight="1">
      <c r="U258" s="58"/>
      <c r="V258" s="56"/>
      <c r="W258" s="56"/>
      <c r="X258" s="56"/>
      <c r="Y258" s="58"/>
    </row>
    <row r="259" spans="21:25" s="55" customFormat="1" ht="26.25" customHeight="1">
      <c r="U259" s="58"/>
      <c r="V259" s="56"/>
      <c r="W259" s="56"/>
      <c r="X259" s="56"/>
      <c r="Y259" s="58"/>
    </row>
    <row r="260" spans="21:25" s="55" customFormat="1" ht="26.25" customHeight="1">
      <c r="U260" s="58"/>
      <c r="V260" s="56"/>
      <c r="W260" s="56"/>
      <c r="X260" s="56"/>
      <c r="Y260" s="58"/>
    </row>
    <row r="261" spans="21:25" s="55" customFormat="1" ht="26.25" customHeight="1">
      <c r="U261" s="58"/>
      <c r="V261" s="56"/>
      <c r="W261" s="56"/>
      <c r="X261" s="56"/>
      <c r="Y261" s="58"/>
    </row>
    <row r="262" spans="21:25" s="55" customFormat="1" ht="26.25" customHeight="1">
      <c r="U262" s="58"/>
      <c r="V262" s="56"/>
      <c r="W262" s="56"/>
      <c r="X262" s="56"/>
      <c r="Y262" s="58"/>
    </row>
    <row r="263" spans="21:25" s="55" customFormat="1" ht="26.25" customHeight="1">
      <c r="U263" s="58"/>
      <c r="V263" s="56"/>
      <c r="W263" s="56"/>
      <c r="X263" s="56"/>
      <c r="Y263" s="58"/>
    </row>
    <row r="264" spans="21:25" s="55" customFormat="1" ht="26.25" customHeight="1">
      <c r="U264" s="58"/>
      <c r="V264" s="56"/>
      <c r="W264" s="56"/>
      <c r="X264" s="56"/>
      <c r="Y264" s="58"/>
    </row>
    <row r="265" spans="21:25" s="55" customFormat="1" ht="26.25" customHeight="1">
      <c r="U265" s="58"/>
      <c r="V265" s="56"/>
      <c r="W265" s="56"/>
      <c r="X265" s="56"/>
      <c r="Y265" s="58"/>
    </row>
    <row r="266" spans="21:25" s="55" customFormat="1" ht="26.25" customHeight="1">
      <c r="U266" s="58"/>
      <c r="V266" s="56"/>
      <c r="W266" s="56"/>
      <c r="X266" s="56"/>
      <c r="Y266" s="58"/>
    </row>
    <row r="267" spans="21:25" s="55" customFormat="1" ht="26.25" customHeight="1">
      <c r="U267" s="58"/>
      <c r="V267" s="56"/>
      <c r="W267" s="56"/>
      <c r="X267" s="56"/>
      <c r="Y267" s="58"/>
    </row>
    <row r="268" spans="21:25" s="55" customFormat="1" ht="26.25" customHeight="1">
      <c r="U268" s="58"/>
      <c r="V268" s="56"/>
      <c r="W268" s="56"/>
      <c r="X268" s="56"/>
      <c r="Y268" s="58"/>
    </row>
    <row r="269" spans="21:25" s="55" customFormat="1" ht="26.25" customHeight="1">
      <c r="U269" s="58"/>
      <c r="V269" s="56"/>
      <c r="W269" s="56"/>
      <c r="X269" s="56"/>
      <c r="Y269" s="58"/>
    </row>
    <row r="270" spans="21:25" s="55" customFormat="1" ht="26.25" customHeight="1">
      <c r="U270" s="58"/>
      <c r="V270" s="56"/>
      <c r="W270" s="56"/>
      <c r="X270" s="56"/>
      <c r="Y270" s="58"/>
    </row>
    <row r="271" spans="21:25" s="55" customFormat="1" ht="26.25" customHeight="1">
      <c r="U271" s="58"/>
      <c r="V271" s="56"/>
      <c r="W271" s="56"/>
      <c r="X271" s="56"/>
      <c r="Y271" s="58"/>
    </row>
    <row r="272" spans="21:25" s="55" customFormat="1" ht="26.25" customHeight="1">
      <c r="U272" s="58"/>
      <c r="V272" s="56"/>
      <c r="W272" s="56"/>
      <c r="X272" s="56"/>
      <c r="Y272" s="58"/>
    </row>
    <row r="273" spans="21:25" s="55" customFormat="1" ht="26.25" customHeight="1">
      <c r="U273" s="58"/>
      <c r="V273" s="56"/>
      <c r="W273" s="56"/>
      <c r="X273" s="56"/>
      <c r="Y273" s="58"/>
    </row>
    <row r="274" spans="21:25" s="55" customFormat="1" ht="26.25" customHeight="1">
      <c r="U274" s="58"/>
      <c r="V274" s="56"/>
      <c r="W274" s="56"/>
      <c r="X274" s="56"/>
      <c r="Y274" s="58"/>
    </row>
    <row r="275" spans="21:25" s="55" customFormat="1" ht="26.25" customHeight="1">
      <c r="U275" s="58"/>
      <c r="V275" s="56"/>
      <c r="W275" s="56"/>
      <c r="X275" s="56"/>
      <c r="Y275" s="58"/>
    </row>
    <row r="276" spans="21:25" s="55" customFormat="1" ht="26.25" customHeight="1">
      <c r="U276" s="58"/>
      <c r="V276" s="56"/>
      <c r="W276" s="56"/>
      <c r="X276" s="56"/>
      <c r="Y276" s="58"/>
    </row>
    <row r="277" spans="21:25" s="55" customFormat="1" ht="26.25" customHeight="1">
      <c r="U277" s="58"/>
      <c r="V277" s="56"/>
      <c r="W277" s="56"/>
      <c r="X277" s="56"/>
      <c r="Y277" s="58"/>
    </row>
    <row r="278" spans="21:25" s="55" customFormat="1" ht="26.25" customHeight="1">
      <c r="U278" s="58"/>
      <c r="V278" s="56"/>
      <c r="W278" s="56"/>
      <c r="X278" s="56"/>
      <c r="Y278" s="58"/>
    </row>
    <row r="279" spans="21:25" s="55" customFormat="1" ht="26.25" customHeight="1">
      <c r="U279" s="58"/>
      <c r="V279" s="56"/>
      <c r="W279" s="56"/>
      <c r="X279" s="56"/>
      <c r="Y279" s="58"/>
    </row>
    <row r="280" spans="21:25" s="55" customFormat="1" ht="26.25" customHeight="1">
      <c r="U280" s="58"/>
      <c r="V280" s="56"/>
      <c r="W280" s="56"/>
      <c r="X280" s="56"/>
      <c r="Y280" s="58"/>
    </row>
    <row r="281" spans="21:25" s="55" customFormat="1" ht="26.25" customHeight="1">
      <c r="U281" s="58"/>
      <c r="V281" s="56"/>
      <c r="W281" s="56"/>
      <c r="X281" s="56"/>
      <c r="Y281" s="58"/>
    </row>
    <row r="282" spans="21:25" s="55" customFormat="1" ht="26.25" customHeight="1">
      <c r="U282" s="58"/>
      <c r="V282" s="56"/>
      <c r="W282" s="56"/>
      <c r="X282" s="56"/>
      <c r="Y282" s="58"/>
    </row>
    <row r="283" spans="21:25" s="55" customFormat="1" ht="26.25" customHeight="1">
      <c r="U283" s="58"/>
      <c r="V283" s="56"/>
      <c r="W283" s="56"/>
      <c r="X283" s="56"/>
      <c r="Y283" s="58"/>
    </row>
    <row r="284" spans="21:25" s="55" customFormat="1" ht="26.25" customHeight="1">
      <c r="U284" s="58"/>
      <c r="V284" s="56"/>
      <c r="W284" s="56"/>
      <c r="X284" s="56"/>
      <c r="Y284" s="58"/>
    </row>
    <row r="285" spans="21:25" s="55" customFormat="1" ht="26.25" customHeight="1">
      <c r="U285" s="58"/>
      <c r="V285" s="56"/>
      <c r="W285" s="56"/>
      <c r="X285" s="56"/>
      <c r="Y285" s="58"/>
    </row>
    <row r="286" spans="21:25" s="55" customFormat="1" ht="26.25" customHeight="1">
      <c r="U286" s="58"/>
      <c r="V286" s="56"/>
      <c r="W286" s="56"/>
      <c r="X286" s="56"/>
      <c r="Y286" s="58"/>
    </row>
    <row r="287" spans="21:25" s="55" customFormat="1" ht="26.25" customHeight="1">
      <c r="U287" s="58"/>
      <c r="V287" s="56"/>
      <c r="W287" s="56"/>
      <c r="X287" s="56"/>
      <c r="Y287" s="58"/>
    </row>
    <row r="288" spans="21:25" s="55" customFormat="1" ht="26.25" customHeight="1">
      <c r="U288" s="58"/>
      <c r="V288" s="56"/>
      <c r="W288" s="56"/>
      <c r="X288" s="56"/>
      <c r="Y288" s="58"/>
    </row>
    <row r="289" spans="21:25" s="55" customFormat="1" ht="26.25" customHeight="1">
      <c r="U289" s="58"/>
      <c r="V289" s="56"/>
      <c r="W289" s="56"/>
      <c r="X289" s="56"/>
      <c r="Y289" s="58"/>
    </row>
    <row r="290" spans="21:25" s="55" customFormat="1" ht="26.25" customHeight="1">
      <c r="U290" s="58"/>
      <c r="V290" s="56"/>
      <c r="W290" s="56"/>
      <c r="X290" s="56"/>
      <c r="Y290" s="58"/>
    </row>
    <row r="291" spans="21:25" s="55" customFormat="1" ht="26.25" customHeight="1">
      <c r="U291" s="58"/>
      <c r="V291" s="56"/>
      <c r="W291" s="56"/>
      <c r="X291" s="56"/>
      <c r="Y291" s="58"/>
    </row>
    <row r="292" spans="21:25" s="55" customFormat="1" ht="26.25" customHeight="1">
      <c r="U292" s="58"/>
      <c r="V292" s="56"/>
      <c r="W292" s="56"/>
      <c r="X292" s="56"/>
      <c r="Y292" s="58"/>
    </row>
    <row r="293" spans="21:25" s="55" customFormat="1" ht="26.25" customHeight="1">
      <c r="U293" s="58"/>
      <c r="V293" s="56"/>
      <c r="W293" s="56"/>
      <c r="X293" s="56"/>
      <c r="Y293" s="58"/>
    </row>
    <row r="294" spans="21:25" s="55" customFormat="1" ht="26.25" customHeight="1">
      <c r="U294" s="58"/>
      <c r="V294" s="56"/>
      <c r="W294" s="56"/>
      <c r="X294" s="56"/>
      <c r="Y294" s="58"/>
    </row>
    <row r="295" spans="21:25" s="55" customFormat="1" ht="26.25" customHeight="1">
      <c r="U295" s="58"/>
      <c r="V295" s="56"/>
      <c r="W295" s="56"/>
      <c r="X295" s="56"/>
      <c r="Y295" s="58"/>
    </row>
    <row r="296" spans="21:25" s="55" customFormat="1" ht="26.25" customHeight="1">
      <c r="U296" s="58"/>
      <c r="V296" s="56"/>
      <c r="W296" s="56"/>
      <c r="X296" s="56"/>
      <c r="Y296" s="58"/>
    </row>
    <row r="297" spans="21:25" s="55" customFormat="1" ht="26.25" customHeight="1">
      <c r="U297" s="58"/>
      <c r="V297" s="56"/>
      <c r="W297" s="56"/>
      <c r="X297" s="56"/>
      <c r="Y297" s="58"/>
    </row>
    <row r="298" spans="21:25" s="55" customFormat="1" ht="26.25" customHeight="1">
      <c r="U298" s="58"/>
      <c r="V298" s="56"/>
      <c r="W298" s="56"/>
      <c r="X298" s="56"/>
      <c r="Y298" s="58"/>
    </row>
    <row r="299" spans="21:25" s="55" customFormat="1" ht="26.25" customHeight="1">
      <c r="U299" s="58"/>
      <c r="V299" s="56"/>
      <c r="W299" s="56"/>
      <c r="X299" s="56"/>
      <c r="Y299" s="58"/>
    </row>
    <row r="300" spans="21:25" s="55" customFormat="1" ht="26.25" customHeight="1">
      <c r="U300" s="58"/>
      <c r="V300" s="56"/>
      <c r="W300" s="56"/>
      <c r="X300" s="56"/>
      <c r="Y300" s="58"/>
    </row>
    <row r="301" spans="21:25" s="55" customFormat="1" ht="26.25" customHeight="1">
      <c r="U301" s="58"/>
      <c r="V301" s="56"/>
      <c r="W301" s="56"/>
      <c r="X301" s="56"/>
      <c r="Y301" s="58"/>
    </row>
    <row r="302" spans="21:25" s="55" customFormat="1" ht="26.25" customHeight="1">
      <c r="U302" s="58"/>
      <c r="V302" s="56"/>
      <c r="W302" s="56"/>
      <c r="X302" s="56"/>
      <c r="Y302" s="58"/>
    </row>
    <row r="303" spans="21:25" s="55" customFormat="1" ht="26.25" customHeight="1">
      <c r="U303" s="58"/>
      <c r="V303" s="56"/>
      <c r="W303" s="56"/>
      <c r="X303" s="56"/>
      <c r="Y303" s="58"/>
    </row>
    <row r="304" spans="21:25" s="55" customFormat="1" ht="26.25" customHeight="1">
      <c r="U304" s="58"/>
      <c r="V304" s="56"/>
      <c r="W304" s="56"/>
      <c r="X304" s="56"/>
      <c r="Y304" s="58"/>
    </row>
    <row r="305" spans="21:25" s="55" customFormat="1" ht="26.25" customHeight="1">
      <c r="U305" s="58"/>
      <c r="V305" s="56"/>
      <c r="W305" s="56"/>
      <c r="X305" s="56"/>
      <c r="Y305" s="58"/>
    </row>
    <row r="306" spans="21:25" s="55" customFormat="1" ht="26.25" customHeight="1">
      <c r="U306" s="58"/>
      <c r="V306" s="56"/>
      <c r="W306" s="56"/>
      <c r="X306" s="56"/>
      <c r="Y306" s="58"/>
    </row>
    <row r="307" spans="21:25" s="55" customFormat="1" ht="26.25" customHeight="1">
      <c r="U307" s="58"/>
      <c r="V307" s="56"/>
      <c r="W307" s="56"/>
      <c r="X307" s="56"/>
      <c r="Y307" s="58"/>
    </row>
    <row r="308" spans="21:25" s="55" customFormat="1" ht="26.25" customHeight="1">
      <c r="U308" s="58"/>
      <c r="V308" s="56"/>
      <c r="W308" s="56"/>
      <c r="X308" s="56"/>
      <c r="Y308" s="58"/>
    </row>
    <row r="309" spans="21:25" s="55" customFormat="1" ht="26.25" customHeight="1">
      <c r="U309" s="58"/>
      <c r="V309" s="56"/>
      <c r="W309" s="56"/>
      <c r="X309" s="56"/>
      <c r="Y309" s="58"/>
    </row>
    <row r="310" spans="21:25" s="55" customFormat="1" ht="26.25" customHeight="1">
      <c r="U310" s="58"/>
      <c r="V310" s="56"/>
      <c r="W310" s="56"/>
      <c r="X310" s="56"/>
      <c r="Y310" s="58"/>
    </row>
    <row r="311" spans="21:25" s="55" customFormat="1" ht="26.25" customHeight="1">
      <c r="U311" s="58"/>
      <c r="V311" s="56"/>
      <c r="W311" s="56"/>
      <c r="X311" s="56"/>
      <c r="Y311" s="58"/>
    </row>
    <row r="312" spans="21:25" s="55" customFormat="1" ht="26.25" customHeight="1">
      <c r="U312" s="58"/>
      <c r="V312" s="56"/>
      <c r="W312" s="56"/>
      <c r="X312" s="56"/>
      <c r="Y312" s="58"/>
    </row>
    <row r="313" spans="21:25" s="55" customFormat="1" ht="26.25" customHeight="1">
      <c r="U313" s="58"/>
      <c r="V313" s="56"/>
      <c r="W313" s="56"/>
      <c r="X313" s="56"/>
      <c r="Y313" s="58"/>
    </row>
    <row r="314" spans="21:25" s="55" customFormat="1" ht="26.25" customHeight="1">
      <c r="U314" s="58"/>
      <c r="V314" s="56"/>
      <c r="W314" s="56"/>
      <c r="X314" s="56"/>
      <c r="Y314" s="58"/>
    </row>
    <row r="315" spans="21:25" s="55" customFormat="1" ht="26.25" customHeight="1">
      <c r="U315" s="58"/>
      <c r="V315" s="56"/>
      <c r="W315" s="56"/>
      <c r="X315" s="56"/>
      <c r="Y315" s="58"/>
    </row>
    <row r="316" spans="21:25" s="55" customFormat="1" ht="26.25" customHeight="1">
      <c r="U316" s="58"/>
      <c r="V316" s="56"/>
      <c r="W316" s="56"/>
      <c r="X316" s="56"/>
      <c r="Y316" s="58"/>
    </row>
    <row r="317" spans="21:25" s="55" customFormat="1" ht="26.25" customHeight="1">
      <c r="U317" s="58"/>
      <c r="V317" s="56"/>
      <c r="W317" s="56"/>
      <c r="X317" s="56"/>
      <c r="Y317" s="58"/>
    </row>
    <row r="318" spans="21:25" s="55" customFormat="1" ht="26.25" customHeight="1">
      <c r="U318" s="58"/>
      <c r="V318" s="56"/>
      <c r="W318" s="56"/>
      <c r="X318" s="56"/>
      <c r="Y318" s="58"/>
    </row>
    <row r="319" spans="21:25" s="55" customFormat="1" ht="26.25" customHeight="1">
      <c r="U319" s="58"/>
      <c r="V319" s="56"/>
      <c r="W319" s="56"/>
      <c r="X319" s="56"/>
      <c r="Y319" s="58"/>
    </row>
    <row r="320" spans="21:25" s="55" customFormat="1" ht="26.25" customHeight="1">
      <c r="U320" s="58"/>
      <c r="V320" s="56"/>
      <c r="W320" s="56"/>
      <c r="X320" s="56"/>
      <c r="Y320" s="58"/>
    </row>
    <row r="321" spans="21:25" s="55" customFormat="1" ht="26.25" customHeight="1">
      <c r="U321" s="58"/>
      <c r="V321" s="56"/>
      <c r="W321" s="56"/>
      <c r="X321" s="56"/>
      <c r="Y321" s="58"/>
    </row>
    <row r="322" spans="21:25" s="55" customFormat="1" ht="26.25" customHeight="1">
      <c r="U322" s="58"/>
      <c r="V322" s="56"/>
      <c r="W322" s="56"/>
      <c r="X322" s="56"/>
      <c r="Y322" s="58"/>
    </row>
    <row r="323" spans="21:25" s="55" customFormat="1" ht="26.25" customHeight="1">
      <c r="U323" s="58"/>
      <c r="V323" s="56"/>
      <c r="W323" s="56"/>
      <c r="X323" s="56"/>
      <c r="Y323" s="58"/>
    </row>
    <row r="324" spans="21:25" s="55" customFormat="1" ht="26.25" customHeight="1">
      <c r="U324" s="58"/>
      <c r="V324" s="56"/>
      <c r="W324" s="56"/>
      <c r="X324" s="56"/>
      <c r="Y324" s="58"/>
    </row>
    <row r="325" spans="21:25" s="55" customFormat="1" ht="26.25" customHeight="1">
      <c r="U325" s="58"/>
      <c r="V325" s="56"/>
      <c r="W325" s="56"/>
      <c r="X325" s="56"/>
      <c r="Y325" s="58"/>
    </row>
    <row r="326" spans="21:25" s="55" customFormat="1" ht="26.25" customHeight="1">
      <c r="U326" s="58"/>
      <c r="V326" s="56"/>
      <c r="W326" s="56"/>
      <c r="X326" s="56"/>
      <c r="Y326" s="58"/>
    </row>
    <row r="327" spans="21:25" s="55" customFormat="1" ht="26.25" customHeight="1">
      <c r="U327" s="58"/>
      <c r="V327" s="56"/>
      <c r="W327" s="56"/>
      <c r="X327" s="56"/>
      <c r="Y327" s="58"/>
    </row>
    <row r="328" spans="21:25" s="55" customFormat="1" ht="26.25" customHeight="1">
      <c r="U328" s="58"/>
      <c r="V328" s="56"/>
      <c r="W328" s="56"/>
      <c r="X328" s="56"/>
      <c r="Y328" s="58"/>
    </row>
    <row r="329" spans="21:25" s="55" customFormat="1" ht="26.25" customHeight="1">
      <c r="U329" s="58"/>
      <c r="V329" s="56"/>
      <c r="W329" s="56"/>
      <c r="X329" s="56"/>
      <c r="Y329" s="58"/>
    </row>
    <row r="330" spans="21:25" s="55" customFormat="1" ht="26.25" customHeight="1">
      <c r="U330" s="58"/>
      <c r="V330" s="56"/>
      <c r="W330" s="56"/>
      <c r="X330" s="56"/>
      <c r="Y330" s="58"/>
    </row>
    <row r="331" spans="21:25" s="55" customFormat="1" ht="26.25" customHeight="1">
      <c r="U331" s="58"/>
      <c r="V331" s="56"/>
      <c r="W331" s="56"/>
      <c r="X331" s="56"/>
      <c r="Y331" s="58"/>
    </row>
    <row r="332" spans="21:25" s="55" customFormat="1" ht="26.25" customHeight="1">
      <c r="U332" s="58"/>
      <c r="V332" s="56"/>
      <c r="W332" s="56"/>
      <c r="X332" s="56"/>
      <c r="Y332" s="58"/>
    </row>
    <row r="333" spans="21:25" s="55" customFormat="1" ht="26.25" customHeight="1">
      <c r="U333" s="58"/>
      <c r="V333" s="56"/>
      <c r="W333" s="56"/>
      <c r="X333" s="56"/>
      <c r="Y333" s="58"/>
    </row>
    <row r="334" spans="21:25" s="55" customFormat="1" ht="26.25" customHeight="1">
      <c r="U334" s="58"/>
      <c r="V334" s="56"/>
      <c r="W334" s="56"/>
      <c r="X334" s="56"/>
      <c r="Y334" s="58"/>
    </row>
    <row r="335" spans="21:25" s="55" customFormat="1" ht="26.25" customHeight="1">
      <c r="U335" s="58"/>
      <c r="V335" s="56"/>
      <c r="W335" s="56"/>
      <c r="X335" s="56"/>
      <c r="Y335" s="58"/>
    </row>
    <row r="336" spans="21:25" s="55" customFormat="1" ht="26.25" customHeight="1">
      <c r="U336" s="58"/>
      <c r="V336" s="56"/>
      <c r="W336" s="56"/>
      <c r="X336" s="56"/>
      <c r="Y336" s="58"/>
    </row>
    <row r="337" spans="21:25" s="55" customFormat="1" ht="26.25" customHeight="1">
      <c r="U337" s="58"/>
      <c r="V337" s="56"/>
      <c r="W337" s="56"/>
      <c r="X337" s="56"/>
      <c r="Y337" s="58"/>
    </row>
    <row r="338" spans="21:25" s="55" customFormat="1" ht="26.25" customHeight="1">
      <c r="U338" s="58"/>
      <c r="V338" s="56"/>
      <c r="W338" s="56"/>
      <c r="X338" s="56"/>
      <c r="Y338" s="58"/>
    </row>
    <row r="339" spans="21:25" s="55" customFormat="1" ht="26.25" customHeight="1">
      <c r="U339" s="58"/>
      <c r="V339" s="56"/>
      <c r="W339" s="56"/>
      <c r="X339" s="56"/>
      <c r="Y339" s="58"/>
    </row>
    <row r="340" spans="21:25" s="55" customFormat="1" ht="26.25" customHeight="1">
      <c r="U340" s="58"/>
      <c r="V340" s="56"/>
      <c r="W340" s="56"/>
      <c r="X340" s="56"/>
      <c r="Y340" s="58"/>
    </row>
    <row r="341" spans="21:25" s="55" customFormat="1" ht="26.25" customHeight="1">
      <c r="U341" s="58"/>
      <c r="V341" s="56"/>
      <c r="W341" s="56"/>
      <c r="X341" s="56"/>
      <c r="Y341" s="58"/>
    </row>
    <row r="342" spans="21:25" s="55" customFormat="1" ht="26.25" customHeight="1">
      <c r="U342" s="58"/>
      <c r="V342" s="56"/>
      <c r="W342" s="56"/>
      <c r="X342" s="56"/>
      <c r="Y342" s="58"/>
    </row>
    <row r="343" spans="21:25" s="55" customFormat="1" ht="26.25" customHeight="1">
      <c r="U343" s="58"/>
      <c r="V343" s="56"/>
      <c r="W343" s="56"/>
      <c r="X343" s="56"/>
      <c r="Y343" s="58"/>
    </row>
    <row r="344" spans="21:25" s="55" customFormat="1" ht="26.25" customHeight="1">
      <c r="U344" s="58"/>
      <c r="V344" s="56"/>
      <c r="W344" s="56"/>
      <c r="X344" s="56"/>
      <c r="Y344" s="58"/>
    </row>
    <row r="345" spans="21:25" s="55" customFormat="1" ht="26.25" customHeight="1">
      <c r="U345" s="58"/>
      <c r="V345" s="56"/>
      <c r="W345" s="56"/>
      <c r="X345" s="56"/>
      <c r="Y345" s="58"/>
    </row>
    <row r="346" spans="21:25" s="55" customFormat="1" ht="26.25" customHeight="1">
      <c r="U346" s="58"/>
      <c r="V346" s="56"/>
      <c r="W346" s="56"/>
      <c r="X346" s="56"/>
      <c r="Y346" s="58"/>
    </row>
    <row r="347" spans="21:25" s="55" customFormat="1" ht="26.25" customHeight="1">
      <c r="U347" s="58"/>
      <c r="V347" s="56"/>
      <c r="W347" s="56"/>
      <c r="X347" s="56"/>
      <c r="Y347" s="58"/>
    </row>
    <row r="348" spans="21:25" s="55" customFormat="1" ht="26.25" customHeight="1">
      <c r="U348" s="58"/>
      <c r="V348" s="56"/>
      <c r="W348" s="56"/>
      <c r="X348" s="56"/>
      <c r="Y348" s="58"/>
    </row>
    <row r="349" spans="21:25" s="55" customFormat="1" ht="26.25" customHeight="1">
      <c r="U349" s="58"/>
      <c r="V349" s="56"/>
      <c r="W349" s="56"/>
      <c r="X349" s="56"/>
      <c r="Y349" s="58"/>
    </row>
    <row r="350" spans="21:25" s="55" customFormat="1" ht="26.25" customHeight="1">
      <c r="U350" s="58"/>
      <c r="V350" s="56"/>
      <c r="W350" s="56"/>
      <c r="X350" s="56"/>
      <c r="Y350" s="58"/>
    </row>
    <row r="351" spans="21:25" s="55" customFormat="1" ht="26.25" customHeight="1">
      <c r="U351" s="58"/>
      <c r="V351" s="56"/>
      <c r="W351" s="56"/>
      <c r="X351" s="56"/>
      <c r="Y351" s="58"/>
    </row>
    <row r="352" spans="21:25" s="55" customFormat="1" ht="26.25" customHeight="1">
      <c r="U352" s="58"/>
      <c r="V352" s="56"/>
      <c r="W352" s="56"/>
      <c r="X352" s="56"/>
      <c r="Y352" s="58"/>
    </row>
    <row r="353" spans="21:25" s="55" customFormat="1" ht="26.25" customHeight="1">
      <c r="U353" s="58"/>
      <c r="V353" s="56"/>
      <c r="W353" s="56"/>
      <c r="X353" s="56"/>
      <c r="Y353" s="58"/>
    </row>
    <row r="354" spans="21:25" s="55" customFormat="1" ht="26.25" customHeight="1">
      <c r="U354" s="58"/>
      <c r="V354" s="56"/>
      <c r="W354" s="56"/>
      <c r="X354" s="56"/>
      <c r="Y354" s="58"/>
    </row>
    <row r="355" spans="21:25" s="55" customFormat="1" ht="26.25" customHeight="1">
      <c r="U355" s="58"/>
      <c r="V355" s="56"/>
      <c r="W355" s="56"/>
      <c r="X355" s="56"/>
      <c r="Y355" s="58"/>
    </row>
    <row r="356" spans="21:25" s="55" customFormat="1" ht="26.25" customHeight="1">
      <c r="U356" s="58"/>
      <c r="V356" s="56"/>
      <c r="W356" s="56"/>
      <c r="X356" s="56"/>
      <c r="Y356" s="58"/>
    </row>
    <row r="357" spans="21:25" s="55" customFormat="1" ht="26.25" customHeight="1">
      <c r="U357" s="58"/>
      <c r="V357" s="56"/>
      <c r="W357" s="56"/>
      <c r="X357" s="56"/>
      <c r="Y357" s="58"/>
    </row>
    <row r="358" spans="21:25" s="55" customFormat="1" ht="26.25" customHeight="1">
      <c r="U358" s="58"/>
      <c r="V358" s="56"/>
      <c r="W358" s="56"/>
      <c r="X358" s="56"/>
      <c r="Y358" s="58"/>
    </row>
    <row r="359" spans="21:25" s="55" customFormat="1" ht="26.25" customHeight="1">
      <c r="U359" s="58"/>
      <c r="V359" s="56"/>
      <c r="W359" s="56"/>
      <c r="X359" s="56"/>
      <c r="Y359" s="58"/>
    </row>
    <row r="360" spans="21:25" s="55" customFormat="1" ht="26.25" customHeight="1">
      <c r="U360" s="58"/>
      <c r="V360" s="56"/>
      <c r="W360" s="56"/>
      <c r="X360" s="56"/>
      <c r="Y360" s="58"/>
    </row>
    <row r="361" spans="21:25" s="55" customFormat="1" ht="26.25" customHeight="1">
      <c r="U361" s="58"/>
      <c r="V361" s="56"/>
      <c r="W361" s="56"/>
      <c r="X361" s="56"/>
      <c r="Y361" s="58"/>
    </row>
    <row r="362" spans="21:25" s="55" customFormat="1" ht="26.25" customHeight="1">
      <c r="U362" s="58"/>
      <c r="V362" s="56"/>
      <c r="W362" s="56"/>
      <c r="X362" s="56"/>
      <c r="Y362" s="58"/>
    </row>
    <row r="363" spans="21:25" s="55" customFormat="1" ht="26.25" customHeight="1">
      <c r="U363" s="58"/>
      <c r="V363" s="56"/>
      <c r="W363" s="56"/>
      <c r="X363" s="56"/>
      <c r="Y363" s="58"/>
    </row>
    <row r="364" spans="21:25" s="55" customFormat="1" ht="26.25" customHeight="1">
      <c r="U364" s="58"/>
      <c r="V364" s="56"/>
      <c r="W364" s="56"/>
      <c r="X364" s="56"/>
      <c r="Y364" s="58"/>
    </row>
    <row r="365" spans="21:25" s="55" customFormat="1" ht="26.25" customHeight="1">
      <c r="U365" s="58"/>
      <c r="V365" s="56"/>
      <c r="W365" s="56"/>
      <c r="X365" s="56"/>
      <c r="Y365" s="58"/>
    </row>
    <row r="366" spans="21:25" s="55" customFormat="1" ht="26.25" customHeight="1">
      <c r="U366" s="58"/>
      <c r="V366" s="56"/>
      <c r="W366" s="56"/>
      <c r="X366" s="56"/>
      <c r="Y366" s="58"/>
    </row>
    <row r="367" spans="21:25" s="55" customFormat="1" ht="26.25" customHeight="1">
      <c r="U367" s="58"/>
      <c r="V367" s="56"/>
      <c r="W367" s="56"/>
      <c r="X367" s="56"/>
      <c r="Y367" s="58"/>
    </row>
    <row r="368" spans="21:25" s="55" customFormat="1" ht="26.25" customHeight="1">
      <c r="U368" s="58"/>
      <c r="V368" s="56"/>
      <c r="W368" s="56"/>
      <c r="X368" s="56"/>
      <c r="Y368" s="58"/>
    </row>
    <row r="369" spans="21:25" s="55" customFormat="1" ht="26.25" customHeight="1">
      <c r="U369" s="58"/>
      <c r="V369" s="56"/>
      <c r="W369" s="56"/>
      <c r="X369" s="56"/>
      <c r="Y369" s="58"/>
    </row>
    <row r="370" spans="21:25" s="55" customFormat="1" ht="26.25" customHeight="1">
      <c r="U370" s="58"/>
      <c r="V370" s="56"/>
      <c r="W370" s="56"/>
      <c r="X370" s="56"/>
      <c r="Y370" s="58"/>
    </row>
    <row r="371" spans="21:25" s="55" customFormat="1" ht="26.25" customHeight="1">
      <c r="U371" s="58"/>
      <c r="V371" s="56"/>
      <c r="W371" s="56"/>
      <c r="X371" s="56"/>
      <c r="Y371" s="58"/>
    </row>
    <row r="372" spans="21:25" s="55" customFormat="1" ht="26.25" customHeight="1">
      <c r="U372" s="58"/>
      <c r="V372" s="56"/>
      <c r="W372" s="56"/>
      <c r="X372" s="56"/>
      <c r="Y372" s="58"/>
    </row>
    <row r="373" spans="21:25" s="55" customFormat="1" ht="26.25" customHeight="1">
      <c r="U373" s="58"/>
      <c r="V373" s="56"/>
      <c r="W373" s="56"/>
      <c r="X373" s="56"/>
      <c r="Y373" s="58"/>
    </row>
    <row r="374" spans="21:25" s="55" customFormat="1" ht="26.25" customHeight="1">
      <c r="U374" s="58"/>
      <c r="V374" s="56"/>
      <c r="W374" s="56"/>
      <c r="X374" s="56"/>
      <c r="Y374" s="58"/>
    </row>
    <row r="375" spans="21:25" s="55" customFormat="1" ht="26.25" customHeight="1">
      <c r="U375" s="58"/>
      <c r="V375" s="56"/>
      <c r="W375" s="56"/>
      <c r="X375" s="56"/>
      <c r="Y375" s="58"/>
    </row>
    <row r="376" spans="21:25" s="55" customFormat="1" ht="26.25" customHeight="1">
      <c r="U376" s="58"/>
      <c r="V376" s="56"/>
      <c r="W376" s="56"/>
      <c r="X376" s="56"/>
      <c r="Y376" s="58"/>
    </row>
    <row r="377" spans="21:25" s="55" customFormat="1" ht="26.25" customHeight="1">
      <c r="U377" s="58"/>
      <c r="V377" s="56"/>
      <c r="W377" s="56"/>
      <c r="X377" s="56"/>
      <c r="Y377" s="58"/>
    </row>
    <row r="378" spans="21:25" s="55" customFormat="1" ht="26.25" customHeight="1">
      <c r="U378" s="58"/>
      <c r="V378" s="56"/>
      <c r="W378" s="56"/>
      <c r="X378" s="56"/>
      <c r="Y378" s="58"/>
    </row>
    <row r="379" spans="21:25" s="55" customFormat="1" ht="26.25" customHeight="1">
      <c r="U379" s="58"/>
      <c r="V379" s="56"/>
      <c r="W379" s="56"/>
      <c r="X379" s="56"/>
      <c r="Y379" s="58"/>
    </row>
    <row r="380" spans="21:25" s="55" customFormat="1" ht="26.25" customHeight="1">
      <c r="U380" s="58"/>
      <c r="V380" s="56"/>
      <c r="W380" s="56"/>
      <c r="X380" s="56"/>
      <c r="Y380" s="58"/>
    </row>
    <row r="381" spans="21:25" s="55" customFormat="1" ht="26.25" customHeight="1">
      <c r="U381" s="58"/>
      <c r="V381" s="56"/>
      <c r="W381" s="56"/>
      <c r="X381" s="56"/>
      <c r="Y381" s="58"/>
    </row>
    <row r="382" spans="21:25" s="55" customFormat="1" ht="26.25" customHeight="1">
      <c r="U382" s="58"/>
      <c r="V382" s="56"/>
      <c r="W382" s="56"/>
      <c r="X382" s="56"/>
      <c r="Y382" s="58"/>
    </row>
    <row r="383" spans="21:25" s="55" customFormat="1" ht="26.25" customHeight="1">
      <c r="U383" s="58"/>
      <c r="V383" s="56"/>
      <c r="W383" s="56"/>
      <c r="X383" s="56"/>
      <c r="Y383" s="58"/>
    </row>
    <row r="384" spans="21:25" s="55" customFormat="1" ht="26.25" customHeight="1">
      <c r="U384" s="58"/>
      <c r="V384" s="56"/>
      <c r="W384" s="56"/>
      <c r="X384" s="56"/>
      <c r="Y384" s="58"/>
    </row>
    <row r="385" spans="21:25" s="55" customFormat="1" ht="26.25" customHeight="1">
      <c r="U385" s="58"/>
      <c r="V385" s="56"/>
      <c r="W385" s="56"/>
      <c r="X385" s="56"/>
      <c r="Y385" s="58"/>
    </row>
    <row r="386" spans="21:25" s="55" customFormat="1" ht="26.25" customHeight="1">
      <c r="U386" s="58"/>
      <c r="V386" s="56"/>
      <c r="W386" s="56"/>
      <c r="X386" s="56"/>
      <c r="Y386" s="58"/>
    </row>
    <row r="387" spans="21:25" s="55" customFormat="1" ht="26.25" customHeight="1">
      <c r="U387" s="58"/>
      <c r="V387" s="56"/>
      <c r="W387" s="56"/>
      <c r="X387" s="56"/>
      <c r="Y387" s="58"/>
    </row>
    <row r="388" spans="21:25" s="55" customFormat="1" ht="26.25" customHeight="1">
      <c r="U388" s="58"/>
      <c r="V388" s="56"/>
      <c r="W388" s="56"/>
      <c r="X388" s="56"/>
      <c r="Y388" s="58"/>
    </row>
    <row r="389" spans="21:25" s="55" customFormat="1" ht="26.25" customHeight="1">
      <c r="U389" s="58"/>
      <c r="V389" s="56"/>
      <c r="W389" s="56"/>
      <c r="X389" s="56"/>
      <c r="Y389" s="58"/>
    </row>
    <row r="390" spans="21:25" s="55" customFormat="1" ht="26.25" customHeight="1">
      <c r="U390" s="58"/>
      <c r="V390" s="56"/>
      <c r="W390" s="56"/>
      <c r="X390" s="56"/>
      <c r="Y390" s="58"/>
    </row>
    <row r="391" spans="21:25" s="55" customFormat="1" ht="26.25" customHeight="1">
      <c r="U391" s="58"/>
      <c r="V391" s="56"/>
      <c r="W391" s="56"/>
      <c r="X391" s="56"/>
      <c r="Y391" s="58"/>
    </row>
    <row r="392" spans="21:25" s="55" customFormat="1" ht="26.25" customHeight="1">
      <c r="U392" s="58"/>
      <c r="V392" s="56"/>
      <c r="W392" s="56"/>
      <c r="X392" s="56"/>
      <c r="Y392" s="58"/>
    </row>
    <row r="393" spans="21:25" s="55" customFormat="1" ht="26.25" customHeight="1">
      <c r="U393" s="58"/>
      <c r="V393" s="56"/>
      <c r="W393" s="56"/>
      <c r="X393" s="56"/>
      <c r="Y393" s="58"/>
    </row>
    <row r="394" spans="21:25" s="55" customFormat="1" ht="26.25" customHeight="1">
      <c r="U394" s="58"/>
      <c r="V394" s="56"/>
      <c r="W394" s="56"/>
      <c r="X394" s="56"/>
      <c r="Y394" s="58"/>
    </row>
    <row r="395" spans="21:25" s="55" customFormat="1" ht="26.25" customHeight="1">
      <c r="U395" s="58"/>
      <c r="V395" s="56"/>
      <c r="W395" s="56"/>
      <c r="X395" s="56"/>
      <c r="Y395" s="58"/>
    </row>
    <row r="396" spans="21:25" s="55" customFormat="1" ht="26.25" customHeight="1">
      <c r="U396" s="58"/>
      <c r="V396" s="56"/>
      <c r="W396" s="56"/>
      <c r="X396" s="56"/>
      <c r="Y396" s="58"/>
    </row>
    <row r="397" spans="21:25" s="55" customFormat="1" ht="26.25" customHeight="1">
      <c r="U397" s="58"/>
      <c r="V397" s="56"/>
      <c r="W397" s="56"/>
      <c r="X397" s="56"/>
      <c r="Y397" s="58"/>
    </row>
    <row r="398" spans="21:25" s="55" customFormat="1" ht="26.25" customHeight="1">
      <c r="U398" s="58"/>
      <c r="V398" s="56"/>
      <c r="W398" s="56"/>
      <c r="X398" s="56"/>
      <c r="Y398" s="58"/>
    </row>
    <row r="399" spans="21:25" s="55" customFormat="1" ht="26.25" customHeight="1">
      <c r="U399" s="58"/>
      <c r="V399" s="56"/>
      <c r="W399" s="56"/>
      <c r="X399" s="56"/>
      <c r="Y399" s="58"/>
    </row>
    <row r="400" spans="21:25" s="55" customFormat="1" ht="26.25" customHeight="1">
      <c r="U400" s="58"/>
      <c r="V400" s="56"/>
      <c r="W400" s="56"/>
      <c r="X400" s="56"/>
      <c r="Y400" s="58"/>
    </row>
    <row r="401" spans="21:25" s="55" customFormat="1" ht="26.25" customHeight="1">
      <c r="U401" s="58"/>
      <c r="V401" s="56"/>
      <c r="W401" s="56"/>
      <c r="X401" s="56"/>
      <c r="Y401" s="58"/>
    </row>
    <row r="402" spans="21:25" s="55" customFormat="1" ht="26.25" customHeight="1">
      <c r="U402" s="58"/>
      <c r="V402" s="56"/>
      <c r="W402" s="56"/>
      <c r="X402" s="56"/>
      <c r="Y402" s="58"/>
    </row>
    <row r="403" spans="21:25" s="55" customFormat="1" ht="26.25" customHeight="1">
      <c r="U403" s="58"/>
      <c r="V403" s="56"/>
      <c r="W403" s="56"/>
      <c r="X403" s="56"/>
      <c r="Y403" s="58"/>
    </row>
    <row r="404" spans="21:25" s="55" customFormat="1" ht="26.25" customHeight="1">
      <c r="U404" s="58"/>
      <c r="V404" s="56"/>
      <c r="W404" s="56"/>
      <c r="X404" s="56"/>
      <c r="Y404" s="58"/>
    </row>
    <row r="405" spans="21:25" s="55" customFormat="1" ht="26.25" customHeight="1">
      <c r="U405" s="58"/>
      <c r="V405" s="56"/>
      <c r="W405" s="56"/>
      <c r="X405" s="56"/>
      <c r="Y405" s="58"/>
    </row>
    <row r="406" spans="21:25" s="55" customFormat="1" ht="26.25" customHeight="1">
      <c r="U406" s="58"/>
      <c r="V406" s="56"/>
      <c r="W406" s="56"/>
      <c r="X406" s="56"/>
      <c r="Y406" s="58"/>
    </row>
    <row r="407" spans="21:25" s="55" customFormat="1" ht="26.25" customHeight="1">
      <c r="U407" s="58"/>
      <c r="V407" s="56"/>
      <c r="W407" s="56"/>
      <c r="X407" s="56"/>
      <c r="Y407" s="58"/>
    </row>
    <row r="408" spans="21:25" s="55" customFormat="1" ht="26.25" customHeight="1">
      <c r="U408" s="58"/>
      <c r="V408" s="56"/>
      <c r="W408" s="56"/>
      <c r="X408" s="56"/>
      <c r="Y408" s="58"/>
    </row>
    <row r="409" spans="21:25" s="55" customFormat="1" ht="26.25" customHeight="1">
      <c r="U409" s="58"/>
      <c r="V409" s="56"/>
      <c r="W409" s="56"/>
      <c r="X409" s="56"/>
      <c r="Y409" s="58"/>
    </row>
    <row r="410" spans="21:25" s="55" customFormat="1" ht="26.25" customHeight="1">
      <c r="U410" s="58"/>
      <c r="V410" s="56"/>
      <c r="W410" s="56"/>
      <c r="X410" s="56"/>
      <c r="Y410" s="58"/>
    </row>
    <row r="411" spans="21:25" s="55" customFormat="1" ht="26.25" customHeight="1">
      <c r="U411" s="58"/>
      <c r="V411" s="56"/>
      <c r="W411" s="56"/>
      <c r="X411" s="56"/>
      <c r="Y411" s="58"/>
    </row>
    <row r="412" spans="21:25" s="55" customFormat="1" ht="26.25" customHeight="1">
      <c r="U412" s="58"/>
      <c r="V412" s="56"/>
      <c r="W412" s="56"/>
      <c r="X412" s="56"/>
      <c r="Y412" s="58"/>
    </row>
    <row r="413" spans="21:25" s="55" customFormat="1" ht="26.25" customHeight="1">
      <c r="U413" s="58"/>
      <c r="V413" s="56"/>
      <c r="W413" s="56"/>
      <c r="X413" s="56"/>
      <c r="Y413" s="58"/>
    </row>
    <row r="414" spans="21:25" s="55" customFormat="1" ht="26.25" customHeight="1">
      <c r="U414" s="58"/>
      <c r="V414" s="56"/>
      <c r="W414" s="56"/>
      <c r="X414" s="56"/>
      <c r="Y414" s="58"/>
    </row>
    <row r="415" spans="21:25" s="55" customFormat="1" ht="26.25" customHeight="1">
      <c r="U415" s="58"/>
      <c r="V415" s="56"/>
      <c r="W415" s="56"/>
      <c r="X415" s="56"/>
      <c r="Y415" s="58"/>
    </row>
    <row r="416" spans="21:25" s="55" customFormat="1" ht="26.25" customHeight="1">
      <c r="U416" s="58"/>
      <c r="V416" s="56"/>
      <c r="W416" s="56"/>
      <c r="X416" s="56"/>
      <c r="Y416" s="58"/>
    </row>
    <row r="417" spans="21:25" s="55" customFormat="1" ht="26.25" customHeight="1">
      <c r="U417" s="58"/>
      <c r="V417" s="56"/>
      <c r="W417" s="56"/>
      <c r="X417" s="56"/>
      <c r="Y417" s="58"/>
    </row>
    <row r="418" spans="21:25" s="55" customFormat="1" ht="26.25" customHeight="1">
      <c r="U418" s="58"/>
      <c r="V418" s="56"/>
      <c r="W418" s="56"/>
      <c r="X418" s="56"/>
      <c r="Y418" s="58"/>
    </row>
    <row r="419" spans="21:25" s="55" customFormat="1" ht="26.25" customHeight="1">
      <c r="U419" s="58"/>
      <c r="V419" s="56"/>
      <c r="W419" s="56"/>
      <c r="X419" s="56"/>
      <c r="Y419" s="58"/>
    </row>
    <row r="420" spans="21:25" s="55" customFormat="1" ht="26.25" customHeight="1">
      <c r="U420" s="58"/>
      <c r="V420" s="56"/>
      <c r="W420" s="56"/>
      <c r="X420" s="56"/>
      <c r="Y420" s="58"/>
    </row>
    <row r="421" spans="21:25" s="55" customFormat="1" ht="26.25" customHeight="1">
      <c r="U421" s="58"/>
      <c r="V421" s="56"/>
      <c r="W421" s="56"/>
      <c r="X421" s="56"/>
      <c r="Y421" s="58"/>
    </row>
    <row r="422" spans="21:25" s="55" customFormat="1" ht="26.25" customHeight="1">
      <c r="U422" s="58"/>
      <c r="V422" s="56"/>
      <c r="W422" s="56"/>
      <c r="X422" s="56"/>
      <c r="Y422" s="58"/>
    </row>
    <row r="423" spans="21:25" s="55" customFormat="1" ht="26.25" customHeight="1">
      <c r="U423" s="58"/>
      <c r="V423" s="56"/>
      <c r="W423" s="56"/>
      <c r="X423" s="56"/>
      <c r="Y423" s="58"/>
    </row>
    <row r="424" spans="21:25" s="55" customFormat="1" ht="26.25" customHeight="1">
      <c r="U424" s="58"/>
      <c r="V424" s="56"/>
      <c r="W424" s="56"/>
      <c r="X424" s="56"/>
      <c r="Y424" s="58"/>
    </row>
    <row r="425" spans="21:25" s="55" customFormat="1" ht="26.25" customHeight="1">
      <c r="U425" s="58"/>
      <c r="V425" s="56"/>
      <c r="W425" s="56"/>
      <c r="X425" s="56"/>
      <c r="Y425" s="58"/>
    </row>
    <row r="426" spans="21:25" s="55" customFormat="1" ht="26.25" customHeight="1">
      <c r="U426" s="58"/>
      <c r="V426" s="56"/>
      <c r="W426" s="56"/>
      <c r="X426" s="56"/>
      <c r="Y426" s="58"/>
    </row>
    <row r="427" spans="21:25" s="55" customFormat="1" ht="26.25" customHeight="1">
      <c r="U427" s="58"/>
      <c r="V427" s="56"/>
      <c r="W427" s="56"/>
      <c r="X427" s="56"/>
      <c r="Y427" s="58"/>
    </row>
    <row r="428" spans="21:25" s="55" customFormat="1" ht="26.25" customHeight="1">
      <c r="U428" s="58"/>
      <c r="V428" s="56"/>
      <c r="W428" s="56"/>
      <c r="X428" s="56"/>
      <c r="Y428" s="58"/>
    </row>
    <row r="429" spans="21:25" s="55" customFormat="1" ht="26.25" customHeight="1">
      <c r="U429" s="58"/>
      <c r="V429" s="56"/>
      <c r="W429" s="56"/>
      <c r="X429" s="56"/>
      <c r="Y429" s="58"/>
    </row>
    <row r="430" spans="21:25" s="55" customFormat="1" ht="26.25" customHeight="1">
      <c r="U430" s="58"/>
      <c r="V430" s="56"/>
      <c r="W430" s="56"/>
      <c r="X430" s="56"/>
      <c r="Y430" s="58"/>
    </row>
    <row r="431" spans="21:25" s="55" customFormat="1" ht="26.25" customHeight="1">
      <c r="U431" s="58"/>
      <c r="V431" s="56"/>
      <c r="W431" s="56"/>
      <c r="X431" s="56"/>
      <c r="Y431" s="58"/>
    </row>
    <row r="432" spans="21:25" s="55" customFormat="1" ht="26.25" customHeight="1">
      <c r="U432" s="58"/>
      <c r="V432" s="56"/>
      <c r="W432" s="56"/>
      <c r="X432" s="56"/>
      <c r="Y432" s="58"/>
    </row>
    <row r="433" spans="21:25" s="55" customFormat="1" ht="26.25" customHeight="1">
      <c r="U433" s="58"/>
      <c r="V433" s="56"/>
      <c r="W433" s="56"/>
      <c r="X433" s="56"/>
      <c r="Y433" s="58"/>
    </row>
    <row r="434" spans="21:25" s="55" customFormat="1" ht="26.25" customHeight="1">
      <c r="U434" s="58"/>
      <c r="V434" s="56"/>
      <c r="W434" s="56"/>
      <c r="X434" s="56"/>
      <c r="Y434" s="58"/>
    </row>
    <row r="435" spans="21:25" s="55" customFormat="1" ht="26.25" customHeight="1">
      <c r="U435" s="58"/>
      <c r="V435" s="56"/>
      <c r="W435" s="56"/>
      <c r="X435" s="56"/>
      <c r="Y435" s="58"/>
    </row>
    <row r="436" spans="21:25" s="55" customFormat="1" ht="26.25" customHeight="1">
      <c r="U436" s="58"/>
      <c r="V436" s="56"/>
      <c r="W436" s="56"/>
      <c r="X436" s="56"/>
      <c r="Y436" s="58"/>
    </row>
    <row r="437" spans="21:25" s="55" customFormat="1" ht="26.25" customHeight="1">
      <c r="U437" s="58"/>
      <c r="V437" s="56"/>
      <c r="W437" s="56"/>
      <c r="X437" s="56"/>
      <c r="Y437" s="58"/>
    </row>
    <row r="438" spans="21:25" s="55" customFormat="1" ht="26.25" customHeight="1">
      <c r="U438" s="58"/>
      <c r="V438" s="56"/>
      <c r="W438" s="56"/>
      <c r="X438" s="56"/>
      <c r="Y438" s="58"/>
    </row>
    <row r="439" spans="21:25" s="55" customFormat="1" ht="26.25" customHeight="1">
      <c r="U439" s="58"/>
      <c r="V439" s="56"/>
      <c r="W439" s="56"/>
      <c r="X439" s="56"/>
      <c r="Y439" s="58"/>
    </row>
    <row r="440" spans="21:25" s="55" customFormat="1" ht="26.25" customHeight="1">
      <c r="U440" s="58"/>
      <c r="V440" s="56"/>
      <c r="W440" s="56"/>
      <c r="X440" s="56"/>
      <c r="Y440" s="58"/>
    </row>
    <row r="441" spans="21:25" s="55" customFormat="1" ht="26.25" customHeight="1">
      <c r="U441" s="58"/>
      <c r="V441" s="56"/>
      <c r="W441" s="56"/>
      <c r="X441" s="56"/>
      <c r="Y441" s="58"/>
    </row>
    <row r="442" spans="21:25" s="55" customFormat="1" ht="26.25" customHeight="1">
      <c r="U442" s="58"/>
      <c r="V442" s="56"/>
      <c r="W442" s="56"/>
      <c r="X442" s="56"/>
      <c r="Y442" s="58"/>
    </row>
    <row r="443" spans="21:25" s="55" customFormat="1" ht="26.25" customHeight="1">
      <c r="U443" s="58"/>
      <c r="V443" s="56"/>
      <c r="W443" s="56"/>
      <c r="X443" s="56"/>
      <c r="Y443" s="58"/>
    </row>
    <row r="444" spans="21:25" s="55" customFormat="1" ht="26.25" customHeight="1">
      <c r="U444" s="58"/>
      <c r="V444" s="56"/>
      <c r="W444" s="56"/>
      <c r="X444" s="56"/>
      <c r="Y444" s="58"/>
    </row>
    <row r="445" spans="21:25" s="55" customFormat="1" ht="26.25" customHeight="1">
      <c r="U445" s="58"/>
      <c r="V445" s="56"/>
      <c r="W445" s="56"/>
      <c r="X445" s="56"/>
      <c r="Y445" s="58"/>
    </row>
    <row r="446" spans="21:25" s="55" customFormat="1" ht="26.25" customHeight="1">
      <c r="U446" s="58"/>
      <c r="V446" s="56"/>
      <c r="W446" s="56"/>
      <c r="X446" s="56"/>
      <c r="Y446" s="58"/>
    </row>
    <row r="447" spans="21:25" s="55" customFormat="1" ht="26.25" customHeight="1">
      <c r="U447" s="58"/>
      <c r="V447" s="56"/>
      <c r="W447" s="56"/>
      <c r="X447" s="56"/>
      <c r="Y447" s="58"/>
    </row>
    <row r="448" spans="21:25" s="55" customFormat="1" ht="26.25" customHeight="1">
      <c r="U448" s="58"/>
      <c r="V448" s="56"/>
      <c r="W448" s="56"/>
      <c r="X448" s="56"/>
      <c r="Y448" s="58"/>
    </row>
    <row r="449" spans="21:25" s="55" customFormat="1" ht="26.25" customHeight="1">
      <c r="U449" s="58"/>
      <c r="V449" s="56"/>
      <c r="W449" s="56"/>
      <c r="X449" s="56"/>
      <c r="Y449" s="58"/>
    </row>
    <row r="450" spans="21:25" s="55" customFormat="1" ht="26.25" customHeight="1">
      <c r="U450" s="58"/>
      <c r="V450" s="56"/>
      <c r="W450" s="56"/>
      <c r="X450" s="56"/>
      <c r="Y450" s="58"/>
    </row>
    <row r="451" spans="21:25" s="55" customFormat="1" ht="26.25" customHeight="1">
      <c r="U451" s="58"/>
      <c r="V451" s="56"/>
      <c r="W451" s="56"/>
      <c r="X451" s="56"/>
      <c r="Y451" s="58"/>
    </row>
    <row r="452" spans="21:25" s="55" customFormat="1" ht="26.25" customHeight="1">
      <c r="U452" s="58"/>
      <c r="V452" s="56"/>
      <c r="W452" s="56"/>
      <c r="X452" s="56"/>
      <c r="Y452" s="58"/>
    </row>
    <row r="453" spans="21:25" s="55" customFormat="1" ht="26.25" customHeight="1">
      <c r="U453" s="58"/>
      <c r="V453" s="56"/>
      <c r="W453" s="56"/>
      <c r="X453" s="56"/>
      <c r="Y453" s="58"/>
    </row>
    <row r="454" spans="21:25" s="55" customFormat="1" ht="26.25" customHeight="1">
      <c r="U454" s="58"/>
      <c r="V454" s="56"/>
      <c r="W454" s="56"/>
      <c r="X454" s="56"/>
      <c r="Y454" s="58"/>
    </row>
    <row r="455" spans="21:25" s="55" customFormat="1" ht="26.25" customHeight="1">
      <c r="U455" s="58"/>
      <c r="V455" s="56"/>
      <c r="W455" s="56"/>
      <c r="X455" s="56"/>
      <c r="Y455" s="58"/>
    </row>
    <row r="456" spans="21:25" s="55" customFormat="1" ht="26.25" customHeight="1">
      <c r="U456" s="58"/>
      <c r="V456" s="56"/>
      <c r="W456" s="56"/>
      <c r="X456" s="56"/>
      <c r="Y456" s="58"/>
    </row>
    <row r="457" spans="21:25" s="55" customFormat="1" ht="26.25" customHeight="1">
      <c r="U457" s="58"/>
      <c r="V457" s="56"/>
      <c r="W457" s="56"/>
      <c r="X457" s="56"/>
      <c r="Y457" s="58"/>
    </row>
    <row r="458" spans="21:25" s="55" customFormat="1" ht="26.25" customHeight="1">
      <c r="U458" s="58"/>
      <c r="V458" s="56"/>
      <c r="W458" s="56"/>
      <c r="X458" s="56"/>
      <c r="Y458" s="58"/>
    </row>
    <row r="459" spans="21:25" s="55" customFormat="1" ht="26.25" customHeight="1">
      <c r="U459" s="58"/>
      <c r="V459" s="56"/>
      <c r="W459" s="56"/>
      <c r="X459" s="56"/>
      <c r="Y459" s="58"/>
    </row>
    <row r="460" spans="21:25" s="55" customFormat="1" ht="26.25" customHeight="1">
      <c r="U460" s="58"/>
      <c r="V460" s="56"/>
      <c r="W460" s="56"/>
      <c r="X460" s="56"/>
      <c r="Y460" s="58"/>
    </row>
    <row r="461" spans="21:25" s="55" customFormat="1" ht="26.25" customHeight="1">
      <c r="U461" s="58"/>
      <c r="V461" s="56"/>
      <c r="W461" s="56"/>
      <c r="X461" s="56"/>
      <c r="Y461" s="58"/>
    </row>
    <row r="462" spans="21:25" s="55" customFormat="1" ht="26.25" customHeight="1">
      <c r="U462" s="58"/>
      <c r="V462" s="56"/>
      <c r="W462" s="56"/>
      <c r="X462" s="56"/>
      <c r="Y462" s="58"/>
    </row>
    <row r="463" spans="21:25" s="55" customFormat="1" ht="26.25" customHeight="1">
      <c r="U463" s="58"/>
      <c r="V463" s="56"/>
      <c r="W463" s="56"/>
      <c r="X463" s="56"/>
      <c r="Y463" s="58"/>
    </row>
    <row r="464" spans="21:25" s="55" customFormat="1" ht="26.25" customHeight="1">
      <c r="U464" s="58"/>
      <c r="V464" s="56"/>
      <c r="W464" s="56"/>
      <c r="X464" s="56"/>
      <c r="Y464" s="58"/>
    </row>
    <row r="465" spans="21:25" s="55" customFormat="1" ht="26.25" customHeight="1">
      <c r="U465" s="58"/>
      <c r="V465" s="56"/>
      <c r="W465" s="56"/>
      <c r="X465" s="56"/>
      <c r="Y465" s="58"/>
    </row>
    <row r="466" spans="21:25" s="55" customFormat="1" ht="26.25" customHeight="1">
      <c r="U466" s="58"/>
      <c r="V466" s="56"/>
      <c r="W466" s="56"/>
      <c r="X466" s="56"/>
      <c r="Y466" s="58"/>
    </row>
    <row r="467" spans="21:25" s="55" customFormat="1" ht="26.25" customHeight="1">
      <c r="U467" s="58"/>
      <c r="V467" s="56"/>
      <c r="W467" s="56"/>
      <c r="X467" s="56"/>
      <c r="Y467" s="58"/>
    </row>
    <row r="468" spans="21:25" s="55" customFormat="1" ht="26.25" customHeight="1">
      <c r="U468" s="58"/>
      <c r="V468" s="56"/>
      <c r="W468" s="56"/>
      <c r="X468" s="56"/>
      <c r="Y468" s="58"/>
    </row>
    <row r="469" spans="21:25" s="55" customFormat="1" ht="26.25" customHeight="1">
      <c r="U469" s="58"/>
      <c r="V469" s="56"/>
      <c r="W469" s="56"/>
      <c r="X469" s="56"/>
      <c r="Y469" s="58"/>
    </row>
    <row r="470" spans="21:25" s="55" customFormat="1" ht="26.25" customHeight="1">
      <c r="U470" s="58"/>
      <c r="V470" s="56"/>
      <c r="W470" s="56"/>
      <c r="X470" s="56"/>
      <c r="Y470" s="58"/>
    </row>
    <row r="471" spans="21:25" s="55" customFormat="1" ht="26.25" customHeight="1">
      <c r="U471" s="58"/>
      <c r="V471" s="56"/>
      <c r="W471" s="56"/>
      <c r="X471" s="56"/>
      <c r="Y471" s="58"/>
    </row>
    <row r="472" spans="21:25" s="55" customFormat="1" ht="26.25" customHeight="1">
      <c r="U472" s="58"/>
      <c r="V472" s="56"/>
      <c r="W472" s="56"/>
      <c r="X472" s="56"/>
      <c r="Y472" s="58"/>
    </row>
    <row r="473" spans="21:25" s="55" customFormat="1" ht="26.25" customHeight="1">
      <c r="U473" s="58"/>
      <c r="V473" s="56"/>
      <c r="W473" s="56"/>
      <c r="X473" s="56"/>
      <c r="Y473" s="58"/>
    </row>
    <row r="474" spans="21:25" s="55" customFormat="1" ht="26.25" customHeight="1">
      <c r="U474" s="58"/>
      <c r="V474" s="56"/>
      <c r="W474" s="56"/>
      <c r="X474" s="56"/>
      <c r="Y474" s="58"/>
    </row>
    <row r="475" spans="21:25" s="55" customFormat="1" ht="26.25" customHeight="1">
      <c r="U475" s="58"/>
      <c r="V475" s="56"/>
      <c r="W475" s="56"/>
      <c r="X475" s="56"/>
      <c r="Y475" s="58"/>
    </row>
    <row r="476" spans="21:25" s="55" customFormat="1" ht="26.25" customHeight="1">
      <c r="U476" s="58"/>
      <c r="V476" s="56"/>
      <c r="W476" s="56"/>
      <c r="X476" s="56"/>
      <c r="Y476" s="58"/>
    </row>
    <row r="477" spans="21:25" s="55" customFormat="1" ht="26.25" customHeight="1">
      <c r="U477" s="58"/>
      <c r="V477" s="56"/>
      <c r="W477" s="56"/>
      <c r="X477" s="56"/>
      <c r="Y477" s="58"/>
    </row>
    <row r="478" spans="21:25" s="55" customFormat="1" ht="26.25" customHeight="1">
      <c r="U478" s="58"/>
      <c r="V478" s="56"/>
      <c r="W478" s="56"/>
      <c r="X478" s="56"/>
      <c r="Y478" s="58"/>
    </row>
    <row r="479" spans="21:25" s="55" customFormat="1" ht="26.25" customHeight="1">
      <c r="U479" s="58"/>
      <c r="V479" s="56"/>
      <c r="W479" s="56"/>
      <c r="X479" s="56"/>
      <c r="Y479" s="58"/>
    </row>
    <row r="480" spans="21:25" s="55" customFormat="1" ht="26.25" customHeight="1">
      <c r="U480" s="58"/>
      <c r="V480" s="56"/>
      <c r="W480" s="56"/>
      <c r="X480" s="56"/>
      <c r="Y480" s="58"/>
    </row>
    <row r="481" spans="21:25" s="55" customFormat="1" ht="26.25" customHeight="1">
      <c r="U481" s="58"/>
      <c r="V481" s="56"/>
      <c r="W481" s="56"/>
      <c r="X481" s="56"/>
      <c r="Y481" s="58"/>
    </row>
    <row r="482" spans="21:25" s="55" customFormat="1" ht="26.25" customHeight="1">
      <c r="U482" s="58"/>
      <c r="V482" s="56"/>
      <c r="W482" s="56"/>
      <c r="X482" s="56"/>
      <c r="Y482" s="58"/>
    </row>
    <row r="483" spans="21:25" s="55" customFormat="1" ht="26.25" customHeight="1">
      <c r="U483" s="58"/>
      <c r="V483" s="56"/>
      <c r="W483" s="56"/>
      <c r="X483" s="56"/>
      <c r="Y483" s="58"/>
    </row>
    <row r="484" spans="21:25" s="55" customFormat="1" ht="26.25" customHeight="1">
      <c r="U484" s="58"/>
      <c r="V484" s="56"/>
      <c r="W484" s="56"/>
      <c r="X484" s="56"/>
      <c r="Y484" s="58"/>
    </row>
    <row r="485" spans="21:25" s="55" customFormat="1" ht="26.25" customHeight="1">
      <c r="U485" s="58"/>
      <c r="V485" s="56"/>
      <c r="W485" s="56"/>
      <c r="X485" s="56"/>
      <c r="Y485" s="58"/>
    </row>
    <row r="486" spans="21:25" s="55" customFormat="1" ht="26.25" customHeight="1">
      <c r="U486" s="58"/>
      <c r="V486" s="56"/>
      <c r="W486" s="56"/>
      <c r="X486" s="56"/>
      <c r="Y486" s="58"/>
    </row>
    <row r="487" spans="21:25" s="55" customFormat="1" ht="26.25" customHeight="1">
      <c r="U487" s="58"/>
      <c r="V487" s="56"/>
      <c r="W487" s="56"/>
      <c r="X487" s="56"/>
      <c r="Y487" s="58"/>
    </row>
    <row r="488" spans="21:25" s="55" customFormat="1" ht="26.25" customHeight="1">
      <c r="U488" s="58"/>
      <c r="V488" s="56"/>
      <c r="W488" s="56"/>
      <c r="X488" s="56"/>
      <c r="Y488" s="58"/>
    </row>
    <row r="489" spans="21:25" s="55" customFormat="1" ht="26.25" customHeight="1">
      <c r="U489" s="58"/>
      <c r="V489" s="56"/>
      <c r="W489" s="56"/>
      <c r="X489" s="56"/>
      <c r="Y489" s="58"/>
    </row>
    <row r="490" spans="21:25" s="55" customFormat="1" ht="26.25" customHeight="1">
      <c r="U490" s="58"/>
      <c r="V490" s="56"/>
      <c r="W490" s="56"/>
      <c r="X490" s="56"/>
      <c r="Y490" s="58"/>
    </row>
    <row r="491" spans="21:25" s="55" customFormat="1" ht="26.25" customHeight="1">
      <c r="U491" s="58"/>
      <c r="V491" s="56"/>
      <c r="W491" s="56"/>
      <c r="X491" s="56"/>
      <c r="Y491" s="58"/>
    </row>
    <row r="492" spans="21:25" s="55" customFormat="1" ht="26.25" customHeight="1">
      <c r="U492" s="58"/>
      <c r="V492" s="56"/>
      <c r="W492" s="56"/>
      <c r="X492" s="56"/>
      <c r="Y492" s="58"/>
    </row>
    <row r="493" spans="21:25" s="55" customFormat="1" ht="26.25" customHeight="1">
      <c r="U493" s="58"/>
      <c r="V493" s="56"/>
      <c r="W493" s="56"/>
      <c r="X493" s="56"/>
      <c r="Y493" s="58"/>
    </row>
    <row r="494" spans="21:25" s="55" customFormat="1" ht="26.25" customHeight="1">
      <c r="U494" s="58"/>
      <c r="V494" s="56"/>
      <c r="W494" s="56"/>
      <c r="X494" s="56"/>
      <c r="Y494" s="58"/>
    </row>
    <row r="495" spans="21:25" s="55" customFormat="1" ht="26.25" customHeight="1">
      <c r="U495" s="58"/>
      <c r="V495" s="56"/>
      <c r="W495" s="56"/>
      <c r="X495" s="56"/>
      <c r="Y495" s="58"/>
    </row>
    <row r="496" spans="21:25" s="55" customFormat="1" ht="26.25" customHeight="1">
      <c r="U496" s="58"/>
      <c r="V496" s="56"/>
      <c r="W496" s="56"/>
      <c r="X496" s="56"/>
      <c r="Y496" s="58"/>
    </row>
    <row r="497" spans="21:25" s="55" customFormat="1" ht="26.25" customHeight="1">
      <c r="U497" s="58"/>
      <c r="V497" s="56"/>
      <c r="W497" s="56"/>
      <c r="X497" s="56"/>
      <c r="Y497" s="58"/>
    </row>
    <row r="498" spans="21:25" s="55" customFormat="1" ht="26.25" customHeight="1">
      <c r="U498" s="58"/>
      <c r="V498" s="56"/>
      <c r="W498" s="56"/>
      <c r="X498" s="56"/>
      <c r="Y498" s="58"/>
    </row>
    <row r="499" spans="21:25" s="55" customFormat="1" ht="26.25" customHeight="1">
      <c r="U499" s="58"/>
      <c r="V499" s="56"/>
      <c r="W499" s="56"/>
      <c r="X499" s="56"/>
      <c r="Y499" s="58"/>
    </row>
    <row r="500" spans="21:25" s="55" customFormat="1" ht="26.25" customHeight="1">
      <c r="U500" s="58"/>
      <c r="V500" s="56"/>
      <c r="W500" s="56"/>
      <c r="X500" s="56"/>
      <c r="Y500" s="58"/>
    </row>
    <row r="501" spans="21:25" s="55" customFormat="1" ht="26.25" customHeight="1">
      <c r="U501" s="58"/>
      <c r="V501" s="56"/>
      <c r="W501" s="56"/>
      <c r="X501" s="56"/>
      <c r="Y501" s="58"/>
    </row>
    <row r="502" spans="21:25" s="55" customFormat="1" ht="26.25" customHeight="1">
      <c r="U502" s="58"/>
      <c r="V502" s="56"/>
      <c r="W502" s="56"/>
      <c r="X502" s="56"/>
      <c r="Y502" s="58"/>
    </row>
    <row r="503" spans="21:25" s="55" customFormat="1" ht="26.25" customHeight="1">
      <c r="U503" s="58"/>
      <c r="V503" s="56"/>
      <c r="W503" s="56"/>
      <c r="X503" s="56"/>
      <c r="Y503" s="58"/>
    </row>
    <row r="504" spans="21:25" s="55" customFormat="1" ht="26.25" customHeight="1">
      <c r="U504" s="58"/>
      <c r="V504" s="56"/>
      <c r="W504" s="56"/>
      <c r="X504" s="56"/>
      <c r="Y504" s="58"/>
    </row>
    <row r="505" spans="21:25" s="55" customFormat="1" ht="26.25" customHeight="1">
      <c r="U505" s="58"/>
      <c r="V505" s="56"/>
      <c r="W505" s="56"/>
      <c r="X505" s="56"/>
      <c r="Y505" s="58"/>
    </row>
    <row r="506" spans="21:25" s="55" customFormat="1" ht="26.25" customHeight="1">
      <c r="U506" s="58"/>
      <c r="V506" s="56"/>
      <c r="W506" s="56"/>
      <c r="X506" s="56"/>
      <c r="Y506" s="58"/>
    </row>
    <row r="507" spans="21:25" s="55" customFormat="1" ht="26.25" customHeight="1">
      <c r="U507" s="58"/>
      <c r="V507" s="56"/>
      <c r="W507" s="56"/>
      <c r="X507" s="56"/>
      <c r="Y507" s="58"/>
    </row>
    <row r="508" spans="21:25" s="55" customFormat="1" ht="26.25" customHeight="1">
      <c r="U508" s="58"/>
      <c r="V508" s="56"/>
      <c r="W508" s="56"/>
      <c r="X508" s="56"/>
      <c r="Y508" s="58"/>
    </row>
    <row r="509" spans="21:25" s="55" customFormat="1" ht="26.25" customHeight="1">
      <c r="U509" s="58"/>
      <c r="V509" s="56"/>
      <c r="W509" s="56"/>
      <c r="X509" s="56"/>
      <c r="Y509" s="58"/>
    </row>
    <row r="510" spans="21:25" s="55" customFormat="1" ht="26.25" customHeight="1">
      <c r="U510" s="58"/>
      <c r="V510" s="56"/>
      <c r="W510" s="56"/>
      <c r="X510" s="56"/>
      <c r="Y510" s="58"/>
    </row>
    <row r="511" spans="21:25" s="55" customFormat="1" ht="26.25" customHeight="1">
      <c r="U511" s="58"/>
      <c r="V511" s="56"/>
      <c r="W511" s="56"/>
      <c r="X511" s="56"/>
      <c r="Y511" s="58"/>
    </row>
    <row r="512" spans="21:25" s="55" customFormat="1" ht="26.25" customHeight="1">
      <c r="U512" s="58"/>
      <c r="V512" s="56"/>
      <c r="W512" s="56"/>
      <c r="X512" s="56"/>
      <c r="Y512" s="58"/>
    </row>
    <row r="513" spans="21:25" s="55" customFormat="1" ht="26.25" customHeight="1">
      <c r="U513" s="58"/>
      <c r="V513" s="56"/>
      <c r="W513" s="56"/>
      <c r="X513" s="56"/>
      <c r="Y513" s="58"/>
    </row>
    <row r="514" spans="21:25" s="55" customFormat="1" ht="26.25" customHeight="1">
      <c r="U514" s="58"/>
      <c r="V514" s="56"/>
      <c r="W514" s="56"/>
      <c r="X514" s="56"/>
      <c r="Y514" s="58"/>
    </row>
    <row r="515" spans="21:25" s="55" customFormat="1" ht="26.25" customHeight="1">
      <c r="U515" s="58"/>
      <c r="V515" s="56"/>
      <c r="W515" s="56"/>
      <c r="X515" s="56"/>
      <c r="Y515" s="58"/>
    </row>
    <row r="516" spans="21:25" s="55" customFormat="1" ht="26.25" customHeight="1">
      <c r="U516" s="58"/>
      <c r="V516" s="56"/>
      <c r="W516" s="56"/>
      <c r="X516" s="56"/>
      <c r="Y516" s="58"/>
    </row>
    <row r="517" spans="21:25" s="55" customFormat="1" ht="26.25" customHeight="1">
      <c r="U517" s="58"/>
      <c r="V517" s="56"/>
      <c r="W517" s="56"/>
      <c r="X517" s="56"/>
      <c r="Y517" s="58"/>
    </row>
    <row r="518" spans="21:25" s="55" customFormat="1" ht="26.25" customHeight="1">
      <c r="U518" s="58"/>
      <c r="V518" s="56"/>
      <c r="W518" s="56"/>
      <c r="X518" s="56"/>
      <c r="Y518" s="58"/>
    </row>
    <row r="519" spans="21:25" s="55" customFormat="1" ht="26.25" customHeight="1">
      <c r="U519" s="58"/>
      <c r="V519" s="56"/>
      <c r="W519" s="56"/>
      <c r="X519" s="56"/>
      <c r="Y519" s="58"/>
    </row>
    <row r="520" spans="21:25" s="55" customFormat="1" ht="26.25" customHeight="1">
      <c r="U520" s="58"/>
      <c r="V520" s="56"/>
      <c r="W520" s="56"/>
      <c r="X520" s="56"/>
      <c r="Y520" s="58"/>
    </row>
    <row r="521" spans="21:25" s="55" customFormat="1" ht="26.25" customHeight="1">
      <c r="U521" s="58"/>
      <c r="V521" s="56"/>
      <c r="W521" s="56"/>
      <c r="X521" s="56"/>
      <c r="Y521" s="58"/>
    </row>
    <row r="522" spans="21:25" s="55" customFormat="1" ht="26.25" customHeight="1">
      <c r="U522" s="58"/>
      <c r="V522" s="56"/>
      <c r="W522" s="56"/>
      <c r="X522" s="56"/>
      <c r="Y522" s="58"/>
    </row>
    <row r="523" spans="21:25" s="55" customFormat="1" ht="26.25" customHeight="1">
      <c r="U523" s="58"/>
      <c r="V523" s="56"/>
      <c r="W523" s="56"/>
      <c r="X523" s="56"/>
      <c r="Y523" s="58"/>
    </row>
    <row r="524" spans="21:25" s="55" customFormat="1" ht="26.25" customHeight="1">
      <c r="U524" s="58"/>
      <c r="V524" s="56"/>
      <c r="W524" s="56"/>
      <c r="X524" s="56"/>
      <c r="Y524" s="58"/>
    </row>
    <row r="525" spans="21:25" s="55" customFormat="1" ht="26.25" customHeight="1">
      <c r="U525" s="58"/>
      <c r="V525" s="56"/>
      <c r="W525" s="56"/>
      <c r="X525" s="56"/>
      <c r="Y525" s="58"/>
    </row>
    <row r="526" spans="21:25" s="55" customFormat="1" ht="26.25" customHeight="1">
      <c r="U526" s="58"/>
      <c r="V526" s="56"/>
      <c r="W526" s="56"/>
      <c r="X526" s="56"/>
      <c r="Y526" s="58"/>
    </row>
    <row r="527" spans="21:25" s="55" customFormat="1" ht="26.25" customHeight="1">
      <c r="U527" s="58"/>
      <c r="V527" s="56"/>
      <c r="W527" s="56"/>
      <c r="X527" s="56"/>
      <c r="Y527" s="58"/>
    </row>
    <row r="528" spans="21:25" s="55" customFormat="1" ht="26.25" customHeight="1">
      <c r="U528" s="58"/>
      <c r="V528" s="56"/>
      <c r="W528" s="56"/>
      <c r="X528" s="56"/>
      <c r="Y528" s="58"/>
    </row>
    <row r="529" spans="21:25" s="55" customFormat="1" ht="26.25" customHeight="1">
      <c r="U529" s="58"/>
      <c r="V529" s="56"/>
      <c r="W529" s="56"/>
      <c r="X529" s="56"/>
      <c r="Y529" s="58"/>
    </row>
    <row r="530" spans="21:25" s="55" customFormat="1" ht="26.25" customHeight="1">
      <c r="U530" s="58"/>
      <c r="V530" s="56"/>
      <c r="W530" s="56"/>
      <c r="X530" s="56"/>
      <c r="Y530" s="58"/>
    </row>
    <row r="531" spans="21:25" s="55" customFormat="1" ht="26.25" customHeight="1">
      <c r="U531" s="58"/>
      <c r="V531" s="56"/>
      <c r="W531" s="56"/>
      <c r="X531" s="56"/>
      <c r="Y531" s="58"/>
    </row>
    <row r="532" spans="21:25" s="55" customFormat="1" ht="26.25" customHeight="1">
      <c r="U532" s="58"/>
      <c r="V532" s="56"/>
      <c r="W532" s="56"/>
      <c r="X532" s="56"/>
      <c r="Y532" s="58"/>
    </row>
    <row r="533" spans="21:25" s="55" customFormat="1" ht="26.25" customHeight="1">
      <c r="U533" s="58"/>
      <c r="V533" s="56"/>
      <c r="W533" s="56"/>
      <c r="X533" s="56"/>
      <c r="Y533" s="58"/>
    </row>
    <row r="534" spans="21:25" s="55" customFormat="1" ht="26.25" customHeight="1">
      <c r="U534" s="58"/>
      <c r="V534" s="56"/>
      <c r="W534" s="56"/>
      <c r="X534" s="56"/>
      <c r="Y534" s="58"/>
    </row>
    <row r="535" spans="21:25" s="55" customFormat="1" ht="26.25" customHeight="1">
      <c r="U535" s="58"/>
      <c r="V535" s="56"/>
      <c r="W535" s="56"/>
      <c r="X535" s="56"/>
      <c r="Y535" s="58"/>
    </row>
    <row r="536" spans="21:25" s="55" customFormat="1" ht="26.25" customHeight="1">
      <c r="U536" s="58"/>
      <c r="V536" s="56"/>
      <c r="W536" s="56"/>
      <c r="X536" s="56"/>
      <c r="Y536" s="58"/>
    </row>
    <row r="537" spans="21:25" s="55" customFormat="1" ht="26.25" customHeight="1">
      <c r="U537" s="58"/>
      <c r="V537" s="56"/>
      <c r="W537" s="56"/>
      <c r="X537" s="56"/>
      <c r="Y537" s="58"/>
    </row>
    <row r="538" spans="21:25" s="55" customFormat="1" ht="26.25" customHeight="1">
      <c r="U538" s="58"/>
      <c r="V538" s="56"/>
      <c r="W538" s="56"/>
      <c r="X538" s="56"/>
      <c r="Y538" s="58"/>
    </row>
    <row r="539" spans="21:25" s="55" customFormat="1" ht="26.25" customHeight="1">
      <c r="U539" s="58"/>
      <c r="V539" s="56"/>
      <c r="W539" s="56"/>
      <c r="X539" s="56"/>
      <c r="Y539" s="58"/>
    </row>
    <row r="540" spans="21:25" s="55" customFormat="1" ht="26.25" customHeight="1">
      <c r="U540" s="58"/>
      <c r="V540" s="56"/>
      <c r="W540" s="56"/>
      <c r="X540" s="56"/>
      <c r="Y540" s="58"/>
    </row>
    <row r="541" spans="21:25" s="55" customFormat="1" ht="26.25" customHeight="1">
      <c r="U541" s="58"/>
      <c r="V541" s="56"/>
      <c r="W541" s="56"/>
      <c r="X541" s="56"/>
      <c r="Y541" s="58"/>
    </row>
    <row r="542" spans="21:25" s="55" customFormat="1" ht="26.25" customHeight="1">
      <c r="U542" s="58"/>
      <c r="V542" s="56"/>
      <c r="W542" s="56"/>
      <c r="X542" s="56"/>
      <c r="Y542" s="58"/>
    </row>
    <row r="543" spans="21:25" s="55" customFormat="1" ht="26.25" customHeight="1">
      <c r="U543" s="58"/>
      <c r="V543" s="56"/>
      <c r="W543" s="56"/>
      <c r="X543" s="56"/>
      <c r="Y543" s="58"/>
    </row>
    <row r="544" spans="21:25" s="55" customFormat="1" ht="26.25" customHeight="1">
      <c r="U544" s="58"/>
      <c r="V544" s="56"/>
      <c r="W544" s="56"/>
      <c r="X544" s="56"/>
      <c r="Y544" s="58"/>
    </row>
    <row r="545" spans="21:25" s="55" customFormat="1" ht="26.25" customHeight="1">
      <c r="U545" s="58"/>
      <c r="V545" s="56"/>
      <c r="W545" s="56"/>
      <c r="X545" s="56"/>
      <c r="Y545" s="58"/>
    </row>
    <row r="546" spans="21:25" s="55" customFormat="1" ht="26.25" customHeight="1">
      <c r="U546" s="58"/>
      <c r="V546" s="56"/>
      <c r="W546" s="56"/>
      <c r="X546" s="56"/>
      <c r="Y546" s="58"/>
    </row>
    <row r="547" spans="21:25" s="55" customFormat="1" ht="26.25" customHeight="1">
      <c r="U547" s="58"/>
      <c r="V547" s="56"/>
      <c r="W547" s="56"/>
      <c r="X547" s="56"/>
      <c r="Y547" s="58"/>
    </row>
    <row r="548" spans="21:25" s="55" customFormat="1" ht="26.25" customHeight="1">
      <c r="U548" s="58"/>
      <c r="V548" s="56"/>
      <c r="W548" s="56"/>
      <c r="X548" s="56"/>
      <c r="Y548" s="58"/>
    </row>
    <row r="549" spans="21:25" s="55" customFormat="1" ht="26.25" customHeight="1">
      <c r="U549" s="58"/>
      <c r="V549" s="56"/>
      <c r="W549" s="56"/>
      <c r="X549" s="56"/>
      <c r="Y549" s="58"/>
    </row>
    <row r="550" spans="21:25" s="55" customFormat="1" ht="26.25" customHeight="1">
      <c r="U550" s="58"/>
      <c r="V550" s="56"/>
      <c r="W550" s="56"/>
      <c r="X550" s="56"/>
      <c r="Y550" s="58"/>
    </row>
    <row r="551" spans="21:25" s="55" customFormat="1" ht="26.25" customHeight="1">
      <c r="U551" s="58"/>
      <c r="V551" s="56"/>
      <c r="W551" s="56"/>
      <c r="X551" s="56"/>
      <c r="Y551" s="58"/>
    </row>
    <row r="552" spans="21:25" s="55" customFormat="1" ht="26.25" customHeight="1">
      <c r="U552" s="58"/>
      <c r="V552" s="56"/>
      <c r="W552" s="56"/>
      <c r="X552" s="56"/>
      <c r="Y552" s="58"/>
    </row>
    <row r="553" spans="21:25" s="55" customFormat="1" ht="26.25" customHeight="1">
      <c r="U553" s="58"/>
      <c r="V553" s="56"/>
      <c r="W553" s="56"/>
      <c r="X553" s="56"/>
      <c r="Y553" s="58"/>
    </row>
    <row r="554" spans="21:25" s="55" customFormat="1" ht="26.25" customHeight="1">
      <c r="U554" s="58"/>
      <c r="V554" s="56"/>
      <c r="W554" s="56"/>
      <c r="X554" s="56"/>
      <c r="Y554" s="58"/>
    </row>
    <row r="555" spans="21:25" s="55" customFormat="1" ht="26.25" customHeight="1">
      <c r="U555" s="58"/>
      <c r="V555" s="56"/>
      <c r="W555" s="56"/>
      <c r="X555" s="56"/>
      <c r="Y555" s="58"/>
    </row>
    <row r="556" spans="21:25" s="55" customFormat="1" ht="26.25" customHeight="1">
      <c r="U556" s="58"/>
      <c r="V556" s="56"/>
      <c r="W556" s="56"/>
      <c r="X556" s="56"/>
      <c r="Y556" s="58"/>
    </row>
    <row r="557" spans="21:25" s="55" customFormat="1" ht="26.25" customHeight="1">
      <c r="U557" s="58"/>
      <c r="V557" s="56"/>
      <c r="W557" s="56"/>
      <c r="X557" s="56"/>
      <c r="Y557" s="58"/>
    </row>
    <row r="558" spans="21:25" s="55" customFormat="1" ht="26.25" customHeight="1">
      <c r="U558" s="58"/>
      <c r="V558" s="56"/>
      <c r="W558" s="56"/>
      <c r="X558" s="56"/>
      <c r="Y558" s="58"/>
    </row>
    <row r="559" spans="21:25" s="55" customFormat="1" ht="26.25" customHeight="1">
      <c r="U559" s="58"/>
      <c r="V559" s="56"/>
      <c r="W559" s="56"/>
      <c r="X559" s="56"/>
      <c r="Y559" s="58"/>
    </row>
    <row r="560" spans="21:25" s="55" customFormat="1" ht="26.25" customHeight="1">
      <c r="U560" s="58"/>
      <c r="V560" s="56"/>
      <c r="W560" s="56"/>
      <c r="X560" s="56"/>
      <c r="Y560" s="58"/>
    </row>
    <row r="561" spans="21:25" s="55" customFormat="1" ht="26.25" customHeight="1">
      <c r="U561" s="58"/>
      <c r="V561" s="56"/>
      <c r="W561" s="56"/>
      <c r="X561" s="56"/>
      <c r="Y561" s="58"/>
    </row>
    <row r="562" spans="21:25" s="55" customFormat="1" ht="26.25" customHeight="1">
      <c r="U562" s="58"/>
      <c r="V562" s="56"/>
      <c r="W562" s="56"/>
      <c r="X562" s="56"/>
      <c r="Y562" s="58"/>
    </row>
    <row r="563" spans="21:25" s="55" customFormat="1" ht="26.25" customHeight="1">
      <c r="U563" s="58"/>
      <c r="V563" s="56"/>
      <c r="W563" s="56"/>
      <c r="X563" s="56"/>
      <c r="Y563" s="58"/>
    </row>
    <row r="564" spans="21:25" s="55" customFormat="1" ht="26.25" customHeight="1">
      <c r="U564" s="58"/>
      <c r="V564" s="56"/>
      <c r="W564" s="56"/>
      <c r="X564" s="56"/>
      <c r="Y564" s="58"/>
    </row>
    <row r="565" spans="21:25" s="55" customFormat="1" ht="26.25" customHeight="1">
      <c r="U565" s="58"/>
      <c r="V565" s="56"/>
      <c r="W565" s="56"/>
      <c r="X565" s="56"/>
      <c r="Y565" s="58"/>
    </row>
    <row r="566" spans="21:25" s="55" customFormat="1" ht="26.25" customHeight="1">
      <c r="U566" s="58"/>
      <c r="V566" s="56"/>
      <c r="W566" s="56"/>
      <c r="X566" s="56"/>
      <c r="Y566" s="58"/>
    </row>
    <row r="567" spans="21:25" s="55" customFormat="1" ht="26.25" customHeight="1">
      <c r="U567" s="58"/>
      <c r="V567" s="56"/>
      <c r="W567" s="56"/>
      <c r="X567" s="56"/>
      <c r="Y567" s="58"/>
    </row>
    <row r="568" spans="21:25" s="55" customFormat="1" ht="26.25" customHeight="1">
      <c r="U568" s="58"/>
      <c r="V568" s="56"/>
      <c r="W568" s="56"/>
      <c r="X568" s="56"/>
      <c r="Y568" s="58"/>
    </row>
    <row r="569" spans="21:25" s="55" customFormat="1" ht="26.25" customHeight="1">
      <c r="U569" s="58"/>
      <c r="V569" s="56"/>
      <c r="W569" s="56"/>
      <c r="X569" s="56"/>
      <c r="Y569" s="58"/>
    </row>
    <row r="570" spans="21:25" s="55" customFormat="1" ht="26.25" customHeight="1">
      <c r="U570" s="58"/>
      <c r="V570" s="56"/>
      <c r="W570" s="56"/>
      <c r="X570" s="56"/>
      <c r="Y570" s="58"/>
    </row>
    <row r="571" spans="21:25" s="55" customFormat="1" ht="26.25" customHeight="1">
      <c r="U571" s="58"/>
      <c r="V571" s="56"/>
      <c r="W571" s="56"/>
      <c r="X571" s="56"/>
      <c r="Y571" s="58"/>
    </row>
    <row r="572" spans="21:25" s="55" customFormat="1" ht="26.25" customHeight="1">
      <c r="U572" s="58"/>
      <c r="V572" s="56"/>
      <c r="W572" s="56"/>
      <c r="X572" s="56"/>
      <c r="Y572" s="58"/>
    </row>
    <row r="573" spans="21:25" s="55" customFormat="1" ht="26.25" customHeight="1">
      <c r="U573" s="58"/>
      <c r="V573" s="56"/>
      <c r="W573" s="56"/>
      <c r="X573" s="56"/>
      <c r="Y573" s="58"/>
    </row>
    <row r="574" spans="21:25" s="55" customFormat="1" ht="26.25" customHeight="1">
      <c r="U574" s="58"/>
      <c r="V574" s="56"/>
      <c r="W574" s="56"/>
      <c r="X574" s="56"/>
      <c r="Y574" s="58"/>
    </row>
    <row r="575" spans="21:25" s="55" customFormat="1" ht="26.25" customHeight="1">
      <c r="U575" s="58"/>
      <c r="V575" s="56"/>
      <c r="W575" s="56"/>
      <c r="X575" s="56"/>
      <c r="Y575" s="58"/>
    </row>
    <row r="576" spans="21:25" s="55" customFormat="1" ht="26.25" customHeight="1">
      <c r="U576" s="58"/>
      <c r="V576" s="56"/>
      <c r="W576" s="56"/>
      <c r="X576" s="56"/>
      <c r="Y576" s="58"/>
    </row>
    <row r="577" spans="21:25" s="55" customFormat="1" ht="26.25" customHeight="1">
      <c r="U577" s="58"/>
      <c r="V577" s="56"/>
      <c r="W577" s="56"/>
      <c r="X577" s="56"/>
      <c r="Y577" s="58"/>
    </row>
    <row r="578" spans="21:25" s="55" customFormat="1" ht="26.25" customHeight="1">
      <c r="U578" s="58"/>
      <c r="V578" s="56"/>
      <c r="W578" s="56"/>
      <c r="X578" s="56"/>
      <c r="Y578" s="58"/>
    </row>
    <row r="579" spans="21:25" s="55" customFormat="1" ht="26.25" customHeight="1">
      <c r="U579" s="58"/>
      <c r="V579" s="56"/>
      <c r="W579" s="56"/>
      <c r="X579" s="56"/>
      <c r="Y579" s="58"/>
    </row>
    <row r="580" spans="21:25" s="55" customFormat="1" ht="26.25" customHeight="1">
      <c r="U580" s="58"/>
      <c r="V580" s="56"/>
      <c r="W580" s="56"/>
      <c r="X580" s="56"/>
      <c r="Y580" s="58"/>
    </row>
    <row r="581" spans="21:25" s="55" customFormat="1" ht="26.25" customHeight="1">
      <c r="U581" s="58"/>
      <c r="V581" s="56"/>
      <c r="W581" s="56"/>
      <c r="X581" s="56"/>
      <c r="Y581" s="58"/>
    </row>
    <row r="582" spans="21:25" s="55" customFormat="1" ht="26.25" customHeight="1">
      <c r="U582" s="58"/>
      <c r="V582" s="56"/>
      <c r="W582" s="56"/>
      <c r="X582" s="56"/>
      <c r="Y582" s="58"/>
    </row>
    <row r="583" spans="21:25" s="55" customFormat="1" ht="26.25" customHeight="1">
      <c r="U583" s="58"/>
      <c r="V583" s="56"/>
      <c r="W583" s="56"/>
      <c r="X583" s="56"/>
      <c r="Y583" s="58"/>
    </row>
    <row r="584" spans="21:25" s="55" customFormat="1" ht="26.25" customHeight="1">
      <c r="U584" s="58"/>
      <c r="V584" s="56"/>
      <c r="W584" s="56"/>
      <c r="X584" s="56"/>
      <c r="Y584" s="58"/>
    </row>
    <row r="585" spans="21:25" s="55" customFormat="1" ht="26.25" customHeight="1">
      <c r="U585" s="58"/>
      <c r="V585" s="56"/>
      <c r="W585" s="56"/>
      <c r="X585" s="56"/>
      <c r="Y585" s="58"/>
    </row>
    <row r="586" spans="21:25" s="55" customFormat="1" ht="26.25" customHeight="1">
      <c r="U586" s="58"/>
      <c r="V586" s="56"/>
      <c r="W586" s="56"/>
      <c r="X586" s="56"/>
      <c r="Y586" s="58"/>
    </row>
    <row r="587" spans="21:25" s="55" customFormat="1" ht="26.25" customHeight="1">
      <c r="U587" s="58"/>
      <c r="V587" s="56"/>
      <c r="W587" s="56"/>
      <c r="X587" s="56"/>
      <c r="Y587" s="58"/>
    </row>
    <row r="588" spans="21:25" s="55" customFormat="1" ht="26.25" customHeight="1">
      <c r="U588" s="58"/>
      <c r="V588" s="56"/>
      <c r="W588" s="56"/>
      <c r="X588" s="56"/>
      <c r="Y588" s="58"/>
    </row>
    <row r="589" spans="21:25" s="55" customFormat="1" ht="26.25" customHeight="1">
      <c r="U589" s="58"/>
      <c r="V589" s="56"/>
      <c r="W589" s="56"/>
      <c r="X589" s="56"/>
      <c r="Y589" s="58"/>
    </row>
    <row r="590" spans="21:25" s="55" customFormat="1" ht="26.25" customHeight="1">
      <c r="U590" s="58"/>
      <c r="V590" s="56"/>
      <c r="W590" s="56"/>
      <c r="X590" s="56"/>
      <c r="Y590" s="58"/>
    </row>
    <row r="591" spans="21:25" s="55" customFormat="1" ht="26.25" customHeight="1">
      <c r="U591" s="58"/>
      <c r="V591" s="56"/>
      <c r="W591" s="56"/>
      <c r="X591" s="56"/>
      <c r="Y591" s="58"/>
    </row>
    <row r="592" spans="21:25" s="55" customFormat="1" ht="26.25" customHeight="1">
      <c r="U592" s="58"/>
      <c r="V592" s="56"/>
      <c r="W592" s="56"/>
      <c r="X592" s="56"/>
      <c r="Y592" s="58"/>
    </row>
    <row r="593" spans="21:25" s="55" customFormat="1" ht="26.25" customHeight="1">
      <c r="U593" s="58"/>
      <c r="V593" s="56"/>
      <c r="W593" s="56"/>
      <c r="X593" s="56"/>
      <c r="Y593" s="58"/>
    </row>
    <row r="594" spans="21:25" s="55" customFormat="1" ht="26.25" customHeight="1">
      <c r="U594" s="58"/>
      <c r="V594" s="56"/>
      <c r="W594" s="56"/>
      <c r="X594" s="56"/>
      <c r="Y594" s="58"/>
    </row>
    <row r="595" spans="21:25" s="55" customFormat="1" ht="26.25" customHeight="1">
      <c r="U595" s="58"/>
      <c r="V595" s="56"/>
      <c r="W595" s="56"/>
      <c r="X595" s="56"/>
      <c r="Y595" s="58"/>
    </row>
    <row r="596" spans="21:25" s="55" customFormat="1" ht="26.25" customHeight="1">
      <c r="U596" s="58"/>
      <c r="V596" s="56"/>
      <c r="W596" s="56"/>
      <c r="X596" s="56"/>
      <c r="Y596" s="58"/>
    </row>
  </sheetData>
  <sheetProtection selectLockedCells="1" selectUnlockedCells="1"/>
  <mergeCells count="14">
    <mergeCell ref="A23:L23"/>
    <mergeCell ref="A5:L5"/>
    <mergeCell ref="B3:E3"/>
    <mergeCell ref="R3:U3"/>
    <mergeCell ref="N3:Q3"/>
    <mergeCell ref="A3:A4"/>
    <mergeCell ref="F3:I3"/>
    <mergeCell ref="J3:L3"/>
    <mergeCell ref="AP3:AS3"/>
    <mergeCell ref="AL3:AO3"/>
    <mergeCell ref="AH3:AK3"/>
    <mergeCell ref="AD3:AG3"/>
    <mergeCell ref="V3:Y3"/>
    <mergeCell ref="Z3:AC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zoomScale="90" zoomScaleNormal="90"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P6" sqref="AP6"/>
    </sheetView>
  </sheetViews>
  <sheetFormatPr defaultColWidth="8.140625" defaultRowHeight="23.25"/>
  <cols>
    <col min="1" max="1" width="45.42578125" style="90" customWidth="1"/>
    <col min="2" max="3" width="11" style="90" customWidth="1"/>
    <col min="4" max="4" width="7.85546875" style="90" customWidth="1"/>
    <col min="5" max="15" width="10.5703125" style="90" customWidth="1"/>
    <col min="16" max="16" width="10.5703125" style="93" customWidth="1"/>
    <col min="17" max="17" width="11.28515625" style="90" customWidth="1"/>
    <col min="18" max="24" width="10.5703125" style="90" customWidth="1"/>
    <col min="25" max="25" width="10.85546875" style="90" customWidth="1"/>
    <col min="26" max="27" width="10.85546875" style="92" customWidth="1"/>
    <col min="28" max="28" width="10.42578125" style="92" customWidth="1"/>
    <col min="29" max="31" width="10.42578125" style="91" customWidth="1"/>
    <col min="32" max="34" width="10.85546875" style="91" customWidth="1"/>
    <col min="35" max="35" width="10.42578125" style="91" customWidth="1"/>
    <col min="36" max="37" width="11.140625" style="91" customWidth="1"/>
    <col min="38" max="38" width="10.85546875" style="269" customWidth="1"/>
    <col min="39" max="39" width="10.42578125" style="269" customWidth="1"/>
    <col min="40" max="41" width="11.140625" style="269" customWidth="1"/>
    <col min="42" max="42" width="10.85546875" style="269" customWidth="1"/>
    <col min="43" max="43" width="10.42578125" style="269" customWidth="1"/>
    <col min="44" max="45" width="11.140625" style="269" customWidth="1"/>
    <col min="46" max="46" width="10.85546875" style="269" customWidth="1"/>
    <col min="47" max="47" width="10.42578125" style="269" customWidth="1"/>
    <col min="48" max="16384" width="8.140625" style="90"/>
  </cols>
  <sheetData>
    <row r="1" spans="1:47" s="140" customFormat="1" ht="27.75">
      <c r="A1" s="143" t="s">
        <v>145</v>
      </c>
      <c r="B1" s="143"/>
      <c r="C1" s="143"/>
      <c r="D1" s="143"/>
      <c r="E1" s="143"/>
      <c r="F1" s="143"/>
      <c r="J1" s="143"/>
      <c r="N1" s="90"/>
      <c r="P1" s="142"/>
      <c r="Q1" s="90"/>
      <c r="R1" s="90"/>
      <c r="S1" s="90"/>
      <c r="T1" s="90"/>
      <c r="U1" s="90"/>
      <c r="V1" s="90"/>
      <c r="W1" s="90"/>
      <c r="X1" s="90"/>
      <c r="Y1" s="90"/>
      <c r="Z1" s="141"/>
      <c r="AA1" s="141"/>
      <c r="AB1" s="141"/>
      <c r="AC1" s="135"/>
      <c r="AD1" s="134"/>
      <c r="AE1" s="134"/>
      <c r="AF1" s="134"/>
      <c r="AG1" s="134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</row>
    <row r="2" spans="1:47" ht="7.5" customHeight="1">
      <c r="A2" s="139"/>
      <c r="B2" s="137"/>
      <c r="C2" s="137"/>
      <c r="D2" s="137"/>
      <c r="E2" s="138"/>
      <c r="F2" s="137"/>
      <c r="J2" s="137"/>
      <c r="P2" s="136"/>
      <c r="AC2" s="135"/>
      <c r="AD2" s="134"/>
      <c r="AE2" s="134"/>
      <c r="AF2" s="134"/>
      <c r="AG2" s="134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</row>
    <row r="3" spans="1:47" ht="19.5" customHeight="1">
      <c r="A3" s="1166" t="s">
        <v>3</v>
      </c>
      <c r="B3" s="133"/>
      <c r="C3" s="1168" t="s">
        <v>138</v>
      </c>
      <c r="D3" s="1168"/>
      <c r="E3" s="1168"/>
      <c r="F3" s="1168" t="s">
        <v>137</v>
      </c>
      <c r="G3" s="1168"/>
      <c r="H3" s="1168"/>
      <c r="I3" s="1168"/>
      <c r="J3" s="1163" t="s">
        <v>136</v>
      </c>
      <c r="K3" s="1163"/>
      <c r="L3" s="1163"/>
      <c r="M3" s="1163"/>
      <c r="N3" s="1163" t="s">
        <v>135</v>
      </c>
      <c r="O3" s="1163"/>
      <c r="P3" s="1163"/>
      <c r="Q3" s="1163"/>
      <c r="R3" s="1163" t="s">
        <v>134</v>
      </c>
      <c r="S3" s="1163"/>
      <c r="T3" s="1163"/>
      <c r="U3" s="1163"/>
      <c r="V3" s="1163" t="s">
        <v>133</v>
      </c>
      <c r="W3" s="1163"/>
      <c r="X3" s="1163"/>
      <c r="Y3" s="1163"/>
      <c r="Z3" s="1163" t="s">
        <v>132</v>
      </c>
      <c r="AA3" s="1163"/>
      <c r="AB3" s="1163"/>
      <c r="AC3" s="1163"/>
      <c r="AD3" s="1163" t="s">
        <v>131</v>
      </c>
      <c r="AE3" s="1163"/>
      <c r="AF3" s="1163"/>
      <c r="AG3" s="1163"/>
      <c r="AH3" s="1163" t="s">
        <v>130</v>
      </c>
      <c r="AI3" s="1163"/>
      <c r="AJ3" s="1163"/>
      <c r="AK3" s="1163"/>
      <c r="AL3" s="1163" t="s">
        <v>169</v>
      </c>
      <c r="AM3" s="1163"/>
      <c r="AN3" s="1163"/>
      <c r="AO3" s="1163"/>
      <c r="AP3" s="1163" t="s">
        <v>205</v>
      </c>
      <c r="AQ3" s="1163"/>
      <c r="AR3" s="1163"/>
      <c r="AS3" s="1163"/>
      <c r="AT3" s="90"/>
      <c r="AU3" s="90"/>
    </row>
    <row r="4" spans="1:47" ht="21.75">
      <c r="A4" s="1167"/>
      <c r="B4" s="130" t="s">
        <v>129</v>
      </c>
      <c r="C4" s="130" t="s">
        <v>128</v>
      </c>
      <c r="D4" s="131" t="s">
        <v>127</v>
      </c>
      <c r="E4" s="130" t="s">
        <v>126</v>
      </c>
      <c r="F4" s="132" t="s">
        <v>129</v>
      </c>
      <c r="G4" s="130" t="s">
        <v>128</v>
      </c>
      <c r="H4" s="132" t="s">
        <v>127</v>
      </c>
      <c r="I4" s="132" t="s">
        <v>126</v>
      </c>
      <c r="J4" s="130" t="s">
        <v>129</v>
      </c>
      <c r="K4" s="130" t="s">
        <v>128</v>
      </c>
      <c r="L4" s="131" t="s">
        <v>144</v>
      </c>
      <c r="M4" s="130" t="s">
        <v>126</v>
      </c>
      <c r="N4" s="129" t="s">
        <v>129</v>
      </c>
      <c r="O4" s="129" t="s">
        <v>128</v>
      </c>
      <c r="P4" s="129" t="s">
        <v>127</v>
      </c>
      <c r="Q4" s="129" t="s">
        <v>126</v>
      </c>
      <c r="R4" s="129" t="s">
        <v>129</v>
      </c>
      <c r="S4" s="129" t="s">
        <v>128</v>
      </c>
      <c r="T4" s="129" t="s">
        <v>127</v>
      </c>
      <c r="U4" s="129" t="s">
        <v>126</v>
      </c>
      <c r="V4" s="129" t="s">
        <v>129</v>
      </c>
      <c r="W4" s="129" t="s">
        <v>128</v>
      </c>
      <c r="X4" s="129" t="s">
        <v>127</v>
      </c>
      <c r="Y4" s="129" t="s">
        <v>126</v>
      </c>
      <c r="Z4" s="129" t="s">
        <v>129</v>
      </c>
      <c r="AA4" s="129" t="s">
        <v>128</v>
      </c>
      <c r="AB4" s="129" t="s">
        <v>127</v>
      </c>
      <c r="AC4" s="129" t="s">
        <v>126</v>
      </c>
      <c r="AD4" s="129" t="s">
        <v>129</v>
      </c>
      <c r="AE4" s="129" t="s">
        <v>128</v>
      </c>
      <c r="AF4" s="129" t="s">
        <v>127</v>
      </c>
      <c r="AG4" s="129" t="s">
        <v>126</v>
      </c>
      <c r="AH4" s="129" t="s">
        <v>129</v>
      </c>
      <c r="AI4" s="129" t="s">
        <v>128</v>
      </c>
      <c r="AJ4" s="129" t="s">
        <v>127</v>
      </c>
      <c r="AK4" s="129" t="s">
        <v>126</v>
      </c>
      <c r="AL4" s="130" t="s">
        <v>129</v>
      </c>
      <c r="AM4" s="130" t="s">
        <v>128</v>
      </c>
      <c r="AN4" s="130" t="s">
        <v>127</v>
      </c>
      <c r="AO4" s="130" t="s">
        <v>126</v>
      </c>
      <c r="AP4" s="130" t="s">
        <v>129</v>
      </c>
      <c r="AQ4" s="130" t="s">
        <v>128</v>
      </c>
      <c r="AR4" s="130" t="s">
        <v>127</v>
      </c>
      <c r="AS4" s="130" t="s">
        <v>126</v>
      </c>
      <c r="AT4" s="90"/>
      <c r="AU4" s="90"/>
    </row>
    <row r="5" spans="1:47" s="112" customFormat="1" ht="18.75" customHeight="1">
      <c r="A5" s="1164" t="s">
        <v>21</v>
      </c>
      <c r="B5" s="1164"/>
      <c r="C5" s="1164"/>
      <c r="D5" s="1164"/>
      <c r="E5" s="1164"/>
      <c r="F5" s="1164"/>
      <c r="G5" s="1164"/>
      <c r="H5" s="1164"/>
      <c r="I5" s="1164"/>
      <c r="J5" s="1164"/>
      <c r="K5" s="1164"/>
      <c r="L5" s="1164"/>
      <c r="N5" s="90"/>
      <c r="P5" s="128"/>
      <c r="Z5" s="127"/>
      <c r="AA5" s="127"/>
      <c r="AB5" s="127"/>
      <c r="AC5" s="126"/>
      <c r="AD5" s="125"/>
      <c r="AE5" s="125"/>
      <c r="AF5" s="125"/>
      <c r="AG5" s="125"/>
      <c r="AH5" s="125"/>
      <c r="AI5" s="125"/>
      <c r="AJ5" s="125"/>
      <c r="AK5" s="125"/>
      <c r="AL5" s="267"/>
      <c r="AM5" s="267"/>
      <c r="AN5" s="267"/>
      <c r="AO5" s="267"/>
      <c r="AP5" s="267"/>
      <c r="AQ5" s="267"/>
      <c r="AR5" s="267"/>
      <c r="AS5" s="267"/>
    </row>
    <row r="6" spans="1:47" ht="24">
      <c r="A6" s="124" t="s">
        <v>37</v>
      </c>
      <c r="B6" s="123">
        <v>1463504</v>
      </c>
      <c r="C6" s="121">
        <v>1463504</v>
      </c>
      <c r="D6" s="103">
        <v>0</v>
      </c>
      <c r="E6" s="121">
        <v>1554713</v>
      </c>
      <c r="F6" s="121">
        <v>1444247</v>
      </c>
      <c r="G6" s="121">
        <v>1502082.64</v>
      </c>
      <c r="H6" s="121">
        <v>1568700</v>
      </c>
      <c r="I6" s="121">
        <v>1596453</v>
      </c>
      <c r="J6" s="121">
        <v>1473724.65</v>
      </c>
      <c r="K6" s="122">
        <v>1558329.53</v>
      </c>
      <c r="L6" s="122">
        <v>1603167.91</v>
      </c>
      <c r="M6" s="122">
        <v>1616084</v>
      </c>
      <c r="N6" s="122">
        <v>1503381</v>
      </c>
      <c r="O6" s="122">
        <v>1501983</v>
      </c>
      <c r="P6" s="122">
        <v>1599586</v>
      </c>
      <c r="Q6" s="122">
        <v>1588286</v>
      </c>
      <c r="R6" s="122">
        <v>1349508</v>
      </c>
      <c r="S6" s="122">
        <v>1397340.87</v>
      </c>
      <c r="T6" s="122">
        <v>1405156</v>
      </c>
      <c r="U6" s="122">
        <v>1416408</v>
      </c>
      <c r="V6" s="122">
        <v>1362575.88</v>
      </c>
      <c r="W6" s="122">
        <v>1368351.78</v>
      </c>
      <c r="X6" s="122">
        <v>1366251.5</v>
      </c>
      <c r="Y6" s="122">
        <v>1389717.13</v>
      </c>
      <c r="Z6" s="122">
        <v>1280208.7</v>
      </c>
      <c r="AA6" s="122">
        <v>1281017.6100000001</v>
      </c>
      <c r="AB6" s="122">
        <v>1332622.46</v>
      </c>
      <c r="AC6" s="122">
        <v>1315215.74</v>
      </c>
      <c r="AD6" s="122">
        <v>1244459</v>
      </c>
      <c r="AE6" s="122">
        <v>1264250</v>
      </c>
      <c r="AF6" s="122">
        <v>1361389</v>
      </c>
      <c r="AG6" s="122">
        <v>1306822.97</v>
      </c>
      <c r="AH6" s="122">
        <v>1236358</v>
      </c>
      <c r="AI6" s="122">
        <v>1252549</v>
      </c>
      <c r="AJ6" s="122">
        <v>1299811</v>
      </c>
      <c r="AK6" s="122">
        <v>1263081</v>
      </c>
      <c r="AL6" s="122">
        <v>1184151</v>
      </c>
      <c r="AM6" s="122">
        <v>1171095</v>
      </c>
      <c r="AN6" s="122">
        <v>1164344</v>
      </c>
      <c r="AO6" s="122">
        <v>1198717</v>
      </c>
      <c r="AP6" s="122">
        <v>1123034</v>
      </c>
      <c r="AQ6" s="122">
        <v>1235110</v>
      </c>
      <c r="AR6" s="122">
        <v>1289307</v>
      </c>
      <c r="AS6" s="122">
        <v>1347607</v>
      </c>
      <c r="AT6" s="90"/>
      <c r="AU6" s="90"/>
    </row>
    <row r="7" spans="1:47" ht="4.5" customHeight="1">
      <c r="A7" s="110"/>
      <c r="B7" s="121"/>
      <c r="C7" s="121"/>
      <c r="D7" s="122"/>
      <c r="E7" s="121"/>
      <c r="F7" s="121"/>
      <c r="G7" s="107"/>
      <c r="H7" s="121"/>
      <c r="I7" s="121"/>
      <c r="J7" s="121"/>
      <c r="K7" s="120"/>
      <c r="L7" s="120"/>
      <c r="P7" s="90"/>
      <c r="Q7" s="110"/>
      <c r="R7" s="121"/>
      <c r="S7" s="121"/>
      <c r="T7" s="122"/>
      <c r="U7" s="121"/>
      <c r="V7" s="121"/>
      <c r="W7" s="121"/>
      <c r="X7" s="122"/>
      <c r="Y7" s="121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90"/>
      <c r="AU7" s="90"/>
    </row>
    <row r="8" spans="1:47">
      <c r="A8" s="105" t="s">
        <v>54</v>
      </c>
      <c r="B8" s="108"/>
      <c r="C8" s="108"/>
      <c r="D8" s="103"/>
      <c r="E8" s="108"/>
      <c r="F8" s="108"/>
      <c r="G8" s="107"/>
      <c r="H8" s="108"/>
      <c r="I8" s="108"/>
      <c r="J8" s="108"/>
      <c r="K8" s="120"/>
      <c r="L8" s="120"/>
      <c r="P8" s="90"/>
      <c r="Q8" s="105"/>
      <c r="R8" s="108"/>
      <c r="S8" s="108"/>
      <c r="T8" s="103"/>
      <c r="U8" s="108"/>
      <c r="V8" s="108"/>
      <c r="W8" s="108"/>
      <c r="X8" s="103"/>
      <c r="Y8" s="108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90"/>
      <c r="AU8" s="90"/>
    </row>
    <row r="9" spans="1:47">
      <c r="A9" s="105" t="s">
        <v>53</v>
      </c>
      <c r="B9" s="108">
        <v>38360</v>
      </c>
      <c r="C9" s="108">
        <v>38360</v>
      </c>
      <c r="D9" s="103">
        <v>0</v>
      </c>
      <c r="E9" s="108">
        <v>21189</v>
      </c>
      <c r="F9" s="108">
        <v>36599.089999999997</v>
      </c>
      <c r="G9" s="108">
        <v>39584.29</v>
      </c>
      <c r="H9" s="108">
        <v>23571</v>
      </c>
      <c r="I9" s="108">
        <v>28343.31</v>
      </c>
      <c r="J9" s="108">
        <v>44046.35</v>
      </c>
      <c r="K9" s="116">
        <v>36526.33</v>
      </c>
      <c r="L9" s="116">
        <v>47623.89</v>
      </c>
      <c r="M9" s="116">
        <v>47938</v>
      </c>
      <c r="N9" s="116">
        <v>46256</v>
      </c>
      <c r="O9" s="116">
        <v>45477</v>
      </c>
      <c r="P9" s="116">
        <v>123528</v>
      </c>
      <c r="Q9" s="116">
        <v>49091</v>
      </c>
      <c r="R9" s="116">
        <v>43562</v>
      </c>
      <c r="S9" s="116">
        <v>52138</v>
      </c>
      <c r="T9" s="116">
        <v>36867</v>
      </c>
      <c r="U9" s="117">
        <v>43484</v>
      </c>
      <c r="V9" s="116">
        <v>36966.080000000002</v>
      </c>
      <c r="W9" s="116">
        <v>27444.83</v>
      </c>
      <c r="X9" s="116">
        <v>31118.29</v>
      </c>
      <c r="Y9" s="116">
        <v>25460.17</v>
      </c>
      <c r="Z9" s="116">
        <v>37339.870000000003</v>
      </c>
      <c r="AA9" s="116">
        <v>36795.26</v>
      </c>
      <c r="AB9" s="116">
        <v>28395.200000000001</v>
      </c>
      <c r="AC9" s="116">
        <v>29694.63</v>
      </c>
      <c r="AD9" s="116">
        <v>36036</v>
      </c>
      <c r="AE9" s="116">
        <v>45374</v>
      </c>
      <c r="AF9" s="116">
        <v>36411</v>
      </c>
      <c r="AG9" s="116">
        <v>25540.799999999999</v>
      </c>
      <c r="AH9" s="116">
        <v>29215</v>
      </c>
      <c r="AI9" s="116">
        <v>25549</v>
      </c>
      <c r="AJ9" s="116">
        <v>27363</v>
      </c>
      <c r="AK9" s="116">
        <v>33548</v>
      </c>
      <c r="AL9" s="116">
        <v>38862</v>
      </c>
      <c r="AM9" s="116">
        <v>35053</v>
      </c>
      <c r="AN9" s="116">
        <v>30501</v>
      </c>
      <c r="AO9" s="116">
        <v>41275</v>
      </c>
      <c r="AP9" s="116">
        <v>44615</v>
      </c>
      <c r="AQ9" s="116">
        <v>37775</v>
      </c>
      <c r="AR9" s="116">
        <v>50923</v>
      </c>
      <c r="AS9" s="116">
        <v>64672</v>
      </c>
      <c r="AT9" s="90"/>
      <c r="AU9" s="90"/>
    </row>
    <row r="10" spans="1:47">
      <c r="A10" s="105" t="s">
        <v>52</v>
      </c>
      <c r="B10" s="108">
        <v>41042</v>
      </c>
      <c r="C10" s="108">
        <v>41042</v>
      </c>
      <c r="D10" s="103">
        <v>0</v>
      </c>
      <c r="E10" s="108">
        <v>47585</v>
      </c>
      <c r="F10" s="108">
        <v>69271.08</v>
      </c>
      <c r="G10" s="108">
        <v>69273.240000000005</v>
      </c>
      <c r="H10" s="108">
        <v>77277</v>
      </c>
      <c r="I10" s="108">
        <f>ROUNDUP(62141.42,0)</f>
        <v>62142</v>
      </c>
      <c r="J10" s="108">
        <v>88159.54</v>
      </c>
      <c r="K10" s="116">
        <v>64559.02</v>
      </c>
      <c r="L10" s="116">
        <v>71653.820000000007</v>
      </c>
      <c r="M10" s="116">
        <v>94059</v>
      </c>
      <c r="N10" s="116">
        <v>63976</v>
      </c>
      <c r="O10" s="116">
        <v>57220</v>
      </c>
      <c r="P10" s="116">
        <v>69245</v>
      </c>
      <c r="Q10" s="116">
        <v>63539</v>
      </c>
      <c r="R10" s="116">
        <v>51027</v>
      </c>
      <c r="S10" s="116">
        <v>49243</v>
      </c>
      <c r="T10" s="116">
        <v>49866</v>
      </c>
      <c r="U10" s="117">
        <v>49008</v>
      </c>
      <c r="V10" s="116">
        <v>46305.74</v>
      </c>
      <c r="W10" s="116">
        <v>36882.71</v>
      </c>
      <c r="X10" s="116">
        <v>38179.71</v>
      </c>
      <c r="Y10" s="116">
        <v>60418.34</v>
      </c>
      <c r="Z10" s="116">
        <v>57938.45</v>
      </c>
      <c r="AA10" s="116">
        <v>39692.92</v>
      </c>
      <c r="AB10" s="116">
        <v>44307.14</v>
      </c>
      <c r="AC10" s="116">
        <v>55513.05</v>
      </c>
      <c r="AD10" s="116">
        <v>58900</v>
      </c>
      <c r="AE10" s="116">
        <v>53102</v>
      </c>
      <c r="AF10" s="116">
        <v>50072</v>
      </c>
      <c r="AG10" s="116">
        <v>46193.19</v>
      </c>
      <c r="AH10" s="116">
        <v>45643</v>
      </c>
      <c r="AI10" s="116">
        <v>54259</v>
      </c>
      <c r="AJ10" s="116">
        <v>60253</v>
      </c>
      <c r="AK10" s="116">
        <v>36974</v>
      </c>
      <c r="AL10" s="116">
        <v>52150</v>
      </c>
      <c r="AM10" s="116">
        <v>50056</v>
      </c>
      <c r="AN10" s="116">
        <v>56131</v>
      </c>
      <c r="AO10" s="116">
        <v>51882</v>
      </c>
      <c r="AP10" s="116">
        <v>50469</v>
      </c>
      <c r="AQ10" s="116">
        <v>44963</v>
      </c>
      <c r="AR10" s="116">
        <v>55179</v>
      </c>
      <c r="AS10" s="116">
        <v>61744</v>
      </c>
      <c r="AT10" s="90"/>
      <c r="AU10" s="90"/>
    </row>
    <row r="11" spans="1:47">
      <c r="A11" s="105" t="s">
        <v>51</v>
      </c>
      <c r="B11" s="108"/>
      <c r="C11" s="108"/>
      <c r="D11" s="103"/>
      <c r="E11" s="108"/>
      <c r="F11" s="108"/>
      <c r="G11" s="108"/>
      <c r="H11" s="108"/>
      <c r="I11" s="108"/>
      <c r="J11" s="108"/>
      <c r="K11" s="116"/>
      <c r="L11" s="116"/>
      <c r="M11" s="116"/>
      <c r="N11" s="116"/>
      <c r="O11" s="116"/>
      <c r="P11" s="116" t="s">
        <v>142</v>
      </c>
      <c r="Q11" s="116"/>
      <c r="R11" s="116"/>
      <c r="S11" s="116"/>
      <c r="T11" s="116"/>
      <c r="U11" s="119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90"/>
      <c r="AU11" s="90"/>
    </row>
    <row r="12" spans="1:47">
      <c r="A12" s="105" t="s">
        <v>50</v>
      </c>
      <c r="B12" s="108">
        <v>30921</v>
      </c>
      <c r="C12" s="108">
        <v>30922</v>
      </c>
      <c r="D12" s="103">
        <v>0</v>
      </c>
      <c r="E12" s="108">
        <v>36393</v>
      </c>
      <c r="F12" s="108">
        <v>43505.51</v>
      </c>
      <c r="G12" s="108">
        <v>43111.32</v>
      </c>
      <c r="H12" s="108">
        <v>35857</v>
      </c>
      <c r="I12" s="108">
        <v>41702.97</v>
      </c>
      <c r="J12" s="108">
        <v>34486.68</v>
      </c>
      <c r="K12" s="116">
        <v>34240.15</v>
      </c>
      <c r="L12" s="116">
        <v>24552.84</v>
      </c>
      <c r="M12" s="116">
        <v>33523</v>
      </c>
      <c r="N12" s="116">
        <v>50935</v>
      </c>
      <c r="O12" s="116">
        <v>35400</v>
      </c>
      <c r="P12" s="116">
        <v>79854</v>
      </c>
      <c r="Q12" s="116">
        <v>46694</v>
      </c>
      <c r="R12" s="116">
        <v>49066</v>
      </c>
      <c r="S12" s="116">
        <v>48118</v>
      </c>
      <c r="T12" s="116">
        <v>53629</v>
      </c>
      <c r="U12" s="117">
        <v>46750</v>
      </c>
      <c r="V12" s="116">
        <v>40837.85</v>
      </c>
      <c r="W12" s="116">
        <v>44704.29</v>
      </c>
      <c r="X12" s="116">
        <v>39669.07</v>
      </c>
      <c r="Y12" s="116">
        <v>32546.98</v>
      </c>
      <c r="Z12" s="116">
        <v>36913.58</v>
      </c>
      <c r="AA12" s="116">
        <v>40470.870000000003</v>
      </c>
      <c r="AB12" s="116">
        <v>32696.76</v>
      </c>
      <c r="AC12" s="116">
        <v>44175.67</v>
      </c>
      <c r="AD12" s="116">
        <v>35829</v>
      </c>
      <c r="AE12" s="116">
        <v>34457</v>
      </c>
      <c r="AF12" s="116">
        <v>41557</v>
      </c>
      <c r="AG12" s="116">
        <v>29888.07</v>
      </c>
      <c r="AH12" s="116">
        <v>38528</v>
      </c>
      <c r="AI12" s="116">
        <v>27390</v>
      </c>
      <c r="AJ12" s="116">
        <v>33838</v>
      </c>
      <c r="AK12" s="116">
        <v>35289</v>
      </c>
      <c r="AL12" s="116">
        <v>37305</v>
      </c>
      <c r="AM12" s="116">
        <v>30645</v>
      </c>
      <c r="AN12" s="116">
        <v>37933</v>
      </c>
      <c r="AO12" s="116">
        <v>24148</v>
      </c>
      <c r="AP12" s="116">
        <v>34773</v>
      </c>
      <c r="AQ12" s="116">
        <v>34047</v>
      </c>
      <c r="AR12" s="116">
        <v>39682</v>
      </c>
      <c r="AS12" s="116">
        <v>33444</v>
      </c>
      <c r="AT12" s="90"/>
      <c r="AU12" s="90"/>
    </row>
    <row r="13" spans="1:47">
      <c r="A13" s="105" t="s">
        <v>49</v>
      </c>
      <c r="B13" s="108">
        <v>54596</v>
      </c>
      <c r="C13" s="108">
        <v>54596</v>
      </c>
      <c r="D13" s="103">
        <v>0</v>
      </c>
      <c r="E13" s="108">
        <v>58093</v>
      </c>
      <c r="F13" s="108">
        <v>40446.800000000003</v>
      </c>
      <c r="G13" s="108">
        <v>34699.339999999997</v>
      </c>
      <c r="H13" s="108">
        <v>47830</v>
      </c>
      <c r="I13" s="108">
        <v>40982.839999999997</v>
      </c>
      <c r="J13" s="108">
        <v>45455.3</v>
      </c>
      <c r="K13" s="116">
        <f>ROUNDUP(45257.41,0)</f>
        <v>45258</v>
      </c>
      <c r="L13" s="116">
        <v>53792.13</v>
      </c>
      <c r="M13" s="116">
        <v>49895</v>
      </c>
      <c r="N13" s="116">
        <v>48560</v>
      </c>
      <c r="O13" s="116">
        <v>50172</v>
      </c>
      <c r="P13" s="116">
        <v>37046</v>
      </c>
      <c r="Q13" s="116">
        <v>47553</v>
      </c>
      <c r="R13" s="116">
        <v>46765</v>
      </c>
      <c r="S13" s="116">
        <v>31331</v>
      </c>
      <c r="T13" s="116">
        <v>28957</v>
      </c>
      <c r="U13" s="117">
        <v>41394</v>
      </c>
      <c r="V13" s="116">
        <v>46773.53</v>
      </c>
      <c r="W13" s="116">
        <v>43633.18</v>
      </c>
      <c r="X13" s="116">
        <v>31542.86</v>
      </c>
      <c r="Y13" s="116">
        <v>27080.63</v>
      </c>
      <c r="Z13" s="116">
        <v>28023.26</v>
      </c>
      <c r="AA13" s="116">
        <v>34193.1</v>
      </c>
      <c r="AB13" s="116">
        <v>42656.79</v>
      </c>
      <c r="AC13" s="116">
        <v>30445.83</v>
      </c>
      <c r="AD13" s="116">
        <v>34859</v>
      </c>
      <c r="AE13" s="116">
        <v>31681</v>
      </c>
      <c r="AF13" s="116">
        <v>33030</v>
      </c>
      <c r="AG13" s="116">
        <v>31538.38</v>
      </c>
      <c r="AH13" s="116">
        <v>44345</v>
      </c>
      <c r="AI13" s="116">
        <v>35243</v>
      </c>
      <c r="AJ13" s="116">
        <v>27146</v>
      </c>
      <c r="AK13" s="116">
        <v>37792</v>
      </c>
      <c r="AL13" s="116">
        <v>47492</v>
      </c>
      <c r="AM13" s="116">
        <v>45570</v>
      </c>
      <c r="AN13" s="116">
        <v>40136</v>
      </c>
      <c r="AO13" s="116">
        <v>40415</v>
      </c>
      <c r="AP13" s="116">
        <v>40432</v>
      </c>
      <c r="AQ13" s="116">
        <v>33091</v>
      </c>
      <c r="AR13" s="116">
        <v>23856</v>
      </c>
      <c r="AS13" s="116">
        <v>30874</v>
      </c>
      <c r="AT13" s="90"/>
      <c r="AU13" s="90"/>
    </row>
    <row r="14" spans="1:47">
      <c r="A14" s="105" t="s">
        <v>48</v>
      </c>
      <c r="B14" s="108">
        <v>335759</v>
      </c>
      <c r="C14" s="108">
        <v>335759</v>
      </c>
      <c r="D14" s="103">
        <v>0</v>
      </c>
      <c r="E14" s="108">
        <v>275051</v>
      </c>
      <c r="F14" s="108">
        <v>306485.2</v>
      </c>
      <c r="G14" s="108">
        <v>301767.51</v>
      </c>
      <c r="H14" s="108">
        <v>272255</v>
      </c>
      <c r="I14" s="108">
        <v>280223.26</v>
      </c>
      <c r="J14" s="108">
        <v>320308.49</v>
      </c>
      <c r="K14" s="116">
        <v>298617.94</v>
      </c>
      <c r="L14" s="116">
        <v>300349.94</v>
      </c>
      <c r="M14" s="116">
        <v>381381</v>
      </c>
      <c r="N14" s="116">
        <v>269773</v>
      </c>
      <c r="O14" s="116">
        <v>327736</v>
      </c>
      <c r="P14" s="116">
        <v>243375</v>
      </c>
      <c r="Q14" s="116">
        <v>256107</v>
      </c>
      <c r="R14" s="116">
        <v>258543</v>
      </c>
      <c r="S14" s="116">
        <v>253209</v>
      </c>
      <c r="T14" s="116">
        <v>236702</v>
      </c>
      <c r="U14" s="117">
        <v>265091</v>
      </c>
      <c r="V14" s="116">
        <v>260528.15</v>
      </c>
      <c r="W14" s="116">
        <v>241895.6</v>
      </c>
      <c r="X14" s="116">
        <v>239289.39</v>
      </c>
      <c r="Y14" s="116">
        <v>232415.8</v>
      </c>
      <c r="Z14" s="116">
        <v>249855.24</v>
      </c>
      <c r="AA14" s="116">
        <v>244259.67</v>
      </c>
      <c r="AB14" s="116">
        <v>272517.53999999998</v>
      </c>
      <c r="AC14" s="116">
        <v>245325.4</v>
      </c>
      <c r="AD14" s="116">
        <v>264189</v>
      </c>
      <c r="AE14" s="116">
        <v>256374</v>
      </c>
      <c r="AF14" s="116">
        <v>264756</v>
      </c>
      <c r="AG14" s="116">
        <v>261399.23</v>
      </c>
      <c r="AH14" s="116">
        <v>211947</v>
      </c>
      <c r="AI14" s="116">
        <v>224243</v>
      </c>
      <c r="AJ14" s="116">
        <v>223515</v>
      </c>
      <c r="AK14" s="116">
        <v>240618</v>
      </c>
      <c r="AL14" s="116">
        <v>237568</v>
      </c>
      <c r="AM14" s="116">
        <v>245594</v>
      </c>
      <c r="AN14" s="116">
        <v>232153</v>
      </c>
      <c r="AO14" s="116">
        <v>220106</v>
      </c>
      <c r="AP14" s="116">
        <v>230705</v>
      </c>
      <c r="AQ14" s="116">
        <v>205549</v>
      </c>
      <c r="AR14" s="116">
        <v>221153</v>
      </c>
      <c r="AS14" s="116">
        <v>225299</v>
      </c>
      <c r="AT14" s="90"/>
      <c r="AU14" s="90"/>
    </row>
    <row r="15" spans="1:47">
      <c r="A15" s="105" t="s">
        <v>47</v>
      </c>
      <c r="B15" s="108"/>
      <c r="C15" s="108"/>
      <c r="D15" s="103"/>
      <c r="E15" s="108"/>
      <c r="F15" s="108"/>
      <c r="G15" s="108"/>
      <c r="H15" s="108"/>
      <c r="I15" s="108"/>
      <c r="J15" s="108"/>
      <c r="K15" s="116"/>
      <c r="L15" s="116"/>
      <c r="M15" s="116"/>
      <c r="N15" s="116"/>
      <c r="O15" s="116"/>
      <c r="P15" s="116" t="s">
        <v>142</v>
      </c>
      <c r="Q15" s="116"/>
      <c r="R15" s="116"/>
      <c r="S15" s="116"/>
      <c r="T15" s="116"/>
      <c r="U15" s="119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90"/>
      <c r="AU15" s="90"/>
    </row>
    <row r="16" spans="1:47">
      <c r="A16" s="106" t="s">
        <v>46</v>
      </c>
      <c r="B16" s="108">
        <v>316481</v>
      </c>
      <c r="C16" s="108">
        <v>316481</v>
      </c>
      <c r="D16" s="103">
        <v>0</v>
      </c>
      <c r="E16" s="108">
        <v>580034</v>
      </c>
      <c r="F16" s="108">
        <v>362916.93</v>
      </c>
      <c r="G16" s="108">
        <v>443081.73</v>
      </c>
      <c r="H16" s="108">
        <v>568690</v>
      </c>
      <c r="I16" s="108">
        <v>565395.91</v>
      </c>
      <c r="J16" s="108">
        <v>371653.8</v>
      </c>
      <c r="K16" s="116">
        <v>496011.99</v>
      </c>
      <c r="L16" s="116">
        <v>537549.73</v>
      </c>
      <c r="M16" s="116">
        <v>485543</v>
      </c>
      <c r="N16" s="116">
        <v>381393</v>
      </c>
      <c r="O16" s="116">
        <v>385970</v>
      </c>
      <c r="P16" s="116">
        <v>590680</v>
      </c>
      <c r="Q16" s="116">
        <v>589994</v>
      </c>
      <c r="R16" s="116">
        <v>380217</v>
      </c>
      <c r="S16" s="116">
        <v>478238</v>
      </c>
      <c r="T16" s="116">
        <v>500371</v>
      </c>
      <c r="U16" s="117">
        <v>504936</v>
      </c>
      <c r="V16" s="116">
        <v>412223.41</v>
      </c>
      <c r="W16" s="116">
        <v>443088.09</v>
      </c>
      <c r="X16" s="116">
        <v>536436.74</v>
      </c>
      <c r="Y16" s="116">
        <v>507792.56</v>
      </c>
      <c r="Z16" s="116">
        <v>349884.05</v>
      </c>
      <c r="AA16" s="116">
        <v>358051.78</v>
      </c>
      <c r="AB16" s="116">
        <v>445323.92</v>
      </c>
      <c r="AC16" s="116">
        <v>437922.16</v>
      </c>
      <c r="AD16" s="116">
        <v>275349</v>
      </c>
      <c r="AE16" s="116">
        <v>387080</v>
      </c>
      <c r="AF16" s="116">
        <v>476749</v>
      </c>
      <c r="AG16" s="116">
        <v>431531.51</v>
      </c>
      <c r="AH16" s="116">
        <v>358811</v>
      </c>
      <c r="AI16" s="116">
        <v>386943</v>
      </c>
      <c r="AJ16" s="116">
        <v>459368</v>
      </c>
      <c r="AK16" s="116">
        <v>394970</v>
      </c>
      <c r="AL16" s="116">
        <v>306068</v>
      </c>
      <c r="AM16" s="116">
        <v>306856</v>
      </c>
      <c r="AN16" s="116">
        <v>370035</v>
      </c>
      <c r="AO16" s="116">
        <v>403243</v>
      </c>
      <c r="AP16" s="116">
        <v>276310</v>
      </c>
      <c r="AQ16" s="116">
        <v>457397</v>
      </c>
      <c r="AR16" s="116">
        <v>506118</v>
      </c>
      <c r="AS16" s="116">
        <v>548602</v>
      </c>
      <c r="AT16" s="90"/>
      <c r="AU16" s="90"/>
    </row>
    <row r="17" spans="1:47">
      <c r="A17" s="105" t="s">
        <v>45</v>
      </c>
      <c r="B17" s="108"/>
      <c r="C17" s="108"/>
      <c r="D17" s="103"/>
      <c r="E17" s="108"/>
      <c r="F17" s="108"/>
      <c r="G17" s="108"/>
      <c r="H17" s="108"/>
      <c r="I17" s="108" t="s">
        <v>143</v>
      </c>
      <c r="J17" s="108"/>
      <c r="K17" s="116"/>
      <c r="L17" s="116"/>
      <c r="M17" s="116"/>
      <c r="N17" s="116"/>
      <c r="O17" s="116"/>
      <c r="P17" s="116" t="s">
        <v>142</v>
      </c>
      <c r="Q17" s="116"/>
      <c r="R17" s="116"/>
      <c r="S17" s="116"/>
      <c r="T17" s="116"/>
      <c r="U17" s="119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90"/>
      <c r="AU17" s="90"/>
    </row>
    <row r="18" spans="1:47">
      <c r="A18" s="105" t="s">
        <v>44</v>
      </c>
      <c r="B18" s="108">
        <v>184901</v>
      </c>
      <c r="C18" s="108">
        <v>184901</v>
      </c>
      <c r="D18" s="103">
        <v>0</v>
      </c>
      <c r="E18" s="108">
        <v>209333</v>
      </c>
      <c r="F18" s="108">
        <v>256892.49</v>
      </c>
      <c r="G18" s="108">
        <v>242772.07</v>
      </c>
      <c r="H18" s="108">
        <v>242633</v>
      </c>
      <c r="I18" s="108">
        <v>193775.86</v>
      </c>
      <c r="J18" s="108">
        <v>169901.51</v>
      </c>
      <c r="K18" s="116">
        <v>192459.9</v>
      </c>
      <c r="L18" s="116">
        <v>189868.98</v>
      </c>
      <c r="M18" s="116">
        <v>154008</v>
      </c>
      <c r="N18" s="116">
        <v>222542</v>
      </c>
      <c r="O18" s="116">
        <v>218908</v>
      </c>
      <c r="P18" s="116">
        <v>161098</v>
      </c>
      <c r="Q18" s="116">
        <v>158734</v>
      </c>
      <c r="R18" s="116">
        <v>188042</v>
      </c>
      <c r="S18" s="116">
        <v>161429</v>
      </c>
      <c r="T18" s="116">
        <v>155203</v>
      </c>
      <c r="U18" s="117">
        <v>175610</v>
      </c>
      <c r="V18" s="116">
        <v>203938.79</v>
      </c>
      <c r="W18" s="116">
        <v>219625.96</v>
      </c>
      <c r="X18" s="116">
        <v>162928.94</v>
      </c>
      <c r="Y18" s="116">
        <v>189042.62</v>
      </c>
      <c r="Z18" s="116">
        <v>191211.94</v>
      </c>
      <c r="AA18" s="116">
        <v>195743.71</v>
      </c>
      <c r="AB18" s="116">
        <v>168267.19</v>
      </c>
      <c r="AC18" s="116">
        <v>162786.10999999999</v>
      </c>
      <c r="AD18" s="116">
        <v>140215</v>
      </c>
      <c r="AE18" s="116">
        <v>139510</v>
      </c>
      <c r="AF18" s="116">
        <v>155591</v>
      </c>
      <c r="AG18" s="116">
        <v>179037.4</v>
      </c>
      <c r="AH18" s="116">
        <v>158493</v>
      </c>
      <c r="AI18" s="116">
        <v>162947</v>
      </c>
      <c r="AJ18" s="116">
        <v>166574</v>
      </c>
      <c r="AK18" s="116">
        <v>141437</v>
      </c>
      <c r="AL18" s="116">
        <v>141208</v>
      </c>
      <c r="AM18" s="116">
        <v>181905</v>
      </c>
      <c r="AN18" s="116">
        <v>154712</v>
      </c>
      <c r="AO18" s="116">
        <v>136190</v>
      </c>
      <c r="AP18" s="116">
        <v>154144</v>
      </c>
      <c r="AQ18" s="116">
        <v>152225</v>
      </c>
      <c r="AR18" s="116">
        <v>116962</v>
      </c>
      <c r="AS18" s="116">
        <v>92926</v>
      </c>
      <c r="AT18" s="90"/>
      <c r="AU18" s="90"/>
    </row>
    <row r="19" spans="1:47">
      <c r="A19" s="105" t="s">
        <v>43</v>
      </c>
      <c r="B19" s="108"/>
      <c r="C19" s="108"/>
      <c r="D19" s="103"/>
      <c r="E19" s="108"/>
      <c r="F19" s="108"/>
      <c r="G19" s="108"/>
      <c r="H19" s="108"/>
      <c r="I19" s="108"/>
      <c r="J19" s="108"/>
      <c r="K19" s="116"/>
      <c r="L19" s="116"/>
      <c r="M19" s="116"/>
      <c r="N19" s="116"/>
      <c r="O19" s="116"/>
      <c r="P19" s="116" t="s">
        <v>142</v>
      </c>
      <c r="Q19" s="116"/>
      <c r="R19" s="116"/>
      <c r="S19" s="116"/>
      <c r="T19" s="116"/>
      <c r="U19" s="119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90"/>
      <c r="AU19" s="90"/>
    </row>
    <row r="20" spans="1:47">
      <c r="A20" s="105" t="s">
        <v>42</v>
      </c>
      <c r="B20" s="108">
        <v>172137</v>
      </c>
      <c r="C20" s="108">
        <v>172137</v>
      </c>
      <c r="D20" s="103">
        <v>0</v>
      </c>
      <c r="E20" s="108">
        <v>135335</v>
      </c>
      <c r="F20" s="108">
        <v>139535</v>
      </c>
      <c r="G20" s="108">
        <v>182278.11</v>
      </c>
      <c r="H20" s="108">
        <v>122416</v>
      </c>
      <c r="I20" s="108">
        <v>143469.35999999999</v>
      </c>
      <c r="J20" s="108">
        <v>181392.52</v>
      </c>
      <c r="K20" s="116">
        <v>170471.34</v>
      </c>
      <c r="L20" s="116">
        <f>ROUNDDOWN(194857.54,0)</f>
        <v>194857</v>
      </c>
      <c r="M20" s="116">
        <v>162731</v>
      </c>
      <c r="N20" s="116">
        <v>200343</v>
      </c>
      <c r="O20" s="116">
        <v>162418</v>
      </c>
      <c r="P20" s="116">
        <v>165505</v>
      </c>
      <c r="Q20" s="116">
        <v>166848</v>
      </c>
      <c r="R20" s="116">
        <v>148821</v>
      </c>
      <c r="S20" s="116">
        <v>138953</v>
      </c>
      <c r="T20" s="116">
        <v>137976</v>
      </c>
      <c r="U20" s="117">
        <v>137490</v>
      </c>
      <c r="V20" s="116">
        <v>131910.26</v>
      </c>
      <c r="W20" s="116">
        <v>129264.9</v>
      </c>
      <c r="X20" s="116">
        <v>126756.26</v>
      </c>
      <c r="Y20" s="116">
        <v>143687.28</v>
      </c>
      <c r="Z20" s="116">
        <v>112736.15</v>
      </c>
      <c r="AA20" s="116">
        <v>133791.25</v>
      </c>
      <c r="AB20" s="116">
        <v>130887.21</v>
      </c>
      <c r="AC20" s="116">
        <v>113252.19</v>
      </c>
      <c r="AD20" s="116">
        <v>153368</v>
      </c>
      <c r="AE20" s="116">
        <v>120836</v>
      </c>
      <c r="AF20" s="116">
        <v>125599</v>
      </c>
      <c r="AG20" s="116">
        <v>108149.58</v>
      </c>
      <c r="AH20" s="116">
        <v>129347</v>
      </c>
      <c r="AI20" s="116">
        <v>139920</v>
      </c>
      <c r="AJ20" s="116">
        <v>127397</v>
      </c>
      <c r="AK20" s="116">
        <v>130542</v>
      </c>
      <c r="AL20" s="116">
        <v>151100</v>
      </c>
      <c r="AM20" s="116">
        <v>127614</v>
      </c>
      <c r="AN20" s="116">
        <v>139310</v>
      </c>
      <c r="AO20" s="116">
        <v>143063</v>
      </c>
      <c r="AP20" s="116">
        <v>130186</v>
      </c>
      <c r="AQ20" s="116">
        <v>151283</v>
      </c>
      <c r="AR20" s="116">
        <v>135925</v>
      </c>
      <c r="AS20" s="116">
        <v>108132</v>
      </c>
      <c r="AT20" s="90"/>
      <c r="AU20" s="90"/>
    </row>
    <row r="21" spans="1:47">
      <c r="A21" s="105" t="s">
        <v>41</v>
      </c>
      <c r="B21" s="108"/>
      <c r="C21" s="108"/>
      <c r="D21" s="103"/>
      <c r="E21" s="108"/>
      <c r="F21" s="108"/>
      <c r="G21" s="108"/>
      <c r="H21" s="108"/>
      <c r="I21" s="108"/>
      <c r="J21" s="108"/>
      <c r="K21" s="116"/>
      <c r="L21" s="116"/>
      <c r="M21" s="116"/>
      <c r="P21" s="90"/>
      <c r="Q21" s="116"/>
      <c r="U21" s="119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268"/>
      <c r="AM21" s="268"/>
      <c r="AN21" s="268"/>
      <c r="AO21" s="268"/>
      <c r="AP21" s="268"/>
      <c r="AQ21" s="268"/>
      <c r="AR21" s="268"/>
      <c r="AS21" s="268"/>
      <c r="AT21" s="90"/>
      <c r="AU21" s="90"/>
    </row>
    <row r="22" spans="1:47">
      <c r="A22" s="105" t="s">
        <v>40</v>
      </c>
      <c r="B22" s="108">
        <v>289306</v>
      </c>
      <c r="C22" s="108">
        <v>289306</v>
      </c>
      <c r="D22" s="103">
        <v>0</v>
      </c>
      <c r="E22" s="108">
        <v>191700</v>
      </c>
      <c r="F22" s="108">
        <v>172217.1</v>
      </c>
      <c r="G22" s="108">
        <v>141211.63</v>
      </c>
      <c r="H22" s="108">
        <v>174786</v>
      </c>
      <c r="I22" s="108">
        <v>220409.35</v>
      </c>
      <c r="J22" s="108">
        <v>218320.48</v>
      </c>
      <c r="K22" s="118">
        <f>ROUNDUP(220185.44,0)</f>
        <v>220186</v>
      </c>
      <c r="L22" s="116">
        <v>182919.03</v>
      </c>
      <c r="M22" s="116">
        <v>207009</v>
      </c>
      <c r="N22" s="116">
        <v>219603</v>
      </c>
      <c r="O22" s="116">
        <v>218682</v>
      </c>
      <c r="P22" s="116">
        <v>129255</v>
      </c>
      <c r="Q22" s="116">
        <v>209726</v>
      </c>
      <c r="R22" s="116">
        <v>183465</v>
      </c>
      <c r="S22" s="116">
        <v>184682</v>
      </c>
      <c r="T22" s="116">
        <v>205585</v>
      </c>
      <c r="U22" s="117">
        <v>152645</v>
      </c>
      <c r="V22" s="116">
        <v>183092.08</v>
      </c>
      <c r="W22" s="116">
        <v>181812.21</v>
      </c>
      <c r="X22" s="116">
        <v>160330.25</v>
      </c>
      <c r="Y22" s="116">
        <v>171272.76</v>
      </c>
      <c r="Z22" s="116">
        <v>216306.16</v>
      </c>
      <c r="AA22" s="116">
        <v>198019.05</v>
      </c>
      <c r="AB22" s="116">
        <v>167570.71</v>
      </c>
      <c r="AC22" s="116">
        <v>196100.7</v>
      </c>
      <c r="AD22" s="116">
        <v>245714</v>
      </c>
      <c r="AE22" s="116">
        <v>195836</v>
      </c>
      <c r="AF22" s="116">
        <v>177624</v>
      </c>
      <c r="AG22" s="116">
        <v>193544.82</v>
      </c>
      <c r="AH22" s="116">
        <v>220029</v>
      </c>
      <c r="AI22" s="116">
        <v>196055</v>
      </c>
      <c r="AJ22" s="116">
        <v>174357</v>
      </c>
      <c r="AK22" s="116">
        <v>211911</v>
      </c>
      <c r="AL22" s="116">
        <v>172398</v>
      </c>
      <c r="AM22" s="116">
        <v>147802</v>
      </c>
      <c r="AN22" s="116">
        <v>103433</v>
      </c>
      <c r="AO22" s="116">
        <v>138395</v>
      </c>
      <c r="AP22" s="116">
        <v>161400</v>
      </c>
      <c r="AQ22" s="116">
        <v>118780</v>
      </c>
      <c r="AR22" s="116">
        <v>139509</v>
      </c>
      <c r="AS22" s="116">
        <v>181445</v>
      </c>
      <c r="AT22" s="90"/>
      <c r="AU22" s="90"/>
    </row>
    <row r="23" spans="1:47">
      <c r="A23" s="104" t="s">
        <v>39</v>
      </c>
      <c r="B23" s="103">
        <v>0</v>
      </c>
      <c r="C23" s="103">
        <v>0</v>
      </c>
      <c r="D23" s="103">
        <v>0</v>
      </c>
      <c r="E23" s="103">
        <v>0</v>
      </c>
      <c r="F23" s="108">
        <v>16377.79</v>
      </c>
      <c r="G23" s="108">
        <f>ROUNDUP(4303.39,0)</f>
        <v>4304</v>
      </c>
      <c r="H23" s="108">
        <v>3386</v>
      </c>
      <c r="I23" s="108">
        <v>20008.66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3">
        <v>0</v>
      </c>
      <c r="W23" s="103">
        <v>0</v>
      </c>
      <c r="X23" s="103">
        <v>0</v>
      </c>
      <c r="Y23" s="103">
        <v>0</v>
      </c>
      <c r="Z23" s="103">
        <v>0</v>
      </c>
      <c r="AA23" s="103">
        <v>0</v>
      </c>
      <c r="AB23" s="103">
        <v>0</v>
      </c>
      <c r="AC23" s="103">
        <v>0</v>
      </c>
      <c r="AD23" s="103">
        <v>0</v>
      </c>
      <c r="AE23" s="103">
        <v>0</v>
      </c>
      <c r="AF23" s="103">
        <v>0</v>
      </c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 t="s">
        <v>8</v>
      </c>
      <c r="AM23" s="103" t="s">
        <v>8</v>
      </c>
      <c r="AN23" s="103" t="s">
        <v>8</v>
      </c>
      <c r="AO23" s="103" t="s">
        <v>8</v>
      </c>
      <c r="AP23" s="103" t="s">
        <v>8</v>
      </c>
      <c r="AQ23" s="103" t="s">
        <v>8</v>
      </c>
      <c r="AR23" s="103" t="s">
        <v>8</v>
      </c>
      <c r="AS23" s="103">
        <v>469</v>
      </c>
      <c r="AT23" s="90"/>
      <c r="AU23" s="90"/>
    </row>
    <row r="24" spans="1:47" s="112" customFormat="1" ht="29.25" customHeight="1">
      <c r="A24" s="1165" t="s">
        <v>20</v>
      </c>
      <c r="B24" s="1165"/>
      <c r="C24" s="1165"/>
      <c r="D24" s="1165"/>
      <c r="E24" s="1165"/>
      <c r="F24" s="1165"/>
      <c r="G24" s="1165"/>
      <c r="H24" s="1165"/>
      <c r="I24" s="1165"/>
      <c r="J24" s="1165"/>
      <c r="K24" s="1165"/>
      <c r="L24" s="1165"/>
      <c r="M24" s="90"/>
      <c r="N24" s="90"/>
      <c r="O24" s="90"/>
      <c r="P24" s="115"/>
      <c r="Q24" s="1165"/>
      <c r="R24" s="1165"/>
      <c r="S24" s="1165"/>
      <c r="T24" s="1165"/>
      <c r="U24" s="1165"/>
      <c r="V24" s="1165"/>
      <c r="W24" s="1165"/>
      <c r="X24" s="1165"/>
      <c r="Y24" s="1165"/>
      <c r="Z24" s="1165"/>
      <c r="AA24" s="1165"/>
      <c r="AB24" s="92"/>
      <c r="AC24" s="114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47" ht="21.75" customHeight="1">
      <c r="A25" s="110" t="s">
        <v>37</v>
      </c>
      <c r="B25" s="111">
        <f>B6/B6*100</f>
        <v>100</v>
      </c>
      <c r="C25" s="111">
        <f>C6/C6*100</f>
        <v>100</v>
      </c>
      <c r="D25" s="103">
        <v>0</v>
      </c>
      <c r="E25" s="111">
        <f t="shared" ref="E25:AK25" si="0">E6/E6*100</f>
        <v>100</v>
      </c>
      <c r="F25" s="111">
        <f t="shared" si="0"/>
        <v>100</v>
      </c>
      <c r="G25" s="111">
        <f t="shared" si="0"/>
        <v>100</v>
      </c>
      <c r="H25" s="111">
        <f t="shared" si="0"/>
        <v>100</v>
      </c>
      <c r="I25" s="111">
        <f t="shared" si="0"/>
        <v>100</v>
      </c>
      <c r="J25" s="111">
        <f t="shared" si="0"/>
        <v>100</v>
      </c>
      <c r="K25" s="111">
        <f t="shared" si="0"/>
        <v>100</v>
      </c>
      <c r="L25" s="111">
        <f t="shared" si="0"/>
        <v>100</v>
      </c>
      <c r="M25" s="111">
        <f t="shared" si="0"/>
        <v>100</v>
      </c>
      <c r="N25" s="111">
        <f t="shared" si="0"/>
        <v>100</v>
      </c>
      <c r="O25" s="111">
        <f t="shared" si="0"/>
        <v>100</v>
      </c>
      <c r="P25" s="111">
        <f t="shared" si="0"/>
        <v>100</v>
      </c>
      <c r="Q25" s="111">
        <f t="shared" si="0"/>
        <v>100</v>
      </c>
      <c r="R25" s="111">
        <f t="shared" si="0"/>
        <v>100</v>
      </c>
      <c r="S25" s="111">
        <f t="shared" si="0"/>
        <v>100</v>
      </c>
      <c r="T25" s="111">
        <f t="shared" si="0"/>
        <v>100</v>
      </c>
      <c r="U25" s="111">
        <f t="shared" si="0"/>
        <v>100</v>
      </c>
      <c r="V25" s="111">
        <f t="shared" si="0"/>
        <v>100</v>
      </c>
      <c r="W25" s="111">
        <f t="shared" si="0"/>
        <v>100</v>
      </c>
      <c r="X25" s="111">
        <f t="shared" si="0"/>
        <v>100</v>
      </c>
      <c r="Y25" s="111">
        <f t="shared" si="0"/>
        <v>100</v>
      </c>
      <c r="Z25" s="111">
        <f t="shared" si="0"/>
        <v>100</v>
      </c>
      <c r="AA25" s="111">
        <f t="shared" si="0"/>
        <v>100</v>
      </c>
      <c r="AB25" s="111">
        <f t="shared" si="0"/>
        <v>100</v>
      </c>
      <c r="AC25" s="111">
        <f t="shared" si="0"/>
        <v>100</v>
      </c>
      <c r="AD25" s="111">
        <f t="shared" si="0"/>
        <v>100</v>
      </c>
      <c r="AE25" s="111">
        <f t="shared" si="0"/>
        <v>100</v>
      </c>
      <c r="AF25" s="111">
        <f t="shared" si="0"/>
        <v>100</v>
      </c>
      <c r="AG25" s="111">
        <f t="shared" si="0"/>
        <v>100</v>
      </c>
      <c r="AH25" s="111">
        <f t="shared" si="0"/>
        <v>100</v>
      </c>
      <c r="AI25" s="111">
        <f t="shared" si="0"/>
        <v>100</v>
      </c>
      <c r="AJ25" s="111">
        <f t="shared" si="0"/>
        <v>100</v>
      </c>
      <c r="AK25" s="111">
        <f t="shared" si="0"/>
        <v>100</v>
      </c>
      <c r="AL25" s="111">
        <f t="shared" ref="AL25:AO25" si="1">AL6/AL6*100</f>
        <v>100</v>
      </c>
      <c r="AM25" s="111">
        <f t="shared" si="1"/>
        <v>100</v>
      </c>
      <c r="AN25" s="111">
        <f t="shared" si="1"/>
        <v>100</v>
      </c>
      <c r="AO25" s="111">
        <f t="shared" si="1"/>
        <v>100</v>
      </c>
      <c r="AP25" s="111">
        <f t="shared" ref="AP25:AS25" si="2">AP6/AP6*100</f>
        <v>100</v>
      </c>
      <c r="AQ25" s="111">
        <f t="shared" si="2"/>
        <v>100</v>
      </c>
      <c r="AR25" s="111">
        <f t="shared" si="2"/>
        <v>100</v>
      </c>
      <c r="AS25" s="111">
        <f t="shared" si="2"/>
        <v>100</v>
      </c>
      <c r="AT25" s="90"/>
      <c r="AU25" s="90"/>
    </row>
    <row r="26" spans="1:47" ht="3.75" customHeight="1">
      <c r="A26" s="110"/>
      <c r="B26" s="109"/>
      <c r="C26" s="108"/>
      <c r="D26" s="108"/>
      <c r="E26" s="108"/>
      <c r="F26" s="108"/>
      <c r="G26" s="108"/>
      <c r="H26" s="108"/>
      <c r="I26" s="108"/>
      <c r="J26" s="108"/>
      <c r="K26" s="108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20"/>
      <c r="AM26" s="120"/>
      <c r="AN26" s="120"/>
      <c r="AO26" s="120"/>
      <c r="AP26" s="120"/>
      <c r="AQ26" s="120"/>
      <c r="AR26" s="120"/>
      <c r="AS26" s="120"/>
      <c r="AT26" s="90"/>
      <c r="AU26" s="90"/>
    </row>
    <row r="27" spans="1:47">
      <c r="A27" s="105" t="s">
        <v>54</v>
      </c>
      <c r="B27" s="102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20"/>
      <c r="AM27" s="120"/>
      <c r="AN27" s="120"/>
      <c r="AO27" s="120"/>
      <c r="AP27" s="120"/>
      <c r="AQ27" s="120"/>
      <c r="AR27" s="120"/>
      <c r="AS27" s="120"/>
      <c r="AT27" s="90"/>
      <c r="AU27" s="90"/>
    </row>
    <row r="28" spans="1:47">
      <c r="A28" s="105" t="s">
        <v>53</v>
      </c>
      <c r="B28" s="103">
        <f>B9*100/$B$6</f>
        <v>2.6211066044233564</v>
      </c>
      <c r="C28" s="102">
        <f>C9*100/$C$6</f>
        <v>2.6211066044233564</v>
      </c>
      <c r="D28" s="103" t="s">
        <v>125</v>
      </c>
      <c r="E28" s="102">
        <f>SUM(E9*100/E6)</f>
        <v>1.3628881986578874</v>
      </c>
      <c r="F28" s="102">
        <f>ROUNDUP(F9*100/$F$6,1)</f>
        <v>2.6</v>
      </c>
      <c r="G28" s="102">
        <f>G9*100/$G$6</f>
        <v>2.6352937545433588</v>
      </c>
      <c r="H28" s="102">
        <f>H9*100/$H$6</f>
        <v>1.5025817555938037</v>
      </c>
      <c r="I28" s="102">
        <f>I9*100/$I$6</f>
        <v>1.7753926986889059</v>
      </c>
      <c r="J28" s="102">
        <f>J9*100/$J$6</f>
        <v>2.9887774490302514</v>
      </c>
      <c r="K28" s="102">
        <f>ROUNDUP(K9*100/$K$6,2)</f>
        <v>2.3499999999999996</v>
      </c>
      <c r="L28" s="102">
        <f t="shared" ref="L28:AJ28" si="3">L9*100/L$6</f>
        <v>2.9706114813637958</v>
      </c>
      <c r="M28" s="102">
        <f t="shared" si="3"/>
        <v>2.9663062068555841</v>
      </c>
      <c r="N28" s="102">
        <f t="shared" si="3"/>
        <v>3.0767982301226371</v>
      </c>
      <c r="O28" s="102">
        <f t="shared" si="3"/>
        <v>3.0277972520328125</v>
      </c>
      <c r="P28" s="102">
        <f t="shared" si="3"/>
        <v>7.7224981964083206</v>
      </c>
      <c r="Q28" s="102">
        <f t="shared" si="3"/>
        <v>3.0908161376477534</v>
      </c>
      <c r="R28" s="102">
        <f t="shared" si="3"/>
        <v>3.2279912382883245</v>
      </c>
      <c r="S28" s="102">
        <f t="shared" si="3"/>
        <v>3.7312298752129105</v>
      </c>
      <c r="T28" s="102">
        <f t="shared" si="3"/>
        <v>2.6236944510075748</v>
      </c>
      <c r="U28" s="102">
        <f t="shared" si="3"/>
        <v>3.0700193729490373</v>
      </c>
      <c r="V28" s="102">
        <f t="shared" si="3"/>
        <v>2.7129556997589011</v>
      </c>
      <c r="W28" s="102">
        <f t="shared" si="3"/>
        <v>2.0056852631857578</v>
      </c>
      <c r="X28" s="102">
        <f t="shared" si="3"/>
        <v>2.2776399513559547</v>
      </c>
      <c r="Y28" s="102">
        <f t="shared" si="3"/>
        <v>1.8320397331505873</v>
      </c>
      <c r="Z28" s="102">
        <f t="shared" si="3"/>
        <v>2.916701784638708</v>
      </c>
      <c r="AA28" s="102">
        <f t="shared" si="3"/>
        <v>2.8723461498706482</v>
      </c>
      <c r="AB28" s="102">
        <f t="shared" si="3"/>
        <v>2.130776033896352</v>
      </c>
      <c r="AC28" s="102">
        <f t="shared" si="3"/>
        <v>2.2577763553833381</v>
      </c>
      <c r="AD28" s="102">
        <f t="shared" si="3"/>
        <v>2.8957161304631169</v>
      </c>
      <c r="AE28" s="102">
        <f t="shared" si="3"/>
        <v>3.5890053391338737</v>
      </c>
      <c r="AF28" s="102">
        <f t="shared" si="3"/>
        <v>2.6745478331321908</v>
      </c>
      <c r="AG28" s="102">
        <f t="shared" si="3"/>
        <v>1.9544192737903896</v>
      </c>
      <c r="AH28" s="102">
        <f t="shared" si="3"/>
        <v>2.3629887136250178</v>
      </c>
      <c r="AI28" s="102">
        <f t="shared" si="3"/>
        <v>2.0397605203469085</v>
      </c>
      <c r="AJ28" s="102">
        <f t="shared" si="3"/>
        <v>2.1051522105906169</v>
      </c>
      <c r="AK28" s="102">
        <f>AK9*100/AK$6-0.02</f>
        <v>2.6360450200739303</v>
      </c>
      <c r="AL28" s="103">
        <f t="shared" ref="AL28:AO28" si="4">AL9*100/AL$6-0.02</f>
        <v>3.2618449674070282</v>
      </c>
      <c r="AM28" s="103">
        <f t="shared" si="4"/>
        <v>2.9731815950029672</v>
      </c>
      <c r="AN28" s="103">
        <f t="shared" si="4"/>
        <v>2.5995866513676371</v>
      </c>
      <c r="AO28" s="103">
        <f t="shared" si="4"/>
        <v>3.4232647572362787</v>
      </c>
      <c r="AP28" s="103">
        <f t="shared" ref="AP28:AS28" si="5">AP9*100/AP$6-0.02</f>
        <v>3.9527203272563431</v>
      </c>
      <c r="AQ28" s="103">
        <f t="shared" si="5"/>
        <v>3.0384320424901428</v>
      </c>
      <c r="AR28" s="103">
        <f t="shared" si="5"/>
        <v>3.9296411638190127</v>
      </c>
      <c r="AS28" s="103">
        <f t="shared" si="5"/>
        <v>4.7790252351019253</v>
      </c>
      <c r="AT28" s="90"/>
      <c r="AU28" s="90"/>
    </row>
    <row r="29" spans="1:47">
      <c r="A29" s="105" t="s">
        <v>52</v>
      </c>
      <c r="B29" s="103">
        <f>B10*100/$B$6</f>
        <v>2.8043654134187541</v>
      </c>
      <c r="C29" s="102">
        <f>C10*100/$C$6</f>
        <v>2.8043654134187541</v>
      </c>
      <c r="D29" s="103" t="s">
        <v>125</v>
      </c>
      <c r="E29" s="102">
        <f>SUM(E10*100/E6)</f>
        <v>3.0606935170671372</v>
      </c>
      <c r="F29" s="102">
        <f>F10*100/$F$6</f>
        <v>4.7963457774189591</v>
      </c>
      <c r="G29" s="102">
        <f>G10*100/$G$6</f>
        <v>4.6118128360767168</v>
      </c>
      <c r="H29" s="102">
        <f>H10*100/$H$6</f>
        <v>4.9261809141327211</v>
      </c>
      <c r="I29" s="102">
        <f>I10*100/$I$6</f>
        <v>3.8925041952378177</v>
      </c>
      <c r="J29" s="102">
        <f>J10*100/$J$6</f>
        <v>5.9820903450315503</v>
      </c>
      <c r="K29" s="102">
        <f>K10*100/$K$6</f>
        <v>4.1428349240099429</v>
      </c>
      <c r="L29" s="102">
        <f t="shared" ref="L29:AJ29" si="6">L10*100/L$6</f>
        <v>4.4695143629715002</v>
      </c>
      <c r="M29" s="102">
        <f t="shared" si="6"/>
        <v>5.8201801391511827</v>
      </c>
      <c r="N29" s="102">
        <f t="shared" si="6"/>
        <v>4.2554748264079434</v>
      </c>
      <c r="O29" s="102">
        <f t="shared" si="6"/>
        <v>3.8096303353633165</v>
      </c>
      <c r="P29" s="102">
        <f t="shared" si="6"/>
        <v>4.328932611313177</v>
      </c>
      <c r="Q29" s="102">
        <f t="shared" si="6"/>
        <v>4.0004759848037441</v>
      </c>
      <c r="R29" s="102">
        <f t="shared" si="6"/>
        <v>3.781155799002303</v>
      </c>
      <c r="S29" s="102">
        <f t="shared" si="6"/>
        <v>3.524050649144757</v>
      </c>
      <c r="T29" s="102">
        <f t="shared" si="6"/>
        <v>3.5487874655910092</v>
      </c>
      <c r="U29" s="102">
        <f t="shared" si="6"/>
        <v>3.460019994238948</v>
      </c>
      <c r="V29" s="102">
        <f t="shared" si="6"/>
        <v>3.3983971593567328</v>
      </c>
      <c r="W29" s="102">
        <f t="shared" si="6"/>
        <v>2.6954114094841897</v>
      </c>
      <c r="X29" s="102">
        <f t="shared" si="6"/>
        <v>2.7944862274625133</v>
      </c>
      <c r="Y29" s="102">
        <f t="shared" si="6"/>
        <v>4.3475279030344831</v>
      </c>
      <c r="Z29" s="102">
        <f t="shared" si="6"/>
        <v>4.5257035044364251</v>
      </c>
      <c r="AA29" s="102">
        <f t="shared" si="6"/>
        <v>3.0985460067172688</v>
      </c>
      <c r="AB29" s="102">
        <f t="shared" si="6"/>
        <v>3.3248081380828598</v>
      </c>
      <c r="AC29" s="102">
        <f t="shared" si="6"/>
        <v>4.220832241560613</v>
      </c>
      <c r="AD29" s="102">
        <f t="shared" si="6"/>
        <v>4.7329803553190581</v>
      </c>
      <c r="AE29" s="102">
        <f t="shared" si="6"/>
        <v>4.2002768439786431</v>
      </c>
      <c r="AF29" s="102">
        <f t="shared" si="6"/>
        <v>3.6780082694953462</v>
      </c>
      <c r="AG29" s="102">
        <f t="shared" si="6"/>
        <v>3.5347702833842907</v>
      </c>
      <c r="AH29" s="102">
        <f t="shared" si="6"/>
        <v>3.6917300652400034</v>
      </c>
      <c r="AI29" s="102">
        <f t="shared" si="6"/>
        <v>4.3318864172180094</v>
      </c>
      <c r="AJ29" s="102">
        <f t="shared" si="6"/>
        <v>4.6355200871511322</v>
      </c>
      <c r="AK29" s="102">
        <f>AK10*100/AK$6</f>
        <v>2.9272865319009629</v>
      </c>
      <c r="AL29" s="103">
        <f t="shared" ref="AL29:AO29" si="7">AL10*100/AL$6</f>
        <v>4.4039991521351585</v>
      </c>
      <c r="AM29" s="103">
        <f t="shared" si="7"/>
        <v>4.2742903009576505</v>
      </c>
      <c r="AN29" s="103">
        <f t="shared" si="7"/>
        <v>4.8208261475989911</v>
      </c>
      <c r="AO29" s="103">
        <f t="shared" si="7"/>
        <v>4.328127489641008</v>
      </c>
      <c r="AP29" s="103">
        <f t="shared" ref="AP29:AS29" si="8">AP10*100/AP$6</f>
        <v>4.4939868249759138</v>
      </c>
      <c r="AQ29" s="103">
        <f t="shared" si="8"/>
        <v>3.6404044983847594</v>
      </c>
      <c r="AR29" s="103">
        <f t="shared" si="8"/>
        <v>4.279740977129574</v>
      </c>
      <c r="AS29" s="103">
        <f t="shared" si="8"/>
        <v>4.5817512078818234</v>
      </c>
      <c r="AT29" s="90"/>
      <c r="AU29" s="90"/>
    </row>
    <row r="30" spans="1:47">
      <c r="A30" s="105" t="s">
        <v>51</v>
      </c>
      <c r="B30" s="102"/>
      <c r="C30" s="102"/>
      <c r="D30" s="103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3"/>
      <c r="AM30" s="103"/>
      <c r="AN30" s="103"/>
      <c r="AO30" s="103"/>
      <c r="AP30" s="103"/>
      <c r="AQ30" s="103"/>
      <c r="AR30" s="103"/>
      <c r="AS30" s="103"/>
      <c r="AT30" s="90"/>
      <c r="AU30" s="90"/>
    </row>
    <row r="31" spans="1:47">
      <c r="A31" s="105" t="s">
        <v>50</v>
      </c>
      <c r="B31" s="103">
        <f>B12*100/$B$6</f>
        <v>2.1128059779816111</v>
      </c>
      <c r="C31" s="102">
        <f>C12*100/$C$6</f>
        <v>2.1128743071423104</v>
      </c>
      <c r="D31" s="103" t="s">
        <v>125</v>
      </c>
      <c r="E31" s="102">
        <f>SUM(E12*100/E6)</f>
        <v>2.3408178872885221</v>
      </c>
      <c r="F31" s="102">
        <f>F12*100/$F$6</f>
        <v>3.0123316856465689</v>
      </c>
      <c r="G31" s="102">
        <f>G12*100/$G$6</f>
        <v>2.8701030723582561</v>
      </c>
      <c r="H31" s="102">
        <f>H12*100/$H$6</f>
        <v>2.2857780327659847</v>
      </c>
      <c r="I31" s="102">
        <f>I12*100/$I$6</f>
        <v>2.6122266048546372</v>
      </c>
      <c r="J31" s="102">
        <f>ROUNDUP(J12*100/$J$6,2)</f>
        <v>2.3499999999999996</v>
      </c>
      <c r="K31" s="102">
        <f>K12*100/$K$6</f>
        <v>2.1972342396668822</v>
      </c>
      <c r="L31" s="102">
        <f t="shared" ref="L31:AK31" si="9">L12*100/L$6</f>
        <v>1.5315201761991357</v>
      </c>
      <c r="M31" s="102">
        <f t="shared" si="9"/>
        <v>2.0743352449501389</v>
      </c>
      <c r="N31" s="102">
        <f t="shared" si="9"/>
        <v>3.388030046940862</v>
      </c>
      <c r="O31" s="102">
        <f t="shared" si="9"/>
        <v>2.3568841990888045</v>
      </c>
      <c r="P31" s="102">
        <f t="shared" si="9"/>
        <v>4.9921667231396123</v>
      </c>
      <c r="Q31" s="102">
        <f t="shared" si="9"/>
        <v>2.9398987336033939</v>
      </c>
      <c r="R31" s="102">
        <f t="shared" si="9"/>
        <v>3.63584358151267</v>
      </c>
      <c r="S31" s="102">
        <f t="shared" si="9"/>
        <v>3.4435405872011744</v>
      </c>
      <c r="T31" s="102">
        <f t="shared" si="9"/>
        <v>3.8165869127698278</v>
      </c>
      <c r="U31" s="102">
        <f t="shared" si="9"/>
        <v>3.3006026512134921</v>
      </c>
      <c r="V31" s="102">
        <f t="shared" si="9"/>
        <v>2.9971064804112051</v>
      </c>
      <c r="W31" s="102">
        <f t="shared" si="9"/>
        <v>3.2670173454957614</v>
      </c>
      <c r="X31" s="102">
        <f t="shared" si="9"/>
        <v>2.9034969037545428</v>
      </c>
      <c r="Y31" s="102">
        <f t="shared" si="9"/>
        <v>2.3419859550842554</v>
      </c>
      <c r="Z31" s="102">
        <f t="shared" si="9"/>
        <v>2.883403307601331</v>
      </c>
      <c r="AA31" s="102">
        <f t="shared" si="9"/>
        <v>3.1592750703872059</v>
      </c>
      <c r="AB31" s="102">
        <f t="shared" si="9"/>
        <v>2.4535651305171609</v>
      </c>
      <c r="AC31" s="102">
        <f t="shared" si="9"/>
        <v>3.3588154898450351</v>
      </c>
      <c r="AD31" s="102">
        <f t="shared" si="9"/>
        <v>2.8790823964469703</v>
      </c>
      <c r="AE31" s="102">
        <f t="shared" si="9"/>
        <v>2.7254894206051019</v>
      </c>
      <c r="AF31" s="102">
        <f t="shared" si="9"/>
        <v>3.052544129561793</v>
      </c>
      <c r="AG31" s="102">
        <f t="shared" si="9"/>
        <v>2.2870787157957593</v>
      </c>
      <c r="AH31" s="102">
        <f t="shared" si="9"/>
        <v>3.1162495005491935</v>
      </c>
      <c r="AI31" s="102">
        <f t="shared" si="9"/>
        <v>2.1867407981643834</v>
      </c>
      <c r="AJ31" s="102">
        <f t="shared" si="9"/>
        <v>2.6033015569186597</v>
      </c>
      <c r="AK31" s="102">
        <f t="shared" si="9"/>
        <v>2.7938825776019116</v>
      </c>
      <c r="AL31" s="103">
        <f t="shared" ref="AL31:AO31" si="10">AL12*100/AL$6</f>
        <v>3.1503583580134626</v>
      </c>
      <c r="AM31" s="103">
        <f t="shared" si="10"/>
        <v>2.6167817299194343</v>
      </c>
      <c r="AN31" s="103">
        <f t="shared" si="10"/>
        <v>3.2578859855850162</v>
      </c>
      <c r="AO31" s="103">
        <f t="shared" si="10"/>
        <v>2.0144871558507971</v>
      </c>
      <c r="AP31" s="103">
        <f t="shared" ref="AP31:AS31" si="11">AP12*100/AP$6</f>
        <v>3.0963443671340314</v>
      </c>
      <c r="AQ31" s="103">
        <f t="shared" si="11"/>
        <v>2.756596578442406</v>
      </c>
      <c r="AR31" s="103">
        <f t="shared" si="11"/>
        <v>3.0777774416799102</v>
      </c>
      <c r="AS31" s="103">
        <f t="shared" si="11"/>
        <v>2.4817324338623945</v>
      </c>
      <c r="AT31" s="90"/>
      <c r="AU31" s="90"/>
    </row>
    <row r="32" spans="1:47">
      <c r="A32" s="105" t="s">
        <v>49</v>
      </c>
      <c r="B32" s="103">
        <f>B13*100/$B$6</f>
        <v>3.7304988575364333</v>
      </c>
      <c r="C32" s="102">
        <f>C13*100/$C$6</f>
        <v>3.7304988575364333</v>
      </c>
      <c r="D32" s="103" t="s">
        <v>125</v>
      </c>
      <c r="E32" s="102">
        <f>SUM(E13*100/E6)</f>
        <v>3.7365738885569235</v>
      </c>
      <c r="F32" s="102">
        <f>F13*100/$F$6</f>
        <v>2.8005458900035802</v>
      </c>
      <c r="G32" s="102">
        <f>G13*100/$G$6</f>
        <v>2.3100819539462889</v>
      </c>
      <c r="H32" s="102">
        <f>H13*100/$H$6</f>
        <v>3.0490214827564226</v>
      </c>
      <c r="I32" s="102">
        <f>I13*100/$I$6</f>
        <v>2.5671184807820837</v>
      </c>
      <c r="J32" s="102">
        <f>J13*100/$J$6</f>
        <v>3.084382146963478</v>
      </c>
      <c r="K32" s="102">
        <f>K13*100/$K$6</f>
        <v>2.9042637727592826</v>
      </c>
      <c r="L32" s="102">
        <f t="shared" ref="L32:AK32" si="12">L13*100/L$6</f>
        <v>3.3553646916497977</v>
      </c>
      <c r="M32" s="102">
        <f t="shared" si="12"/>
        <v>3.0874013974521128</v>
      </c>
      <c r="N32" s="102">
        <f t="shared" si="12"/>
        <v>3.2300527943349024</v>
      </c>
      <c r="O32" s="102">
        <f t="shared" si="12"/>
        <v>3.3403840123356923</v>
      </c>
      <c r="P32" s="102">
        <f t="shared" si="12"/>
        <v>2.3159742583393452</v>
      </c>
      <c r="Q32" s="102">
        <f t="shared" si="12"/>
        <v>2.9939821921240886</v>
      </c>
      <c r="R32" s="102">
        <f t="shared" si="12"/>
        <v>3.4653369968907186</v>
      </c>
      <c r="S32" s="102">
        <f t="shared" si="12"/>
        <v>2.2421873340039067</v>
      </c>
      <c r="T32" s="102">
        <f t="shared" si="12"/>
        <v>2.0607676300709672</v>
      </c>
      <c r="U32" s="102">
        <f t="shared" si="12"/>
        <v>2.9224630191300811</v>
      </c>
      <c r="V32" s="102">
        <f t="shared" si="12"/>
        <v>3.4327284583960198</v>
      </c>
      <c r="W32" s="102">
        <f t="shared" si="12"/>
        <v>3.1887399598369361</v>
      </c>
      <c r="X32" s="102">
        <f t="shared" si="12"/>
        <v>2.3087154890589323</v>
      </c>
      <c r="Y32" s="102">
        <f t="shared" si="12"/>
        <v>1.9486433185147543</v>
      </c>
      <c r="Z32" s="102">
        <f t="shared" si="12"/>
        <v>2.1889602843661349</v>
      </c>
      <c r="AA32" s="102">
        <f t="shared" si="12"/>
        <v>2.6692138916029418</v>
      </c>
      <c r="AB32" s="102">
        <f t="shared" si="12"/>
        <v>3.2009658609535969</v>
      </c>
      <c r="AC32" s="102">
        <f t="shared" si="12"/>
        <v>2.3148924601525831</v>
      </c>
      <c r="AD32" s="102">
        <f t="shared" si="12"/>
        <v>2.8011368795597122</v>
      </c>
      <c r="AE32" s="102">
        <f t="shared" si="12"/>
        <v>2.5059125964010285</v>
      </c>
      <c r="AF32" s="102">
        <f t="shared" si="12"/>
        <v>2.4261985369354386</v>
      </c>
      <c r="AG32" s="102">
        <f t="shared" si="12"/>
        <v>2.4133628443950599</v>
      </c>
      <c r="AH32" s="102">
        <f t="shared" si="12"/>
        <v>3.5867442925107453</v>
      </c>
      <c r="AI32" s="102">
        <f t="shared" si="12"/>
        <v>2.8137022982733608</v>
      </c>
      <c r="AJ32" s="102">
        <f t="shared" si="12"/>
        <v>2.0884574757407037</v>
      </c>
      <c r="AK32" s="102">
        <f t="shared" si="12"/>
        <v>2.9920488076378318</v>
      </c>
      <c r="AL32" s="103">
        <f t="shared" ref="AL32:AO32" si="13">AL13*100/AL$6</f>
        <v>4.0106371569166432</v>
      </c>
      <c r="AM32" s="103">
        <f t="shared" si="13"/>
        <v>3.8912300026897904</v>
      </c>
      <c r="AN32" s="103">
        <f t="shared" si="13"/>
        <v>3.4470912376411094</v>
      </c>
      <c r="AO32" s="103">
        <f t="shared" si="13"/>
        <v>3.3715213849474064</v>
      </c>
      <c r="AP32" s="103">
        <f t="shared" ref="AP32:AS32" si="14">AP13*100/AP$6</f>
        <v>3.6002471875294959</v>
      </c>
      <c r="AQ32" s="103">
        <f t="shared" si="14"/>
        <v>2.6791945656662159</v>
      </c>
      <c r="AR32" s="103">
        <f t="shared" si="14"/>
        <v>1.8502963219776205</v>
      </c>
      <c r="AS32" s="103">
        <f t="shared" si="14"/>
        <v>2.2910240151616903</v>
      </c>
      <c r="AT32" s="90"/>
      <c r="AU32" s="90"/>
    </row>
    <row r="33" spans="1:47">
      <c r="A33" s="105" t="s">
        <v>48</v>
      </c>
      <c r="B33" s="103">
        <f>ROUNDUP(B14*100/$B$6,1)</f>
        <v>23</v>
      </c>
      <c r="C33" s="102">
        <f>ROUNDUP(C14*100/$C$6,2)</f>
        <v>22.950000000000003</v>
      </c>
      <c r="D33" s="103" t="s">
        <v>125</v>
      </c>
      <c r="E33" s="102">
        <f>SUM(E14*100/E6)</f>
        <v>17.691432438012676</v>
      </c>
      <c r="F33" s="102">
        <f>F14*100/$F$6</f>
        <v>21.221106915922277</v>
      </c>
      <c r="G33" s="102">
        <f>G14*100/$G$6</f>
        <v>20.089940590752054</v>
      </c>
      <c r="H33" s="102">
        <f>H14*100/$H$6</f>
        <v>17.355453560272839</v>
      </c>
      <c r="I33" s="102">
        <f>ROUNDDOWN(I14*100/$I$6,1)</f>
        <v>17.5</v>
      </c>
      <c r="J33" s="102">
        <f>J14*100/$J$6</f>
        <v>21.734622542956043</v>
      </c>
      <c r="K33" s="102">
        <f>K14*100/$K$6</f>
        <v>19.162695325423243</v>
      </c>
      <c r="L33" s="102">
        <f t="shared" ref="L33:AK33" si="15">L14*100/L$6</f>
        <v>18.73477744449114</v>
      </c>
      <c r="M33" s="102">
        <f t="shared" si="15"/>
        <v>23.599082720947674</v>
      </c>
      <c r="N33" s="102">
        <f t="shared" si="15"/>
        <v>17.944419944112635</v>
      </c>
      <c r="O33" s="102">
        <f t="shared" si="15"/>
        <v>21.82022033538329</v>
      </c>
      <c r="P33" s="102">
        <f t="shared" si="15"/>
        <v>15.214874348737736</v>
      </c>
      <c r="Q33" s="102">
        <f t="shared" si="15"/>
        <v>16.124740758276531</v>
      </c>
      <c r="R33" s="102">
        <f t="shared" si="15"/>
        <v>19.158315474973101</v>
      </c>
      <c r="S33" s="102">
        <f t="shared" si="15"/>
        <v>18.120775355264602</v>
      </c>
      <c r="T33" s="102">
        <f t="shared" si="15"/>
        <v>16.845247075769525</v>
      </c>
      <c r="U33" s="102">
        <f t="shared" si="15"/>
        <v>18.715723153215741</v>
      </c>
      <c r="V33" s="102">
        <f t="shared" si="15"/>
        <v>19.120267269078624</v>
      </c>
      <c r="W33" s="102">
        <f t="shared" si="15"/>
        <v>17.677881048979962</v>
      </c>
      <c r="X33" s="102">
        <f t="shared" si="15"/>
        <v>17.514300258773734</v>
      </c>
      <c r="Y33" s="102">
        <f t="shared" si="15"/>
        <v>16.72396453802077</v>
      </c>
      <c r="Z33" s="102">
        <f t="shared" si="15"/>
        <v>19.516758478519947</v>
      </c>
      <c r="AA33" s="102">
        <f t="shared" si="15"/>
        <v>19.06762780567864</v>
      </c>
      <c r="AB33" s="102">
        <f t="shared" si="15"/>
        <v>20.449718369597342</v>
      </c>
      <c r="AC33" s="102">
        <f t="shared" si="15"/>
        <v>18.652863749942654</v>
      </c>
      <c r="AD33" s="102">
        <f t="shared" si="15"/>
        <v>21.229224908172949</v>
      </c>
      <c r="AE33" s="102">
        <f t="shared" si="15"/>
        <v>20.278742337354164</v>
      </c>
      <c r="AF33" s="102">
        <f t="shared" si="15"/>
        <v>19.447490761273965</v>
      </c>
      <c r="AG33" s="102">
        <f t="shared" si="15"/>
        <v>20.002650397245468</v>
      </c>
      <c r="AH33" s="102">
        <f t="shared" si="15"/>
        <v>17.14285021005243</v>
      </c>
      <c r="AI33" s="102">
        <f t="shared" si="15"/>
        <v>17.902932340371514</v>
      </c>
      <c r="AJ33" s="102">
        <f t="shared" si="15"/>
        <v>17.195961566720083</v>
      </c>
      <c r="AK33" s="102">
        <f t="shared" si="15"/>
        <v>19.050084673904525</v>
      </c>
      <c r="AL33" s="103">
        <f t="shared" ref="AL33:AO33" si="16">AL14*100/AL$6</f>
        <v>20.062306243038261</v>
      </c>
      <c r="AM33" s="103">
        <f t="shared" si="16"/>
        <v>20.971313172714424</v>
      </c>
      <c r="AN33" s="103">
        <f t="shared" si="16"/>
        <v>19.938523323004198</v>
      </c>
      <c r="AO33" s="103">
        <f t="shared" si="16"/>
        <v>18.361798489551745</v>
      </c>
      <c r="AP33" s="103">
        <f t="shared" ref="AP33:AS33" si="17">AP14*100/AP$6</f>
        <v>20.543011164399296</v>
      </c>
      <c r="AQ33" s="103">
        <f t="shared" si="17"/>
        <v>16.64216142691744</v>
      </c>
      <c r="AR33" s="103">
        <f t="shared" si="17"/>
        <v>17.152858085777865</v>
      </c>
      <c r="AS33" s="103">
        <f t="shared" si="17"/>
        <v>16.71844981511672</v>
      </c>
      <c r="AT33" s="90"/>
      <c r="AU33" s="90"/>
    </row>
    <row r="34" spans="1:47">
      <c r="A34" s="105" t="s">
        <v>47</v>
      </c>
      <c r="B34" s="102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3"/>
      <c r="AM34" s="103"/>
      <c r="AN34" s="103"/>
      <c r="AO34" s="103"/>
      <c r="AP34" s="103"/>
      <c r="AQ34" s="103"/>
      <c r="AR34" s="103"/>
      <c r="AS34" s="103"/>
      <c r="AT34" s="90"/>
      <c r="AU34" s="90"/>
    </row>
    <row r="35" spans="1:47">
      <c r="A35" s="106" t="s">
        <v>46</v>
      </c>
      <c r="B35" s="103">
        <f>B16*100/$B$6</f>
        <v>21.624881107260382</v>
      </c>
      <c r="C35" s="102">
        <f>C16*100/$C$6</f>
        <v>21.624881107260382</v>
      </c>
      <c r="D35" s="103" t="s">
        <v>125</v>
      </c>
      <c r="E35" s="102">
        <f>SUM(E16*100/E6)</f>
        <v>37.308107670032989</v>
      </c>
      <c r="F35" s="102">
        <f>F16*100/$F$6</f>
        <v>25.1284530970118</v>
      </c>
      <c r="G35" s="102">
        <f>G16*100/$G$6</f>
        <v>29.497826431174254</v>
      </c>
      <c r="H35" s="102">
        <f>H16*100/$H$6</f>
        <v>36.252310830624083</v>
      </c>
      <c r="I35" s="102">
        <f>I16*100/$I$6</f>
        <v>35.415756680591286</v>
      </c>
      <c r="J35" s="102">
        <f>J16*100/$J$6</f>
        <v>25.218672972593627</v>
      </c>
      <c r="K35" s="102">
        <f>K16*100/$K$6</f>
        <v>31.829724102064599</v>
      </c>
      <c r="L35" s="102">
        <f t="shared" ref="L35:AK35" si="18">L16*100/L$6</f>
        <v>33.530469681120302</v>
      </c>
      <c r="M35" s="102">
        <f t="shared" si="18"/>
        <v>30.044416008078787</v>
      </c>
      <c r="N35" s="102">
        <f t="shared" si="18"/>
        <v>25.369018232903038</v>
      </c>
      <c r="O35" s="102">
        <f t="shared" si="18"/>
        <v>25.697361421534065</v>
      </c>
      <c r="P35" s="102">
        <f t="shared" si="18"/>
        <v>36.927054875449024</v>
      </c>
      <c r="Q35" s="102">
        <f t="shared" si="18"/>
        <v>37.146584431267414</v>
      </c>
      <c r="R35" s="102">
        <f t="shared" si="18"/>
        <v>28.174490258672048</v>
      </c>
      <c r="S35" s="102">
        <f t="shared" si="18"/>
        <v>34.224863114466835</v>
      </c>
      <c r="T35" s="102">
        <f t="shared" si="18"/>
        <v>35.609640495432537</v>
      </c>
      <c r="U35" s="102">
        <f t="shared" si="18"/>
        <v>35.649050273649962</v>
      </c>
      <c r="V35" s="102">
        <f t="shared" si="18"/>
        <v>30.253244318400824</v>
      </c>
      <c r="W35" s="102">
        <f t="shared" si="18"/>
        <v>32.38115347794556</v>
      </c>
      <c r="X35" s="102">
        <f t="shared" si="18"/>
        <v>39.263396234148694</v>
      </c>
      <c r="Y35" s="102">
        <f t="shared" si="18"/>
        <v>36.539274722763189</v>
      </c>
      <c r="Z35" s="102">
        <f t="shared" si="18"/>
        <v>27.330235296791844</v>
      </c>
      <c r="AA35" s="102">
        <f t="shared" si="18"/>
        <v>27.950574387498076</v>
      </c>
      <c r="AB35" s="102">
        <f t="shared" si="18"/>
        <v>33.417110499548386</v>
      </c>
      <c r="AC35" s="102">
        <f t="shared" si="18"/>
        <v>33.296602730742869</v>
      </c>
      <c r="AD35" s="102">
        <f t="shared" si="18"/>
        <v>22.126000133391297</v>
      </c>
      <c r="AE35" s="102">
        <f t="shared" si="18"/>
        <v>30.617362072374927</v>
      </c>
      <c r="AF35" s="102">
        <f t="shared" si="18"/>
        <v>35.019307486691901</v>
      </c>
      <c r="AG35" s="102">
        <f t="shared" si="18"/>
        <v>33.021420644297372</v>
      </c>
      <c r="AH35" s="102">
        <f t="shared" si="18"/>
        <v>29.02161024557612</v>
      </c>
      <c r="AI35" s="102">
        <f t="shared" si="18"/>
        <v>30.892444127934315</v>
      </c>
      <c r="AJ35" s="102">
        <f t="shared" si="18"/>
        <v>35.341138057763786</v>
      </c>
      <c r="AK35" s="102">
        <f t="shared" si="18"/>
        <v>31.270361916615006</v>
      </c>
      <c r="AL35" s="103">
        <f t="shared" ref="AL35:AO35" si="19">AL16*100/AL$6</f>
        <v>25.847041466839954</v>
      </c>
      <c r="AM35" s="103">
        <f t="shared" si="19"/>
        <v>26.202485707820458</v>
      </c>
      <c r="AN35" s="103">
        <f t="shared" si="19"/>
        <v>31.780556261723341</v>
      </c>
      <c r="AO35" s="103">
        <f t="shared" si="19"/>
        <v>33.639549618467079</v>
      </c>
      <c r="AP35" s="103">
        <f t="shared" ref="AP35:AS35" si="20">AP16*100/AP$6</f>
        <v>24.60388554576264</v>
      </c>
      <c r="AQ35" s="103">
        <f t="shared" si="20"/>
        <v>37.032895855429878</v>
      </c>
      <c r="AR35" s="103">
        <f t="shared" si="20"/>
        <v>39.255041661916053</v>
      </c>
      <c r="AS35" s="103">
        <f t="shared" si="20"/>
        <v>40.709346270834153</v>
      </c>
      <c r="AT35" s="90"/>
      <c r="AU35" s="90"/>
    </row>
    <row r="36" spans="1:47">
      <c r="A36" s="105" t="s">
        <v>45</v>
      </c>
      <c r="B36" s="102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3"/>
      <c r="AM36" s="103"/>
      <c r="AN36" s="103"/>
      <c r="AO36" s="103"/>
      <c r="AP36" s="103"/>
      <c r="AQ36" s="103"/>
      <c r="AR36" s="103"/>
      <c r="AS36" s="103"/>
      <c r="AT36" s="90"/>
      <c r="AU36" s="90"/>
    </row>
    <row r="37" spans="1:47">
      <c r="A37" s="105" t="s">
        <v>44</v>
      </c>
      <c r="B37" s="103">
        <f>B18*100/$B$6</f>
        <v>12.634130142452634</v>
      </c>
      <c r="C37" s="102">
        <f>C18*100/$C$6</f>
        <v>12.634130142452634</v>
      </c>
      <c r="D37" s="103" t="s">
        <v>125</v>
      </c>
      <c r="E37" s="102">
        <f>SUM(E18*100/E6)</f>
        <v>13.464414332420196</v>
      </c>
      <c r="F37" s="102">
        <f>F18*100/$F$6</f>
        <v>17.787296078856318</v>
      </c>
      <c r="G37" s="102">
        <f>G18*100/$G$6</f>
        <v>16.162364408924933</v>
      </c>
      <c r="H37" s="102">
        <f>H18*100/$H$6</f>
        <v>15.467138394849238</v>
      </c>
      <c r="I37" s="102">
        <f>I18*100/$I$6</f>
        <v>12.137899455856202</v>
      </c>
      <c r="J37" s="102">
        <f>J18*100/$J$6</f>
        <v>11.528714675431399</v>
      </c>
      <c r="K37" s="102">
        <f>K18*100/$K$6</f>
        <v>12.350398057335152</v>
      </c>
      <c r="L37" s="102">
        <f t="shared" ref="L37:AK37" si="21">L18*100/L$6</f>
        <v>11.84336205931168</v>
      </c>
      <c r="M37" s="102">
        <f t="shared" si="21"/>
        <v>9.5297026639704363</v>
      </c>
      <c r="N37" s="102">
        <f t="shared" si="21"/>
        <v>14.802767894499132</v>
      </c>
      <c r="O37" s="102">
        <f t="shared" si="21"/>
        <v>14.574599046726894</v>
      </c>
      <c r="P37" s="102">
        <f t="shared" si="21"/>
        <v>10.071230931003397</v>
      </c>
      <c r="Q37" s="102">
        <f t="shared" si="21"/>
        <v>9.9940438938579064</v>
      </c>
      <c r="R37" s="102">
        <f t="shared" si="21"/>
        <v>13.934115247927393</v>
      </c>
      <c r="S37" s="102">
        <f t="shared" si="21"/>
        <v>11.552585590658348</v>
      </c>
      <c r="T37" s="102">
        <f t="shared" si="21"/>
        <v>11.045250491760346</v>
      </c>
      <c r="U37" s="102">
        <f t="shared" si="21"/>
        <v>12.398263777103772</v>
      </c>
      <c r="V37" s="102">
        <f t="shared" si="21"/>
        <v>14.967151040424994</v>
      </c>
      <c r="W37" s="102">
        <f t="shared" si="21"/>
        <v>16.050401892998597</v>
      </c>
      <c r="X37" s="102">
        <f t="shared" si="21"/>
        <v>11.925252415093414</v>
      </c>
      <c r="Y37" s="102">
        <f t="shared" si="21"/>
        <v>13.60295673983669</v>
      </c>
      <c r="Z37" s="102">
        <f t="shared" si="21"/>
        <v>14.935997544775317</v>
      </c>
      <c r="AA37" s="102">
        <f t="shared" si="21"/>
        <v>15.280329362529216</v>
      </c>
      <c r="AB37" s="102">
        <f t="shared" si="21"/>
        <v>12.626771276239785</v>
      </c>
      <c r="AC37" s="102">
        <f t="shared" si="21"/>
        <v>12.37714125896942</v>
      </c>
      <c r="AD37" s="102">
        <f t="shared" si="21"/>
        <v>11.267145000357585</v>
      </c>
      <c r="AE37" s="102">
        <f t="shared" si="21"/>
        <v>11.035000988728495</v>
      </c>
      <c r="AF37" s="102">
        <f t="shared" si="21"/>
        <v>11.428842160469932</v>
      </c>
      <c r="AG37" s="102">
        <f t="shared" si="21"/>
        <v>13.700203019847439</v>
      </c>
      <c r="AH37" s="102">
        <f t="shared" si="21"/>
        <v>12.819345205838438</v>
      </c>
      <c r="AI37" s="102">
        <f t="shared" si="21"/>
        <v>13.009231574972317</v>
      </c>
      <c r="AJ37" s="102">
        <f t="shared" si="21"/>
        <v>12.815247755250571</v>
      </c>
      <c r="AK37" s="102">
        <f t="shared" si="21"/>
        <v>11.197777498038526</v>
      </c>
      <c r="AL37" s="103">
        <f t="shared" ref="AL37:AO37" si="22">AL18*100/AL$6</f>
        <v>11.92483053259255</v>
      </c>
      <c r="AM37" s="103">
        <f t="shared" si="22"/>
        <v>15.532898697372971</v>
      </c>
      <c r="AN37" s="103">
        <f t="shared" si="22"/>
        <v>13.287482049978356</v>
      </c>
      <c r="AO37" s="103">
        <f t="shared" si="22"/>
        <v>11.361313804676167</v>
      </c>
      <c r="AP37" s="103">
        <f t="shared" ref="AP37:AS37" si="23">AP18*100/AP$6</f>
        <v>13.725675268958909</v>
      </c>
      <c r="AQ37" s="103">
        <f t="shared" si="23"/>
        <v>12.324813174535061</v>
      </c>
      <c r="AR37" s="103">
        <f t="shared" si="23"/>
        <v>9.0716951044243146</v>
      </c>
      <c r="AS37" s="103">
        <f t="shared" si="23"/>
        <v>6.8956305510434426</v>
      </c>
      <c r="AT37" s="90"/>
      <c r="AU37" s="90"/>
    </row>
    <row r="38" spans="1:47">
      <c r="A38" s="105" t="s">
        <v>43</v>
      </c>
      <c r="B38" s="102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3"/>
      <c r="AM38" s="103"/>
      <c r="AN38" s="103"/>
      <c r="AO38" s="103"/>
      <c r="AP38" s="103"/>
      <c r="AQ38" s="103"/>
      <c r="AR38" s="103"/>
      <c r="AS38" s="103"/>
      <c r="AT38" s="90"/>
      <c r="AU38" s="90"/>
    </row>
    <row r="39" spans="1:47">
      <c r="A39" s="105" t="s">
        <v>42</v>
      </c>
      <c r="B39" s="103">
        <f>B20*100/$B$6</f>
        <v>11.761976735287366</v>
      </c>
      <c r="C39" s="102">
        <f>C20*100/$C$6</f>
        <v>11.761976735287366</v>
      </c>
      <c r="D39" s="103" t="s">
        <v>125</v>
      </c>
      <c r="E39" s="102">
        <f>SUM(E20*100/E6)</f>
        <v>8.704822047541894</v>
      </c>
      <c r="F39" s="102">
        <f>F20*100/$F$6</f>
        <v>9.6614360286017558</v>
      </c>
      <c r="G39" s="102">
        <f>G20*100/$G$6</f>
        <v>12.135025407124072</v>
      </c>
      <c r="H39" s="102">
        <f>H20*100/$H$6</f>
        <v>7.8036590807675141</v>
      </c>
      <c r="I39" s="102">
        <f>I20*100/$I$6</f>
        <v>8.986757518072876</v>
      </c>
      <c r="J39" s="102">
        <f>J20*100/$J$6</f>
        <v>12.308440386065335</v>
      </c>
      <c r="K39" s="102">
        <f>K20*100/$K$6</f>
        <v>10.939364025271344</v>
      </c>
      <c r="L39" s="102">
        <f t="shared" ref="L39:AK39" si="24">L20*100/L$6</f>
        <v>12.154497279077898</v>
      </c>
      <c r="M39" s="102">
        <f t="shared" si="24"/>
        <v>10.069464211018735</v>
      </c>
      <c r="N39" s="102">
        <f t="shared" si="24"/>
        <v>13.32616282898347</v>
      </c>
      <c r="O39" s="102">
        <f t="shared" si="24"/>
        <v>10.813571125638573</v>
      </c>
      <c r="P39" s="102">
        <f t="shared" si="24"/>
        <v>10.346739718902265</v>
      </c>
      <c r="Q39" s="102">
        <f t="shared" si="24"/>
        <v>10.504909065495761</v>
      </c>
      <c r="R39" s="102">
        <f t="shared" si="24"/>
        <v>11.027796797054927</v>
      </c>
      <c r="S39" s="102">
        <f t="shared" si="24"/>
        <v>9.9441018997748198</v>
      </c>
      <c r="T39" s="102">
        <f t="shared" si="24"/>
        <v>9.8192656189063712</v>
      </c>
      <c r="U39" s="102">
        <f t="shared" si="24"/>
        <v>9.7069488452479789</v>
      </c>
      <c r="V39" s="102">
        <f t="shared" si="24"/>
        <v>9.6809478236177213</v>
      </c>
      <c r="W39" s="102">
        <f t="shared" si="24"/>
        <v>9.446759370605708</v>
      </c>
      <c r="X39" s="102">
        <f t="shared" si="24"/>
        <v>9.2776666667886545</v>
      </c>
      <c r="Y39" s="102">
        <f t="shared" si="24"/>
        <v>10.339318476991071</v>
      </c>
      <c r="Z39" s="102">
        <f t="shared" si="24"/>
        <v>8.8060759155909505</v>
      </c>
      <c r="AA39" s="102">
        <f t="shared" si="24"/>
        <v>10.444138234758537</v>
      </c>
      <c r="AB39" s="102">
        <f t="shared" si="24"/>
        <v>9.8217772796655396</v>
      </c>
      <c r="AC39" s="102">
        <f t="shared" si="24"/>
        <v>8.6109211253813012</v>
      </c>
      <c r="AD39" s="102">
        <f t="shared" si="24"/>
        <v>12.324070138108207</v>
      </c>
      <c r="AE39" s="102">
        <f t="shared" si="24"/>
        <v>9.557919715246193</v>
      </c>
      <c r="AF39" s="102">
        <f t="shared" si="24"/>
        <v>9.2257980635953434</v>
      </c>
      <c r="AG39" s="102">
        <f t="shared" si="24"/>
        <v>8.2757636254281639</v>
      </c>
      <c r="AH39" s="102">
        <f t="shared" si="24"/>
        <v>10.461937400008736</v>
      </c>
      <c r="AI39" s="102">
        <f t="shared" si="24"/>
        <v>11.17082046291203</v>
      </c>
      <c r="AJ39" s="102">
        <f t="shared" si="24"/>
        <v>9.801194173614471</v>
      </c>
      <c r="AK39" s="102">
        <f t="shared" si="24"/>
        <v>10.335204155552969</v>
      </c>
      <c r="AL39" s="103">
        <f t="shared" ref="AL39:AO39" si="25">AL20*100/AL$6</f>
        <v>12.760196968123154</v>
      </c>
      <c r="AM39" s="103">
        <f t="shared" si="25"/>
        <v>10.896981030573951</v>
      </c>
      <c r="AN39" s="103">
        <f t="shared" si="25"/>
        <v>11.964677105735074</v>
      </c>
      <c r="AO39" s="103">
        <f t="shared" si="25"/>
        <v>11.934676825305722</v>
      </c>
      <c r="AP39" s="103">
        <f t="shared" ref="AP39:AS39" si="26">AP20*100/AP$6</f>
        <v>11.592347159569524</v>
      </c>
      <c r="AQ39" s="103">
        <f t="shared" si="26"/>
        <v>12.248544664038022</v>
      </c>
      <c r="AR39" s="103">
        <f t="shared" si="26"/>
        <v>10.542485226559695</v>
      </c>
      <c r="AS39" s="103">
        <f t="shared" si="26"/>
        <v>8.0240010626243414</v>
      </c>
      <c r="AT39" s="90"/>
      <c r="AU39" s="90"/>
    </row>
    <row r="40" spans="1:47">
      <c r="A40" s="105" t="s">
        <v>41</v>
      </c>
      <c r="B40" s="102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3"/>
      <c r="AM40" s="103"/>
      <c r="AN40" s="103"/>
      <c r="AO40" s="103"/>
      <c r="AP40" s="103"/>
      <c r="AQ40" s="103"/>
      <c r="AR40" s="103"/>
      <c r="AS40" s="103"/>
      <c r="AT40" s="90"/>
      <c r="AU40" s="90"/>
    </row>
    <row r="41" spans="1:47">
      <c r="A41" s="105" t="s">
        <v>40</v>
      </c>
      <c r="B41" s="103">
        <f>B22*100/$B$6</f>
        <v>19.768036165258174</v>
      </c>
      <c r="C41" s="102">
        <f>C22*100/$C$6</f>
        <v>19.768036165258174</v>
      </c>
      <c r="D41" s="103" t="s">
        <v>125</v>
      </c>
      <c r="E41" s="102">
        <f>SUM(E22*100/E6)</f>
        <v>12.330250020421776</v>
      </c>
      <c r="F41" s="102">
        <f>F22*100/$F$6</f>
        <v>11.924352274922503</v>
      </c>
      <c r="G41" s="102">
        <f>G22*100/$G$6</f>
        <v>9.4010559898355535</v>
      </c>
      <c r="H41" s="102">
        <f>H22*100/$H$6</f>
        <v>11.142092178236757</v>
      </c>
      <c r="I41" s="102">
        <f>I22*100/$I$6</f>
        <v>13.806190974616854</v>
      </c>
      <c r="J41" s="102">
        <f>J22*100/$J$6</f>
        <v>14.814197482548725</v>
      </c>
      <c r="K41" s="102">
        <f>K22*100/$K$6</f>
        <v>14.129617373034058</v>
      </c>
      <c r="L41" s="102">
        <f t="shared" ref="L41:AK41" si="27">L22*100/L$6</f>
        <v>11.409848516740833</v>
      </c>
      <c r="M41" s="102">
        <f t="shared" si="27"/>
        <v>12.809297041490417</v>
      </c>
      <c r="N41" s="102">
        <f t="shared" si="27"/>
        <v>14.607275201695378</v>
      </c>
      <c r="O41" s="102">
        <f t="shared" si="27"/>
        <v>14.559552271896553</v>
      </c>
      <c r="P41" s="102">
        <f t="shared" si="27"/>
        <v>8.0805283367071237</v>
      </c>
      <c r="Q41" s="102">
        <f t="shared" si="27"/>
        <v>13.204548802923403</v>
      </c>
      <c r="R41" s="102">
        <f t="shared" si="27"/>
        <v>13.594954605678513</v>
      </c>
      <c r="S41" s="102">
        <f t="shared" si="27"/>
        <v>13.216674897657576</v>
      </c>
      <c r="T41" s="102">
        <f t="shared" si="27"/>
        <v>14.630759858691846</v>
      </c>
      <c r="U41" s="102">
        <f t="shared" si="27"/>
        <v>10.776908913250985</v>
      </c>
      <c r="V41" s="102">
        <f t="shared" si="27"/>
        <v>13.437202484459068</v>
      </c>
      <c r="W41" s="102">
        <f t="shared" si="27"/>
        <v>13.286949500661299</v>
      </c>
      <c r="X41" s="102">
        <f t="shared" si="27"/>
        <v>11.735046585493228</v>
      </c>
      <c r="Y41" s="102">
        <f t="shared" si="27"/>
        <v>12.324289332175104</v>
      </c>
      <c r="Z41" s="102">
        <f t="shared" si="27"/>
        <v>16.896163883279343</v>
      </c>
      <c r="AA41" s="102">
        <f t="shared" si="27"/>
        <v>15.45794909095746</v>
      </c>
      <c r="AB41" s="102">
        <f t="shared" si="27"/>
        <v>12.574507411498978</v>
      </c>
      <c r="AC41" s="102">
        <f t="shared" si="27"/>
        <v>14.91015458802219</v>
      </c>
      <c r="AD41" s="102">
        <f t="shared" si="27"/>
        <v>19.744644058181105</v>
      </c>
      <c r="AE41" s="102">
        <f t="shared" si="27"/>
        <v>15.490290686177575</v>
      </c>
      <c r="AF41" s="102">
        <f t="shared" si="27"/>
        <v>13.047262758844091</v>
      </c>
      <c r="AG41" s="102">
        <f t="shared" si="27"/>
        <v>14.810331961030652</v>
      </c>
      <c r="AH41" s="102">
        <f t="shared" si="27"/>
        <v>17.796544366599317</v>
      </c>
      <c r="AI41" s="102">
        <f t="shared" si="27"/>
        <v>15.652481459807161</v>
      </c>
      <c r="AJ41" s="102">
        <f t="shared" si="27"/>
        <v>13.414027116249978</v>
      </c>
      <c r="AK41" s="102">
        <f t="shared" si="27"/>
        <v>16.777308818674335</v>
      </c>
      <c r="AL41" s="103">
        <f t="shared" ref="AL41:AO41" si="28">AL22*100/AL$6</f>
        <v>14.558785154933789</v>
      </c>
      <c r="AM41" s="103">
        <f t="shared" si="28"/>
        <v>12.620837762948351</v>
      </c>
      <c r="AN41" s="103">
        <f t="shared" si="28"/>
        <v>8.8833712373662763</v>
      </c>
      <c r="AO41" s="103">
        <f t="shared" si="28"/>
        <v>11.545260474323797</v>
      </c>
      <c r="AP41" s="103">
        <f t="shared" ref="AP41:AS41" si="29">AP22*100/AP$6</f>
        <v>14.371782154413847</v>
      </c>
      <c r="AQ41" s="103">
        <f t="shared" si="29"/>
        <v>9.6169571940960719</v>
      </c>
      <c r="AR41" s="103">
        <f t="shared" si="29"/>
        <v>10.820464016715956</v>
      </c>
      <c r="AS41" s="103">
        <f t="shared" si="29"/>
        <v>13.464236977100891</v>
      </c>
      <c r="AT41" s="90"/>
      <c r="AU41" s="90"/>
    </row>
    <row r="42" spans="1:47">
      <c r="A42" s="104" t="s">
        <v>39</v>
      </c>
      <c r="B42" s="102">
        <f>SUM(B23*100/B6)</f>
        <v>0</v>
      </c>
      <c r="C42" s="102">
        <f>SUM(C23*100/C6)</f>
        <v>0</v>
      </c>
      <c r="D42" s="103" t="s">
        <v>125</v>
      </c>
      <c r="E42" s="102">
        <f>SUM(E23*100/E6)</f>
        <v>0</v>
      </c>
      <c r="F42" s="102">
        <f>F23*100/$F$6</f>
        <v>1.1340020093515859</v>
      </c>
      <c r="G42" s="102">
        <f>G23*100/$G$6</f>
        <v>0.28653549980445819</v>
      </c>
      <c r="H42" s="102">
        <f>H23*100/$H$6</f>
        <v>0.21584751705233632</v>
      </c>
      <c r="I42" s="102">
        <f>I23*100/$I$6</f>
        <v>1.2533197031168473</v>
      </c>
      <c r="J42" s="102">
        <f>J23*100/$J$6</f>
        <v>0</v>
      </c>
      <c r="K42" s="102">
        <f>K23*100/$K$6</f>
        <v>0</v>
      </c>
      <c r="L42" s="102">
        <f t="shared" ref="L42:AK42" si="30">L23*100/L$6</f>
        <v>0</v>
      </c>
      <c r="M42" s="102">
        <f t="shared" si="30"/>
        <v>0</v>
      </c>
      <c r="N42" s="102">
        <f t="shared" si="30"/>
        <v>0</v>
      </c>
      <c r="O42" s="102">
        <f t="shared" si="30"/>
        <v>0</v>
      </c>
      <c r="P42" s="102">
        <f t="shared" si="30"/>
        <v>0</v>
      </c>
      <c r="Q42" s="102">
        <f t="shared" si="30"/>
        <v>0</v>
      </c>
      <c r="R42" s="102">
        <f t="shared" si="30"/>
        <v>0</v>
      </c>
      <c r="S42" s="102">
        <f t="shared" si="30"/>
        <v>0</v>
      </c>
      <c r="T42" s="102">
        <f t="shared" si="30"/>
        <v>0</v>
      </c>
      <c r="U42" s="102">
        <f t="shared" si="30"/>
        <v>0</v>
      </c>
      <c r="V42" s="102">
        <f t="shared" si="30"/>
        <v>0</v>
      </c>
      <c r="W42" s="102">
        <f t="shared" si="30"/>
        <v>0</v>
      </c>
      <c r="X42" s="102">
        <f t="shared" si="30"/>
        <v>0</v>
      </c>
      <c r="Y42" s="102">
        <f t="shared" si="30"/>
        <v>0</v>
      </c>
      <c r="Z42" s="102">
        <f t="shared" si="30"/>
        <v>0</v>
      </c>
      <c r="AA42" s="102">
        <f t="shared" si="30"/>
        <v>0</v>
      </c>
      <c r="AB42" s="102">
        <f t="shared" si="30"/>
        <v>0</v>
      </c>
      <c r="AC42" s="102">
        <f t="shared" si="30"/>
        <v>0</v>
      </c>
      <c r="AD42" s="102">
        <f t="shared" si="30"/>
        <v>0</v>
      </c>
      <c r="AE42" s="102">
        <f t="shared" si="30"/>
        <v>0</v>
      </c>
      <c r="AF42" s="102">
        <f t="shared" si="30"/>
        <v>0</v>
      </c>
      <c r="AG42" s="102">
        <f t="shared" si="30"/>
        <v>0</v>
      </c>
      <c r="AH42" s="102">
        <f t="shared" si="30"/>
        <v>0</v>
      </c>
      <c r="AI42" s="102">
        <f t="shared" si="30"/>
        <v>0</v>
      </c>
      <c r="AJ42" s="102">
        <f t="shared" si="30"/>
        <v>0</v>
      </c>
      <c r="AK42" s="102">
        <f t="shared" si="30"/>
        <v>0</v>
      </c>
      <c r="AL42" s="103" t="s">
        <v>8</v>
      </c>
      <c r="AM42" s="103" t="s">
        <v>8</v>
      </c>
      <c r="AN42" s="103" t="s">
        <v>8</v>
      </c>
      <c r="AO42" s="103" t="s">
        <v>8</v>
      </c>
      <c r="AP42" s="103" t="s">
        <v>8</v>
      </c>
      <c r="AQ42" s="103" t="s">
        <v>8</v>
      </c>
      <c r="AR42" s="103" t="s">
        <v>8</v>
      </c>
      <c r="AS42" s="103" t="s">
        <v>8</v>
      </c>
      <c r="AT42" s="90"/>
      <c r="AU42" s="90"/>
    </row>
    <row r="43" spans="1:47" ht="2.25" customHeight="1">
      <c r="A43" s="101"/>
      <c r="B43" s="101"/>
      <c r="C43" s="101"/>
      <c r="D43" s="101"/>
      <c r="E43" s="101"/>
      <c r="F43" s="100"/>
      <c r="G43" s="101"/>
      <c r="H43" s="101"/>
      <c r="I43" s="101"/>
      <c r="J43" s="100"/>
      <c r="K43" s="100"/>
      <c r="L43" s="100"/>
      <c r="M43" s="100"/>
      <c r="N43" s="98"/>
      <c r="O43" s="98"/>
      <c r="P43" s="99"/>
      <c r="Q43" s="100"/>
      <c r="R43" s="98"/>
      <c r="S43" s="98"/>
      <c r="T43" s="99"/>
      <c r="U43" s="98"/>
      <c r="V43" s="98"/>
      <c r="W43" s="98"/>
      <c r="X43" s="99"/>
      <c r="Y43" s="98"/>
      <c r="Z43" s="98"/>
      <c r="AA43" s="98"/>
      <c r="AB43" s="98"/>
      <c r="AC43" s="98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</row>
    <row r="44" spans="1:47">
      <c r="T44" s="93"/>
      <c r="X44" s="93"/>
      <c r="AC44" s="96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</row>
    <row r="45" spans="1:47">
      <c r="AC45" s="96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</row>
    <row r="47" spans="1:47">
      <c r="AC47" s="94"/>
    </row>
    <row r="48" spans="1:47">
      <c r="AC48" s="94"/>
    </row>
    <row r="49" spans="29:47" s="90" customFormat="1" ht="21.75">
      <c r="AC49" s="94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</row>
    <row r="50" spans="29:47" s="90" customFormat="1" ht="21.75">
      <c r="AC50" s="94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</row>
  </sheetData>
  <sheetProtection selectLockedCells="1" selectUnlockedCells="1"/>
  <mergeCells count="15">
    <mergeCell ref="AP3:AS3"/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zoomScaleNormal="100" workbookViewId="0">
      <pane xSplit="1" topLeftCell="AP1" activePane="topRight" state="frozen"/>
      <selection activeCell="A33" sqref="A33"/>
      <selection pane="topRight" activeCell="AP6" sqref="AP6"/>
    </sheetView>
  </sheetViews>
  <sheetFormatPr defaultColWidth="8.140625" defaultRowHeight="23.25"/>
  <cols>
    <col min="1" max="1" width="28.5703125" style="144" customWidth="1"/>
    <col min="2" max="2" width="13" style="144" customWidth="1"/>
    <col min="3" max="3" width="11.28515625" style="144" customWidth="1"/>
    <col min="4" max="4" width="8.5703125" style="144" customWidth="1"/>
    <col min="5" max="5" width="10.42578125" style="144" customWidth="1"/>
    <col min="6" max="6" width="9.7109375" style="144" customWidth="1"/>
    <col min="7" max="7" width="10.5703125" style="144" customWidth="1"/>
    <col min="8" max="8" width="12.42578125" style="144" customWidth="1"/>
    <col min="9" max="15" width="10.28515625" style="144" customWidth="1"/>
    <col min="16" max="16" width="10.28515625" style="146" customWidth="1"/>
    <col min="17" max="24" width="10.28515625" style="144" customWidth="1"/>
    <col min="25" max="25" width="11" style="144" customWidth="1"/>
    <col min="26" max="27" width="10.140625" style="144" customWidth="1"/>
    <col min="28" max="28" width="11" style="144" customWidth="1"/>
    <col min="29" max="29" width="11" style="144" bestFit="1" customWidth="1"/>
    <col min="30" max="31" width="10.7109375" style="145" customWidth="1"/>
    <col min="32" max="32" width="10.5703125" style="145" customWidth="1"/>
    <col min="33" max="35" width="10.7109375" style="145" customWidth="1"/>
    <col min="36" max="36" width="10.5703125" style="145" customWidth="1"/>
    <col min="37" max="37" width="10.7109375" style="145" customWidth="1"/>
    <col min="38" max="45" width="10.42578125" style="144" customWidth="1"/>
    <col min="46" max="16384" width="8.140625" style="144"/>
  </cols>
  <sheetData>
    <row r="1" spans="1:45" s="181" customFormat="1" ht="27" customHeight="1">
      <c r="A1" s="183" t="s">
        <v>157</v>
      </c>
      <c r="B1" s="164"/>
      <c r="C1" s="164"/>
      <c r="D1" s="164"/>
      <c r="E1" s="164"/>
      <c r="F1" s="183"/>
      <c r="G1" s="183"/>
      <c r="H1" s="183"/>
      <c r="J1" s="183"/>
      <c r="K1" s="183"/>
      <c r="N1" s="144"/>
      <c r="P1" s="182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5" ht="3.75" customHeight="1">
      <c r="A2" s="164"/>
      <c r="B2" s="164"/>
      <c r="C2" s="164"/>
      <c r="D2" s="164"/>
      <c r="E2" s="164"/>
      <c r="F2" s="164"/>
      <c r="G2" s="164"/>
      <c r="H2" s="164"/>
      <c r="J2" s="164"/>
      <c r="K2" s="164"/>
      <c r="P2" s="180"/>
      <c r="AD2" s="144"/>
      <c r="AE2" s="144"/>
      <c r="AF2" s="144"/>
      <c r="AG2" s="144"/>
      <c r="AH2" s="144"/>
      <c r="AI2" s="144"/>
      <c r="AJ2" s="144"/>
      <c r="AK2" s="144"/>
    </row>
    <row r="3" spans="1:45" ht="21.75">
      <c r="A3" s="1172" t="s">
        <v>4</v>
      </c>
      <c r="B3" s="1174" t="s">
        <v>138</v>
      </c>
      <c r="C3" s="1174"/>
      <c r="D3" s="1174"/>
      <c r="E3" s="1174"/>
      <c r="F3" s="1174" t="s">
        <v>137</v>
      </c>
      <c r="G3" s="1174"/>
      <c r="H3" s="1174"/>
      <c r="I3" s="1174"/>
      <c r="J3" s="1169" t="s">
        <v>140</v>
      </c>
      <c r="K3" s="1169"/>
      <c r="L3" s="1169"/>
      <c r="M3" s="1169"/>
      <c r="N3" s="1169" t="s">
        <v>156</v>
      </c>
      <c r="O3" s="1169"/>
      <c r="P3" s="1169"/>
      <c r="Q3" s="1169"/>
      <c r="R3" s="1169" t="s">
        <v>134</v>
      </c>
      <c r="S3" s="1169"/>
      <c r="T3" s="1169"/>
      <c r="U3" s="1169"/>
      <c r="V3" s="1169" t="s">
        <v>133</v>
      </c>
      <c r="W3" s="1169"/>
      <c r="X3" s="1169"/>
      <c r="Y3" s="1169"/>
      <c r="Z3" s="1169" t="s">
        <v>132</v>
      </c>
      <c r="AA3" s="1169"/>
      <c r="AB3" s="1169"/>
      <c r="AC3" s="1169"/>
      <c r="AD3" s="1169" t="s">
        <v>131</v>
      </c>
      <c r="AE3" s="1169"/>
      <c r="AF3" s="1169"/>
      <c r="AG3" s="1169"/>
      <c r="AH3" s="1169" t="s">
        <v>130</v>
      </c>
      <c r="AI3" s="1169"/>
      <c r="AJ3" s="1169"/>
      <c r="AK3" s="1169"/>
      <c r="AL3" s="1169" t="s">
        <v>169</v>
      </c>
      <c r="AM3" s="1169"/>
      <c r="AN3" s="1169"/>
      <c r="AO3" s="1169"/>
      <c r="AP3" s="1169" t="s">
        <v>205</v>
      </c>
      <c r="AQ3" s="1169"/>
      <c r="AR3" s="1169"/>
      <c r="AS3" s="1169"/>
    </row>
    <row r="4" spans="1:45" ht="21.75">
      <c r="A4" s="1173"/>
      <c r="B4" s="178" t="s">
        <v>129</v>
      </c>
      <c r="C4" s="178" t="s">
        <v>128</v>
      </c>
      <c r="D4" s="178" t="s">
        <v>127</v>
      </c>
      <c r="E4" s="178" t="s">
        <v>126</v>
      </c>
      <c r="F4" s="179" t="s">
        <v>129</v>
      </c>
      <c r="G4" s="179" t="s">
        <v>128</v>
      </c>
      <c r="H4" s="178" t="s">
        <v>127</v>
      </c>
      <c r="I4" s="179" t="s">
        <v>126</v>
      </c>
      <c r="J4" s="178" t="s">
        <v>129</v>
      </c>
      <c r="K4" s="178" t="s">
        <v>128</v>
      </c>
      <c r="L4" s="178" t="s">
        <v>155</v>
      </c>
      <c r="M4" s="178" t="s">
        <v>126</v>
      </c>
      <c r="N4" s="178" t="s">
        <v>129</v>
      </c>
      <c r="O4" s="178" t="s">
        <v>128</v>
      </c>
      <c r="P4" s="178" t="s">
        <v>127</v>
      </c>
      <c r="Q4" s="177" t="s">
        <v>126</v>
      </c>
      <c r="R4" s="177" t="s">
        <v>129</v>
      </c>
      <c r="S4" s="177" t="s">
        <v>128</v>
      </c>
      <c r="T4" s="177" t="s">
        <v>127</v>
      </c>
      <c r="U4" s="177" t="s">
        <v>126</v>
      </c>
      <c r="V4" s="177" t="s">
        <v>129</v>
      </c>
      <c r="W4" s="177" t="s">
        <v>128</v>
      </c>
      <c r="X4" s="177" t="s">
        <v>127</v>
      </c>
      <c r="Y4" s="177" t="s">
        <v>126</v>
      </c>
      <c r="Z4" s="177" t="s">
        <v>129</v>
      </c>
      <c r="AA4" s="177" t="s">
        <v>128</v>
      </c>
      <c r="AB4" s="177" t="s">
        <v>127</v>
      </c>
      <c r="AC4" s="177" t="s">
        <v>126</v>
      </c>
      <c r="AD4" s="177" t="s">
        <v>129</v>
      </c>
      <c r="AE4" s="177" t="s">
        <v>128</v>
      </c>
      <c r="AF4" s="177" t="s">
        <v>127</v>
      </c>
      <c r="AG4" s="177" t="s">
        <v>126</v>
      </c>
      <c r="AH4" s="177" t="s">
        <v>129</v>
      </c>
      <c r="AI4" s="177" t="s">
        <v>128</v>
      </c>
      <c r="AJ4" s="177" t="s">
        <v>127</v>
      </c>
      <c r="AK4" s="177" t="s">
        <v>126</v>
      </c>
      <c r="AL4" s="177" t="s">
        <v>129</v>
      </c>
      <c r="AM4" s="177" t="s">
        <v>128</v>
      </c>
      <c r="AN4" s="177" t="s">
        <v>127</v>
      </c>
      <c r="AO4" s="177" t="s">
        <v>126</v>
      </c>
      <c r="AP4" s="177" t="s">
        <v>129</v>
      </c>
      <c r="AQ4" s="177" t="s">
        <v>128</v>
      </c>
      <c r="AR4" s="177" t="s">
        <v>127</v>
      </c>
      <c r="AS4" s="177" t="s">
        <v>126</v>
      </c>
    </row>
    <row r="5" spans="1:45" s="164" customFormat="1" ht="18.75" customHeight="1">
      <c r="A5" s="1170" t="s">
        <v>21</v>
      </c>
      <c r="B5" s="1170"/>
      <c r="C5" s="1170"/>
      <c r="D5" s="1170"/>
      <c r="E5" s="1170"/>
      <c r="F5" s="1170"/>
      <c r="G5" s="1170"/>
      <c r="H5" s="1170"/>
      <c r="I5" s="1170"/>
      <c r="J5" s="1170"/>
      <c r="K5" s="1170"/>
      <c r="N5" s="144"/>
      <c r="P5" s="176"/>
      <c r="AA5" s="166"/>
      <c r="AB5" s="166"/>
      <c r="AC5" s="166"/>
      <c r="AE5" s="166"/>
      <c r="AF5" s="166"/>
      <c r="AG5" s="166"/>
      <c r="AI5" s="166"/>
      <c r="AJ5" s="166"/>
      <c r="AK5" s="166"/>
    </row>
    <row r="6" spans="1:45" s="164" customFormat="1" ht="21.75">
      <c r="A6" s="173" t="s">
        <v>37</v>
      </c>
      <c r="B6" s="175">
        <v>1463504</v>
      </c>
      <c r="C6" s="175">
        <v>1497012</v>
      </c>
      <c r="D6" s="175">
        <v>0</v>
      </c>
      <c r="E6" s="175">
        <v>1554713</v>
      </c>
      <c r="F6" s="175">
        <v>1444247</v>
      </c>
      <c r="G6" s="174">
        <v>1502083</v>
      </c>
      <c r="H6" s="175">
        <v>1568700</v>
      </c>
      <c r="I6" s="174">
        <v>1596453</v>
      </c>
      <c r="J6" s="175">
        <v>1473724.65</v>
      </c>
      <c r="K6" s="174">
        <v>1558329.53</v>
      </c>
      <c r="L6" s="174">
        <v>1603167.91</v>
      </c>
      <c r="M6" s="174">
        <v>1616084.41</v>
      </c>
      <c r="N6" s="174">
        <v>1503381</v>
      </c>
      <c r="O6" s="174">
        <v>1501983</v>
      </c>
      <c r="P6" s="174">
        <v>1599586</v>
      </c>
      <c r="Q6" s="174">
        <v>1588286</v>
      </c>
      <c r="R6" s="174">
        <v>1349508</v>
      </c>
      <c r="S6" s="174">
        <v>1397340.87</v>
      </c>
      <c r="T6" s="174">
        <v>1405156</v>
      </c>
      <c r="U6" s="174">
        <v>1416408.19</v>
      </c>
      <c r="V6" s="174">
        <v>1362576</v>
      </c>
      <c r="W6" s="174">
        <v>1368352</v>
      </c>
      <c r="X6" s="174">
        <v>1366251.5</v>
      </c>
      <c r="Y6" s="174">
        <v>1389717</v>
      </c>
      <c r="Z6" s="174">
        <v>1280209</v>
      </c>
      <c r="AA6" s="174">
        <v>1281017.6100000001</v>
      </c>
      <c r="AB6" s="174">
        <v>1332622</v>
      </c>
      <c r="AC6" s="174">
        <v>1315215.74</v>
      </c>
      <c r="AD6" s="174">
        <v>1244459</v>
      </c>
      <c r="AE6" s="174">
        <v>1264250</v>
      </c>
      <c r="AF6" s="174">
        <v>1361389</v>
      </c>
      <c r="AG6" s="174">
        <v>1306823</v>
      </c>
      <c r="AH6" s="174">
        <v>1236358</v>
      </c>
      <c r="AI6" s="174">
        <v>1252549</v>
      </c>
      <c r="AJ6" s="174">
        <v>1299811</v>
      </c>
      <c r="AK6" s="174">
        <v>1263081</v>
      </c>
      <c r="AL6" s="174">
        <v>1184151</v>
      </c>
      <c r="AM6" s="174">
        <v>1171095</v>
      </c>
      <c r="AN6" s="174">
        <v>1164344</v>
      </c>
      <c r="AO6" s="174">
        <v>1198717</v>
      </c>
      <c r="AP6" s="174">
        <v>1123034</v>
      </c>
      <c r="AQ6" s="174">
        <v>1235110</v>
      </c>
      <c r="AR6" s="174">
        <v>1289307</v>
      </c>
      <c r="AS6" s="174">
        <v>1347607</v>
      </c>
    </row>
    <row r="7" spans="1:45" ht="18" customHeight="1">
      <c r="A7" s="173"/>
      <c r="B7" s="171"/>
      <c r="C7" s="171"/>
      <c r="D7" s="168"/>
      <c r="E7" s="171"/>
      <c r="F7" s="171"/>
      <c r="G7" s="169"/>
      <c r="H7" s="172"/>
      <c r="I7" s="169"/>
      <c r="J7" s="171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45" ht="17.25" customHeight="1">
      <c r="A8" s="160" t="s">
        <v>151</v>
      </c>
      <c r="B8" s="168">
        <v>409586</v>
      </c>
      <c r="C8" s="168">
        <v>461642</v>
      </c>
      <c r="D8" s="168">
        <v>0</v>
      </c>
      <c r="E8" s="168">
        <v>645658</v>
      </c>
      <c r="F8" s="168">
        <v>421740.79</v>
      </c>
      <c r="G8" s="169">
        <v>488670</v>
      </c>
      <c r="H8" s="168">
        <v>606399.67000000004</v>
      </c>
      <c r="I8" s="169">
        <v>638086</v>
      </c>
      <c r="J8" s="168">
        <v>452463</v>
      </c>
      <c r="K8" s="169">
        <v>608318.27</v>
      </c>
      <c r="L8" s="169">
        <v>598211</v>
      </c>
      <c r="M8" s="169">
        <v>576896</v>
      </c>
      <c r="N8" s="169">
        <v>483568</v>
      </c>
      <c r="O8" s="169">
        <v>476772</v>
      </c>
      <c r="P8" s="169">
        <v>621516</v>
      </c>
      <c r="Q8" s="169">
        <v>658100</v>
      </c>
      <c r="R8" s="169">
        <v>457417</v>
      </c>
      <c r="S8" s="169">
        <v>558584.24</v>
      </c>
      <c r="T8" s="169">
        <v>579869</v>
      </c>
      <c r="U8" s="170">
        <v>552535</v>
      </c>
      <c r="V8" s="169">
        <v>505935</v>
      </c>
      <c r="W8" s="169">
        <v>518575.75</v>
      </c>
      <c r="X8" s="169">
        <v>585832</v>
      </c>
      <c r="Y8" s="170">
        <v>579589</v>
      </c>
      <c r="Z8" s="169">
        <v>443872</v>
      </c>
      <c r="AA8" s="168">
        <v>460769.16</v>
      </c>
      <c r="AB8" s="168">
        <v>500982</v>
      </c>
      <c r="AC8" s="168">
        <v>494156.34</v>
      </c>
      <c r="AD8" s="169">
        <v>390218</v>
      </c>
      <c r="AE8" s="168">
        <v>485282</v>
      </c>
      <c r="AF8" s="168">
        <v>546957</v>
      </c>
      <c r="AG8" s="168">
        <v>504903</v>
      </c>
      <c r="AH8" s="169">
        <v>453461</v>
      </c>
      <c r="AI8" s="168">
        <v>465619</v>
      </c>
      <c r="AJ8" s="168">
        <v>521593</v>
      </c>
      <c r="AK8" s="168">
        <v>474834</v>
      </c>
      <c r="AL8" s="169">
        <v>363667</v>
      </c>
      <c r="AM8" s="168">
        <v>334071</v>
      </c>
      <c r="AN8" s="168">
        <v>386337</v>
      </c>
      <c r="AO8" s="168">
        <v>439634</v>
      </c>
      <c r="AP8" s="169">
        <v>333938</v>
      </c>
      <c r="AQ8" s="168">
        <v>498779</v>
      </c>
      <c r="AR8" s="168">
        <v>539118</v>
      </c>
      <c r="AS8" s="168">
        <v>616547</v>
      </c>
    </row>
    <row r="9" spans="1:45" ht="17.25" customHeight="1">
      <c r="A9" s="160" t="s">
        <v>77</v>
      </c>
      <c r="B9" s="168">
        <v>6134</v>
      </c>
      <c r="C9" s="168">
        <v>1448</v>
      </c>
      <c r="D9" s="168">
        <v>0</v>
      </c>
      <c r="E9" s="168">
        <v>0</v>
      </c>
      <c r="F9" s="168">
        <v>334.31</v>
      </c>
      <c r="G9" s="168">
        <v>2653</v>
      </c>
      <c r="H9" s="168">
        <v>1693.92</v>
      </c>
      <c r="I9" s="168">
        <v>0</v>
      </c>
      <c r="J9" s="168">
        <v>4573.84</v>
      </c>
      <c r="K9" s="168">
        <v>1196.6400000000001</v>
      </c>
      <c r="L9" s="168">
        <v>1973</v>
      </c>
      <c r="M9" s="168">
        <v>12082</v>
      </c>
      <c r="N9" s="168">
        <v>1705</v>
      </c>
      <c r="O9" s="168">
        <v>490</v>
      </c>
      <c r="P9" s="168">
        <v>6025</v>
      </c>
      <c r="Q9" s="168">
        <v>2101</v>
      </c>
      <c r="R9" s="168">
        <v>652</v>
      </c>
      <c r="S9" s="168">
        <v>888.95</v>
      </c>
      <c r="T9" s="168">
        <v>2000</v>
      </c>
      <c r="U9" s="170">
        <v>6346</v>
      </c>
      <c r="V9" s="168">
        <v>9151</v>
      </c>
      <c r="W9" s="168">
        <v>646.88</v>
      </c>
      <c r="X9" s="168">
        <v>1041.3699999999999</v>
      </c>
      <c r="Y9" s="170">
        <v>5182</v>
      </c>
      <c r="Z9" s="168">
        <v>971</v>
      </c>
      <c r="AA9" s="168">
        <v>241.6</v>
      </c>
      <c r="AB9" s="168">
        <v>204</v>
      </c>
      <c r="AC9" s="168">
        <v>1543.44</v>
      </c>
      <c r="AD9" s="168">
        <v>7243</v>
      </c>
      <c r="AE9" s="168">
        <v>5563</v>
      </c>
      <c r="AF9" s="168">
        <v>5091</v>
      </c>
      <c r="AG9" s="168">
        <v>0</v>
      </c>
      <c r="AH9" s="168">
        <v>2371</v>
      </c>
      <c r="AI9" s="168">
        <v>8881</v>
      </c>
      <c r="AJ9" s="168">
        <v>0</v>
      </c>
      <c r="AK9" s="168">
        <v>0</v>
      </c>
      <c r="AL9" s="168">
        <v>0</v>
      </c>
      <c r="AM9" s="168">
        <v>0</v>
      </c>
      <c r="AN9" s="168">
        <v>0</v>
      </c>
      <c r="AO9" s="168">
        <v>0</v>
      </c>
      <c r="AP9" s="168">
        <v>0</v>
      </c>
      <c r="AQ9" s="168">
        <v>0</v>
      </c>
      <c r="AR9" s="168">
        <v>1093</v>
      </c>
      <c r="AS9" s="168">
        <v>491</v>
      </c>
    </row>
    <row r="10" spans="1:45" ht="17.25" customHeight="1">
      <c r="A10" s="160" t="s">
        <v>76</v>
      </c>
      <c r="B10" s="168">
        <v>279514</v>
      </c>
      <c r="C10" s="168">
        <v>298038</v>
      </c>
      <c r="D10" s="168">
        <v>0</v>
      </c>
      <c r="E10" s="168">
        <v>292521</v>
      </c>
      <c r="F10" s="168">
        <v>307968.18</v>
      </c>
      <c r="G10" s="168">
        <v>303046</v>
      </c>
      <c r="H10" s="168">
        <v>285052</v>
      </c>
      <c r="I10" s="168">
        <v>287339</v>
      </c>
      <c r="J10" s="168">
        <v>261766.71</v>
      </c>
      <c r="K10" s="168">
        <v>256268.79999999999</v>
      </c>
      <c r="L10" s="168">
        <v>288859</v>
      </c>
      <c r="M10" s="168">
        <v>225482.52</v>
      </c>
      <c r="N10" s="168">
        <v>309081</v>
      </c>
      <c r="O10" s="168">
        <v>278017</v>
      </c>
      <c r="P10" s="168">
        <v>291101</v>
      </c>
      <c r="Q10" s="168">
        <v>265925</v>
      </c>
      <c r="R10" s="168">
        <v>264009</v>
      </c>
      <c r="S10" s="168">
        <v>225808.07</v>
      </c>
      <c r="T10" s="168">
        <v>241905</v>
      </c>
      <c r="U10" s="170">
        <v>241314</v>
      </c>
      <c r="V10" s="168">
        <v>232309</v>
      </c>
      <c r="W10" s="168">
        <v>241529</v>
      </c>
      <c r="X10" s="168">
        <v>210208.99</v>
      </c>
      <c r="Y10" s="170">
        <v>239019</v>
      </c>
      <c r="Z10" s="168">
        <v>215909</v>
      </c>
      <c r="AA10" s="168">
        <v>217602</v>
      </c>
      <c r="AB10" s="168">
        <v>227851</v>
      </c>
      <c r="AC10" s="168">
        <v>225548.72</v>
      </c>
      <c r="AD10" s="168">
        <v>210547</v>
      </c>
      <c r="AE10" s="168">
        <v>168471</v>
      </c>
      <c r="AF10" s="168">
        <v>199366</v>
      </c>
      <c r="AG10" s="168">
        <v>235046</v>
      </c>
      <c r="AH10" s="168">
        <v>222233</v>
      </c>
      <c r="AI10" s="168">
        <v>229079</v>
      </c>
      <c r="AJ10" s="168">
        <v>237044</v>
      </c>
      <c r="AK10" s="168">
        <v>224118</v>
      </c>
      <c r="AL10" s="168">
        <v>231531</v>
      </c>
      <c r="AM10" s="168">
        <v>260967</v>
      </c>
      <c r="AN10" s="168">
        <v>263063</v>
      </c>
      <c r="AO10" s="168">
        <v>248453</v>
      </c>
      <c r="AP10" s="168">
        <v>241990</v>
      </c>
      <c r="AQ10" s="168">
        <v>226117</v>
      </c>
      <c r="AR10" s="168">
        <v>199054</v>
      </c>
      <c r="AS10" s="168">
        <v>173347</v>
      </c>
    </row>
    <row r="11" spans="1:45" ht="17.25" customHeight="1">
      <c r="A11" s="160" t="s">
        <v>75</v>
      </c>
      <c r="B11" s="168">
        <v>5519</v>
      </c>
      <c r="C11" s="168">
        <v>1560</v>
      </c>
      <c r="D11" s="168">
        <v>0</v>
      </c>
      <c r="E11" s="168">
        <v>2866</v>
      </c>
      <c r="F11" s="168">
        <v>1644.94</v>
      </c>
      <c r="G11" s="168">
        <v>5952</v>
      </c>
      <c r="H11" s="168">
        <v>7773</v>
      </c>
      <c r="I11" s="168">
        <v>860</v>
      </c>
      <c r="J11" s="168">
        <v>3148.24</v>
      </c>
      <c r="K11" s="168">
        <v>402.88</v>
      </c>
      <c r="L11" s="168">
        <v>744</v>
      </c>
      <c r="M11" s="168">
        <v>3209.51</v>
      </c>
      <c r="N11" s="168">
        <v>2155</v>
      </c>
      <c r="O11" s="168">
        <v>1174</v>
      </c>
      <c r="P11" s="168">
        <v>4528</v>
      </c>
      <c r="Q11" s="168">
        <v>3008</v>
      </c>
      <c r="R11" s="168">
        <v>4502</v>
      </c>
      <c r="S11" s="168">
        <v>5084.33</v>
      </c>
      <c r="T11" s="168">
        <v>4803</v>
      </c>
      <c r="U11" s="170">
        <v>7486</v>
      </c>
      <c r="V11" s="168">
        <v>7713</v>
      </c>
      <c r="W11" s="168">
        <v>4087.07</v>
      </c>
      <c r="X11" s="168">
        <v>3958.07</v>
      </c>
      <c r="Y11" s="170">
        <v>5603</v>
      </c>
      <c r="Z11" s="168">
        <v>2489</v>
      </c>
      <c r="AA11" s="168">
        <v>6030.37</v>
      </c>
      <c r="AB11" s="168">
        <v>5973</v>
      </c>
      <c r="AC11" s="168">
        <v>5163.0200000000004</v>
      </c>
      <c r="AD11" s="168">
        <v>3036</v>
      </c>
      <c r="AE11" s="168">
        <v>2262</v>
      </c>
      <c r="AF11" s="168">
        <v>3384</v>
      </c>
      <c r="AG11" s="168">
        <v>8147</v>
      </c>
      <c r="AH11" s="168">
        <v>6246</v>
      </c>
      <c r="AI11" s="168">
        <v>2977</v>
      </c>
      <c r="AJ11" s="168">
        <v>1818</v>
      </c>
      <c r="AK11" s="168">
        <v>4344</v>
      </c>
      <c r="AL11" s="168">
        <v>5526</v>
      </c>
      <c r="AM11" s="168">
        <v>7518</v>
      </c>
      <c r="AN11" s="168">
        <v>2053</v>
      </c>
      <c r="AO11" s="168">
        <v>2914</v>
      </c>
      <c r="AP11" s="168">
        <v>1469</v>
      </c>
      <c r="AQ11" s="168">
        <v>3178</v>
      </c>
      <c r="AR11" s="168">
        <v>3068</v>
      </c>
      <c r="AS11" s="168">
        <v>4946</v>
      </c>
    </row>
    <row r="12" spans="1:45" ht="17.25" customHeight="1">
      <c r="A12" s="160" t="s">
        <v>74</v>
      </c>
      <c r="B12" s="168">
        <v>0</v>
      </c>
      <c r="C12" s="168">
        <v>0</v>
      </c>
      <c r="D12" s="168">
        <v>0</v>
      </c>
      <c r="E12" s="168">
        <v>0</v>
      </c>
      <c r="F12" s="168">
        <v>1522.28</v>
      </c>
      <c r="G12" s="168">
        <v>2414</v>
      </c>
      <c r="H12" s="168">
        <v>2303</v>
      </c>
      <c r="I12" s="168">
        <v>2242</v>
      </c>
      <c r="J12" s="168">
        <v>3721.77</v>
      </c>
      <c r="K12" s="168">
        <v>6438.83</v>
      </c>
      <c r="L12" s="168">
        <v>3020</v>
      </c>
      <c r="M12" s="168">
        <v>7872.65</v>
      </c>
      <c r="N12" s="168">
        <v>5518</v>
      </c>
      <c r="O12" s="168">
        <v>0</v>
      </c>
      <c r="P12" s="168">
        <v>8729</v>
      </c>
      <c r="Q12" s="168">
        <v>1281</v>
      </c>
      <c r="R12" s="168">
        <v>3514</v>
      </c>
      <c r="S12" s="168">
        <v>2709.45</v>
      </c>
      <c r="T12" s="168">
        <v>2212</v>
      </c>
      <c r="U12" s="170">
        <v>4919</v>
      </c>
      <c r="V12" s="168">
        <v>2494</v>
      </c>
      <c r="W12" s="168">
        <v>961.88</v>
      </c>
      <c r="X12" s="168">
        <v>6928.65</v>
      </c>
      <c r="Y12" s="170">
        <v>7065</v>
      </c>
      <c r="Z12" s="168">
        <v>3375</v>
      </c>
      <c r="AA12" s="168">
        <v>8444.32</v>
      </c>
      <c r="AB12" s="168">
        <v>6236</v>
      </c>
      <c r="AC12" s="168">
        <v>11418.1</v>
      </c>
      <c r="AD12" s="168">
        <v>2562</v>
      </c>
      <c r="AE12" s="168">
        <v>3398</v>
      </c>
      <c r="AF12" s="168">
        <v>9500</v>
      </c>
      <c r="AG12" s="168">
        <v>3374</v>
      </c>
      <c r="AH12" s="168">
        <v>2291</v>
      </c>
      <c r="AI12" s="168">
        <v>1231</v>
      </c>
      <c r="AJ12" s="168">
        <v>4565</v>
      </c>
      <c r="AK12" s="168">
        <v>6284</v>
      </c>
      <c r="AL12" s="168">
        <v>263</v>
      </c>
      <c r="AM12" s="168">
        <v>659</v>
      </c>
      <c r="AN12" s="168">
        <v>3356</v>
      </c>
      <c r="AO12" s="168">
        <v>10444</v>
      </c>
      <c r="AP12" s="168">
        <v>2184</v>
      </c>
      <c r="AQ12" s="168">
        <v>3419</v>
      </c>
      <c r="AR12" s="168">
        <v>740</v>
      </c>
      <c r="AS12" s="168">
        <v>1335</v>
      </c>
    </row>
    <row r="13" spans="1:45" ht="17.25" customHeight="1">
      <c r="A13" s="160" t="s">
        <v>73</v>
      </c>
      <c r="B13" s="168">
        <v>112296</v>
      </c>
      <c r="C13" s="168">
        <v>115965</v>
      </c>
      <c r="D13" s="168">
        <v>0</v>
      </c>
      <c r="E13" s="168">
        <v>71994</v>
      </c>
      <c r="F13" s="168">
        <v>130888.13</v>
      </c>
      <c r="G13" s="168">
        <v>132348</v>
      </c>
      <c r="H13" s="168">
        <v>81239</v>
      </c>
      <c r="I13" s="168">
        <v>80196</v>
      </c>
      <c r="J13" s="168">
        <v>99802.97</v>
      </c>
      <c r="K13" s="168">
        <v>109775.39</v>
      </c>
      <c r="L13" s="168">
        <v>127885</v>
      </c>
      <c r="M13" s="168">
        <v>98916</v>
      </c>
      <c r="N13" s="168">
        <v>112042</v>
      </c>
      <c r="O13" s="168">
        <v>126005</v>
      </c>
      <c r="P13" s="168">
        <v>91586</v>
      </c>
      <c r="Q13" s="168">
        <v>96628</v>
      </c>
      <c r="R13" s="168">
        <v>80842</v>
      </c>
      <c r="S13" s="168">
        <v>86217.75</v>
      </c>
      <c r="T13" s="168">
        <v>79425</v>
      </c>
      <c r="U13" s="170">
        <v>84396</v>
      </c>
      <c r="V13" s="168">
        <v>105026</v>
      </c>
      <c r="W13" s="168">
        <v>113941.31</v>
      </c>
      <c r="X13" s="168">
        <v>70881.33</v>
      </c>
      <c r="Y13" s="170">
        <v>67045</v>
      </c>
      <c r="Z13" s="168">
        <v>131115</v>
      </c>
      <c r="AA13" s="168">
        <v>123074</v>
      </c>
      <c r="AB13" s="168">
        <v>83775</v>
      </c>
      <c r="AC13" s="168">
        <v>83996.43</v>
      </c>
      <c r="AD13" s="168">
        <v>114189</v>
      </c>
      <c r="AE13" s="168">
        <v>77956</v>
      </c>
      <c r="AF13" s="168">
        <v>88293</v>
      </c>
      <c r="AG13" s="168">
        <v>84845</v>
      </c>
      <c r="AH13" s="168">
        <v>102299</v>
      </c>
      <c r="AI13" s="168">
        <v>87212</v>
      </c>
      <c r="AJ13" s="168">
        <v>75980</v>
      </c>
      <c r="AK13" s="168">
        <v>76806</v>
      </c>
      <c r="AL13" s="168">
        <v>84627</v>
      </c>
      <c r="AM13" s="168">
        <v>87215</v>
      </c>
      <c r="AN13" s="168">
        <v>53312</v>
      </c>
      <c r="AO13" s="168">
        <v>63205</v>
      </c>
      <c r="AP13" s="168">
        <v>94711</v>
      </c>
      <c r="AQ13" s="168">
        <v>99663</v>
      </c>
      <c r="AR13" s="168">
        <v>95856</v>
      </c>
      <c r="AS13" s="168">
        <v>64318</v>
      </c>
    </row>
    <row r="14" spans="1:45" ht="17.25" customHeight="1">
      <c r="A14" s="160" t="s">
        <v>154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</row>
    <row r="15" spans="1:45" ht="21.75">
      <c r="A15" s="160" t="s">
        <v>153</v>
      </c>
      <c r="B15" s="168">
        <v>273155</v>
      </c>
      <c r="C15" s="168">
        <v>277238</v>
      </c>
      <c r="D15" s="168">
        <v>0</v>
      </c>
      <c r="E15" s="168">
        <v>253177</v>
      </c>
      <c r="F15" s="168">
        <v>238139.82</v>
      </c>
      <c r="G15" s="168">
        <v>220644</v>
      </c>
      <c r="H15" s="168">
        <v>224684</v>
      </c>
      <c r="I15" s="168">
        <v>256529</v>
      </c>
      <c r="J15" s="168">
        <f>ROUNDUP(274126.48,1)</f>
        <v>274126.5</v>
      </c>
      <c r="K15" s="168">
        <v>250349.04</v>
      </c>
      <c r="L15" s="168">
        <v>243780</v>
      </c>
      <c r="M15" s="168">
        <v>327000.98</v>
      </c>
      <c r="N15" s="168">
        <v>234241</v>
      </c>
      <c r="O15" s="168">
        <v>258890</v>
      </c>
      <c r="P15" s="168">
        <v>257121</v>
      </c>
      <c r="Q15" s="168">
        <v>248821</v>
      </c>
      <c r="R15" s="168">
        <v>212044</v>
      </c>
      <c r="S15" s="168">
        <v>202336.62</v>
      </c>
      <c r="T15" s="168">
        <v>208171</v>
      </c>
      <c r="U15" s="170">
        <v>219672</v>
      </c>
      <c r="V15" s="168">
        <v>201761</v>
      </c>
      <c r="W15" s="168">
        <v>206430.38</v>
      </c>
      <c r="X15" s="168">
        <v>197995.95</v>
      </c>
      <c r="Y15" s="170">
        <v>193183</v>
      </c>
      <c r="Z15" s="168">
        <v>205955</v>
      </c>
      <c r="AA15" s="168">
        <v>220137.12</v>
      </c>
      <c r="AB15" s="168">
        <v>227163</v>
      </c>
      <c r="AC15" s="168">
        <v>193978.62</v>
      </c>
      <c r="AD15" s="168">
        <v>213889</v>
      </c>
      <c r="AE15" s="168">
        <v>211764</v>
      </c>
      <c r="AF15" s="168">
        <v>200446</v>
      </c>
      <c r="AG15" s="168">
        <v>190490</v>
      </c>
      <c r="AH15" s="168">
        <v>198617</v>
      </c>
      <c r="AI15" s="168">
        <v>195788</v>
      </c>
      <c r="AJ15" s="168">
        <v>199458</v>
      </c>
      <c r="AK15" s="168">
        <v>193017</v>
      </c>
      <c r="AL15" s="168">
        <v>193625</v>
      </c>
      <c r="AM15" s="168">
        <v>165590</v>
      </c>
      <c r="AN15" s="168">
        <v>188017</v>
      </c>
      <c r="AO15" s="168">
        <v>195265</v>
      </c>
      <c r="AP15" s="168">
        <v>184921</v>
      </c>
      <c r="AQ15" s="168">
        <v>166892</v>
      </c>
      <c r="AR15" s="168">
        <v>176530</v>
      </c>
      <c r="AS15" s="168">
        <v>186871</v>
      </c>
    </row>
    <row r="16" spans="1:45" ht="17.25" customHeight="1">
      <c r="A16" s="158" t="s">
        <v>71</v>
      </c>
      <c r="B16" s="168">
        <v>32272</v>
      </c>
      <c r="C16" s="168">
        <v>41377</v>
      </c>
      <c r="D16" s="168">
        <v>0</v>
      </c>
      <c r="E16" s="168">
        <v>19000</v>
      </c>
      <c r="F16" s="168">
        <v>28065.27</v>
      </c>
      <c r="G16" s="168">
        <v>24321</v>
      </c>
      <c r="H16" s="168">
        <v>20294</v>
      </c>
      <c r="I16" s="168">
        <v>31136</v>
      </c>
      <c r="J16" s="168">
        <v>53502.85</v>
      </c>
      <c r="K16" s="168">
        <v>25570.23</v>
      </c>
      <c r="L16" s="168">
        <v>38671</v>
      </c>
      <c r="M16" s="168">
        <v>26866</v>
      </c>
      <c r="N16" s="168">
        <v>30516</v>
      </c>
      <c r="O16" s="168">
        <v>42484</v>
      </c>
      <c r="P16" s="168">
        <v>28894</v>
      </c>
      <c r="Q16" s="168">
        <v>27182</v>
      </c>
      <c r="R16" s="168">
        <v>26663</v>
      </c>
      <c r="S16" s="168">
        <v>32318.36</v>
      </c>
      <c r="T16" s="168">
        <v>31093</v>
      </c>
      <c r="U16" s="170">
        <v>24870</v>
      </c>
      <c r="V16" s="168">
        <v>31843</v>
      </c>
      <c r="W16" s="168">
        <v>25067</v>
      </c>
      <c r="X16" s="168">
        <v>28554.33</v>
      </c>
      <c r="Y16" s="170">
        <v>21545</v>
      </c>
      <c r="Z16" s="168">
        <v>28863</v>
      </c>
      <c r="AA16" s="168">
        <v>14218.65</v>
      </c>
      <c r="AB16" s="168">
        <v>17617</v>
      </c>
      <c r="AC16" s="168">
        <v>21051.07</v>
      </c>
      <c r="AD16" s="168">
        <v>36768</v>
      </c>
      <c r="AE16" s="168">
        <v>24327</v>
      </c>
      <c r="AF16" s="168">
        <v>23494</v>
      </c>
      <c r="AG16" s="168">
        <v>25732</v>
      </c>
      <c r="AH16" s="168">
        <v>21933</v>
      </c>
      <c r="AI16" s="168">
        <v>30119</v>
      </c>
      <c r="AJ16" s="168">
        <v>18902</v>
      </c>
      <c r="AK16" s="168">
        <v>16369</v>
      </c>
      <c r="AL16" s="168">
        <v>23908</v>
      </c>
      <c r="AM16" s="168">
        <v>14889</v>
      </c>
      <c r="AN16" s="168">
        <v>14563</v>
      </c>
      <c r="AO16" s="168">
        <v>14197</v>
      </c>
      <c r="AP16" s="168">
        <v>28660</v>
      </c>
      <c r="AQ16" s="168">
        <v>15359</v>
      </c>
      <c r="AR16" s="168">
        <v>12653</v>
      </c>
      <c r="AS16" s="168">
        <v>24635</v>
      </c>
    </row>
    <row r="17" spans="1:45" ht="17.25" customHeight="1">
      <c r="A17" s="156" t="s">
        <v>69</v>
      </c>
      <c r="B17" s="168">
        <v>128690</v>
      </c>
      <c r="C17" s="168">
        <v>94450</v>
      </c>
      <c r="D17" s="168">
        <v>0</v>
      </c>
      <c r="E17" s="168">
        <v>67178</v>
      </c>
      <c r="F17" s="168">
        <v>99094.75</v>
      </c>
      <c r="G17" s="168">
        <v>105118</v>
      </c>
      <c r="H17" s="168">
        <v>75818</v>
      </c>
      <c r="I17" s="168">
        <v>82073</v>
      </c>
      <c r="J17" s="168">
        <v>86488.34</v>
      </c>
      <c r="K17" s="168">
        <v>66934.600000000006</v>
      </c>
      <c r="L17" s="168">
        <v>87114</v>
      </c>
      <c r="M17" s="168">
        <v>106909.98</v>
      </c>
      <c r="N17" s="168">
        <v>98817</v>
      </c>
      <c r="O17" s="168">
        <v>102365</v>
      </c>
      <c r="P17" s="168">
        <v>60884</v>
      </c>
      <c r="Q17" s="168">
        <v>78875</v>
      </c>
      <c r="R17" s="168">
        <v>97840</v>
      </c>
      <c r="S17" s="168">
        <v>95179.11</v>
      </c>
      <c r="T17" s="168">
        <v>77857</v>
      </c>
      <c r="U17" s="170">
        <v>98982</v>
      </c>
      <c r="V17" s="168">
        <v>91196</v>
      </c>
      <c r="W17" s="168">
        <v>88211.69</v>
      </c>
      <c r="X17" s="168">
        <v>88359</v>
      </c>
      <c r="Y17" s="170">
        <v>104845</v>
      </c>
      <c r="Z17" s="168">
        <v>71599</v>
      </c>
      <c r="AA17" s="168">
        <v>74751</v>
      </c>
      <c r="AB17" s="168">
        <v>104531</v>
      </c>
      <c r="AC17" s="168">
        <v>108462.72</v>
      </c>
      <c r="AD17" s="168">
        <v>75162</v>
      </c>
      <c r="AE17" s="168">
        <v>90107</v>
      </c>
      <c r="AF17" s="168">
        <v>96207</v>
      </c>
      <c r="AG17" s="168">
        <v>80775</v>
      </c>
      <c r="AH17" s="168">
        <v>76177</v>
      </c>
      <c r="AI17" s="168">
        <v>68559</v>
      </c>
      <c r="AJ17" s="168">
        <v>74960</v>
      </c>
      <c r="AK17" s="168">
        <v>77296</v>
      </c>
      <c r="AL17" s="168">
        <v>94207</v>
      </c>
      <c r="AM17" s="168">
        <v>115453</v>
      </c>
      <c r="AN17" s="168">
        <v>79797</v>
      </c>
      <c r="AO17" s="168">
        <v>76193</v>
      </c>
      <c r="AP17" s="168">
        <v>73734</v>
      </c>
      <c r="AQ17" s="168">
        <v>69884</v>
      </c>
      <c r="AR17" s="168">
        <v>74928</v>
      </c>
      <c r="AS17" s="168">
        <v>97535</v>
      </c>
    </row>
    <row r="18" spans="1:45" ht="17.25" customHeight="1">
      <c r="A18" s="156" t="s">
        <v>68</v>
      </c>
      <c r="B18" s="168">
        <v>0</v>
      </c>
      <c r="C18" s="168">
        <v>0</v>
      </c>
      <c r="D18" s="168">
        <v>0</v>
      </c>
      <c r="E18" s="168">
        <v>0</v>
      </c>
      <c r="F18" s="168">
        <v>2828.43</v>
      </c>
      <c r="G18" s="168">
        <v>3376</v>
      </c>
      <c r="H18" s="168">
        <v>1632</v>
      </c>
      <c r="I18" s="168">
        <v>2594</v>
      </c>
      <c r="J18" s="168">
        <v>15048.66</v>
      </c>
      <c r="K18" s="168">
        <v>2722.97</v>
      </c>
      <c r="L18" s="168">
        <v>3393</v>
      </c>
      <c r="M18" s="168">
        <v>5065</v>
      </c>
      <c r="N18" s="168">
        <v>25800</v>
      </c>
      <c r="O18" s="168">
        <v>9278</v>
      </c>
      <c r="P18" s="168">
        <v>4551</v>
      </c>
      <c r="Q18" s="168">
        <v>9929</v>
      </c>
      <c r="R18" s="168">
        <v>2985</v>
      </c>
      <c r="S18" s="168">
        <v>3782.95</v>
      </c>
      <c r="T18" s="168">
        <v>5680</v>
      </c>
      <c r="U18" s="170">
        <v>6113</v>
      </c>
      <c r="V18" s="168">
        <v>5466</v>
      </c>
      <c r="W18" s="168">
        <v>5983.87</v>
      </c>
      <c r="X18" s="168">
        <v>288.54000000000002</v>
      </c>
      <c r="Y18" s="170">
        <v>2108</v>
      </c>
      <c r="Z18" s="168">
        <v>4305</v>
      </c>
      <c r="AA18" s="168">
        <v>3411</v>
      </c>
      <c r="AB18" s="168">
        <v>4868</v>
      </c>
      <c r="AC18" s="168">
        <v>1666.95</v>
      </c>
      <c r="AD18" s="168">
        <v>3544</v>
      </c>
      <c r="AE18" s="168">
        <v>1331</v>
      </c>
      <c r="AF18" s="168">
        <v>2299</v>
      </c>
      <c r="AG18" s="168">
        <v>3166</v>
      </c>
      <c r="AH18" s="168">
        <v>3820</v>
      </c>
      <c r="AI18" s="168">
        <v>3580</v>
      </c>
      <c r="AJ18" s="168">
        <v>5041</v>
      </c>
      <c r="AK18" s="168">
        <v>4698</v>
      </c>
      <c r="AL18" s="168">
        <v>3793</v>
      </c>
      <c r="AM18" s="168">
        <v>211</v>
      </c>
      <c r="AN18" s="168">
        <v>3876</v>
      </c>
      <c r="AO18" s="168">
        <v>3473</v>
      </c>
      <c r="AP18" s="168">
        <v>1058</v>
      </c>
      <c r="AQ18" s="168">
        <v>1379</v>
      </c>
      <c r="AR18" s="168">
        <v>1106</v>
      </c>
      <c r="AS18" s="168">
        <v>0</v>
      </c>
    </row>
    <row r="19" spans="1:45" ht="17.25" customHeight="1">
      <c r="A19" s="156" t="s">
        <v>67</v>
      </c>
      <c r="B19" s="168">
        <v>13055</v>
      </c>
      <c r="C19" s="168">
        <v>8059</v>
      </c>
      <c r="D19" s="168">
        <v>0</v>
      </c>
      <c r="E19" s="168">
        <v>12261</v>
      </c>
      <c r="F19" s="168">
        <v>14126.95</v>
      </c>
      <c r="G19" s="168">
        <v>10523</v>
      </c>
      <c r="H19" s="168">
        <v>16889</v>
      </c>
      <c r="I19" s="168">
        <v>7198</v>
      </c>
      <c r="J19" s="168">
        <v>8723.39</v>
      </c>
      <c r="K19" s="168">
        <v>12104.99</v>
      </c>
      <c r="L19" s="168">
        <v>12075</v>
      </c>
      <c r="M19" s="168">
        <v>7670.88</v>
      </c>
      <c r="N19" s="168">
        <v>14900</v>
      </c>
      <c r="O19" s="168">
        <v>12244</v>
      </c>
      <c r="P19" s="168">
        <v>13197</v>
      </c>
      <c r="Q19" s="168">
        <v>15417</v>
      </c>
      <c r="R19" s="168">
        <v>16048</v>
      </c>
      <c r="S19" s="168">
        <v>20261.03</v>
      </c>
      <c r="T19" s="168">
        <v>5535</v>
      </c>
      <c r="U19" s="170">
        <v>7084</v>
      </c>
      <c r="V19" s="168">
        <v>8922</v>
      </c>
      <c r="W19" s="168">
        <v>14383.94</v>
      </c>
      <c r="X19" s="168">
        <v>14977.92</v>
      </c>
      <c r="Y19" s="170">
        <v>10220</v>
      </c>
      <c r="Z19" s="168">
        <v>11125</v>
      </c>
      <c r="AA19" s="168">
        <v>21084.5</v>
      </c>
      <c r="AB19" s="168">
        <v>17881</v>
      </c>
      <c r="AC19" s="168">
        <v>11518.82</v>
      </c>
      <c r="AD19" s="168">
        <v>8599</v>
      </c>
      <c r="AE19" s="168">
        <v>8784</v>
      </c>
      <c r="AF19" s="168">
        <v>13538</v>
      </c>
      <c r="AG19" s="168">
        <v>11207</v>
      </c>
      <c r="AH19" s="168">
        <v>9416</v>
      </c>
      <c r="AI19" s="168">
        <v>9538</v>
      </c>
      <c r="AJ19" s="168">
        <v>8828</v>
      </c>
      <c r="AK19" s="168">
        <v>8598</v>
      </c>
      <c r="AL19" s="168">
        <v>11787</v>
      </c>
      <c r="AM19" s="168">
        <v>13337</v>
      </c>
      <c r="AN19" s="168">
        <v>11466</v>
      </c>
      <c r="AO19" s="168">
        <v>8360</v>
      </c>
      <c r="AP19" s="168">
        <v>8956</v>
      </c>
      <c r="AQ19" s="168">
        <v>6011</v>
      </c>
      <c r="AR19" s="168">
        <v>10628</v>
      </c>
      <c r="AS19" s="168">
        <v>6587</v>
      </c>
    </row>
    <row r="20" spans="1:45" ht="17.25" customHeight="1">
      <c r="A20" s="154" t="s">
        <v>152</v>
      </c>
      <c r="B20" s="168">
        <v>15219</v>
      </c>
      <c r="C20" s="168">
        <v>20517</v>
      </c>
      <c r="D20" s="168">
        <v>0</v>
      </c>
      <c r="E20" s="168">
        <v>29273</v>
      </c>
      <c r="F20" s="168">
        <v>1327.64</v>
      </c>
      <c r="G20" s="168">
        <v>2003</v>
      </c>
      <c r="H20" s="168">
        <v>1221</v>
      </c>
      <c r="I20" s="168">
        <v>1158</v>
      </c>
      <c r="J20" s="168">
        <v>1676.2</v>
      </c>
      <c r="K20" s="168">
        <v>2208.16</v>
      </c>
      <c r="L20" s="168">
        <v>3342</v>
      </c>
      <c r="M20" s="168">
        <v>3082.57</v>
      </c>
      <c r="N20" s="168">
        <v>4166</v>
      </c>
      <c r="O20" s="168">
        <v>2196</v>
      </c>
      <c r="P20" s="168">
        <v>6080</v>
      </c>
      <c r="Q20" s="168">
        <v>5178</v>
      </c>
      <c r="R20" s="168">
        <v>1896</v>
      </c>
      <c r="S20" s="168">
        <v>8274.9599999999991</v>
      </c>
      <c r="T20" s="168">
        <v>5794</v>
      </c>
      <c r="U20" s="170">
        <v>4030</v>
      </c>
      <c r="V20" s="168">
        <v>3294</v>
      </c>
      <c r="W20" s="168">
        <v>3575.52</v>
      </c>
      <c r="X20" s="168">
        <v>888.45</v>
      </c>
      <c r="Y20" s="170">
        <v>789</v>
      </c>
      <c r="Z20" s="168">
        <v>2791</v>
      </c>
      <c r="AA20" s="168">
        <v>2995.1</v>
      </c>
      <c r="AB20" s="168">
        <v>1106</v>
      </c>
      <c r="AC20" s="168">
        <v>3913.69</v>
      </c>
      <c r="AD20" s="168">
        <v>1816</v>
      </c>
      <c r="AE20" s="168">
        <v>7103</v>
      </c>
      <c r="AF20" s="168">
        <v>5013</v>
      </c>
      <c r="AG20" s="168">
        <v>7695</v>
      </c>
      <c r="AH20" s="168">
        <v>1651</v>
      </c>
      <c r="AI20" s="168">
        <v>3164</v>
      </c>
      <c r="AJ20" s="168">
        <v>590</v>
      </c>
      <c r="AK20" s="168">
        <v>1110</v>
      </c>
      <c r="AL20" s="168">
        <v>1477</v>
      </c>
      <c r="AM20" s="168">
        <v>3891</v>
      </c>
      <c r="AN20" s="168">
        <v>2495</v>
      </c>
      <c r="AO20" s="168">
        <v>3324</v>
      </c>
      <c r="AP20" s="168">
        <v>6473</v>
      </c>
      <c r="AQ20" s="168">
        <v>6824</v>
      </c>
      <c r="AR20" s="168">
        <v>9078</v>
      </c>
      <c r="AS20" s="168">
        <v>10251</v>
      </c>
    </row>
    <row r="21" spans="1:45" ht="17.25" customHeight="1">
      <c r="A21" s="154" t="s">
        <v>65</v>
      </c>
      <c r="B21" s="168">
        <v>0</v>
      </c>
      <c r="C21" s="168">
        <v>0</v>
      </c>
      <c r="D21" s="168">
        <v>0</v>
      </c>
      <c r="E21" s="168">
        <v>0</v>
      </c>
      <c r="F21" s="168">
        <v>9874.0300000000007</v>
      </c>
      <c r="G21" s="168">
        <v>2624</v>
      </c>
      <c r="H21" s="168">
        <v>2266</v>
      </c>
      <c r="I21" s="168">
        <v>5003</v>
      </c>
      <c r="J21" s="168">
        <v>3498.42</v>
      </c>
      <c r="K21" s="168">
        <v>1738.45</v>
      </c>
      <c r="L21" s="168">
        <v>1870</v>
      </c>
      <c r="M21" s="168">
        <v>1476.69</v>
      </c>
      <c r="N21" s="168">
        <v>7064</v>
      </c>
      <c r="O21" s="168">
        <v>3719</v>
      </c>
      <c r="P21" s="168">
        <v>2954</v>
      </c>
      <c r="Q21" s="168">
        <v>4846</v>
      </c>
      <c r="R21" s="168">
        <v>5514</v>
      </c>
      <c r="S21" s="168">
        <v>3176.88</v>
      </c>
      <c r="T21" s="168">
        <v>2340</v>
      </c>
      <c r="U21" s="170">
        <v>5516</v>
      </c>
      <c r="V21" s="168">
        <v>4830</v>
      </c>
      <c r="W21" s="168">
        <v>6149.93</v>
      </c>
      <c r="X21" s="168">
        <v>6316.67</v>
      </c>
      <c r="Y21" s="170">
        <v>8207</v>
      </c>
      <c r="Z21" s="168">
        <v>7645</v>
      </c>
      <c r="AA21" s="168">
        <v>4039.93</v>
      </c>
      <c r="AB21" s="168">
        <v>3192</v>
      </c>
      <c r="AC21" s="168">
        <v>3026.08</v>
      </c>
      <c r="AD21" s="168">
        <v>4375</v>
      </c>
      <c r="AE21" s="168">
        <v>4378</v>
      </c>
      <c r="AF21" s="168">
        <v>1725</v>
      </c>
      <c r="AG21" s="168">
        <v>3825</v>
      </c>
      <c r="AH21" s="168">
        <v>1933</v>
      </c>
      <c r="AI21" s="168">
        <v>2584</v>
      </c>
      <c r="AJ21" s="168">
        <v>5909</v>
      </c>
      <c r="AK21" s="168">
        <v>8026</v>
      </c>
      <c r="AL21" s="168">
        <v>9091</v>
      </c>
      <c r="AM21" s="168">
        <v>3485</v>
      </c>
      <c r="AN21" s="168">
        <v>2056</v>
      </c>
      <c r="AO21" s="168">
        <v>3514</v>
      </c>
      <c r="AP21" s="168">
        <v>7748</v>
      </c>
      <c r="AQ21" s="168">
        <v>2704</v>
      </c>
      <c r="AR21" s="168">
        <v>5664</v>
      </c>
      <c r="AS21" s="168">
        <v>8856</v>
      </c>
    </row>
    <row r="22" spans="1:45" ht="17.25" customHeight="1">
      <c r="A22" s="154" t="s">
        <v>64</v>
      </c>
      <c r="B22" s="168">
        <v>0</v>
      </c>
      <c r="C22" s="168">
        <v>0</v>
      </c>
      <c r="D22" s="168">
        <v>0</v>
      </c>
      <c r="E22" s="168">
        <v>0</v>
      </c>
      <c r="F22" s="168">
        <v>12213.21</v>
      </c>
      <c r="G22" s="168">
        <v>12725</v>
      </c>
      <c r="H22" s="168">
        <v>21821</v>
      </c>
      <c r="I22" s="168">
        <v>10482</v>
      </c>
      <c r="J22" s="168">
        <v>5627.67</v>
      </c>
      <c r="K22" s="168">
        <v>6331.73</v>
      </c>
      <c r="L22" s="168">
        <v>4694</v>
      </c>
      <c r="M22" s="168">
        <v>9031</v>
      </c>
      <c r="N22" s="168">
        <v>7613</v>
      </c>
      <c r="O22" s="168">
        <v>9019</v>
      </c>
      <c r="P22" s="168">
        <v>8096</v>
      </c>
      <c r="Q22" s="168">
        <v>5905</v>
      </c>
      <c r="R22" s="168">
        <v>9249</v>
      </c>
      <c r="S22" s="168">
        <v>9429.93</v>
      </c>
      <c r="T22" s="168">
        <v>9144</v>
      </c>
      <c r="U22" s="170">
        <v>3465</v>
      </c>
      <c r="V22" s="168">
        <v>2548</v>
      </c>
      <c r="W22" s="168">
        <v>4103.05</v>
      </c>
      <c r="X22" s="168">
        <v>2569.83</v>
      </c>
      <c r="Y22" s="170">
        <v>6019</v>
      </c>
      <c r="Z22" s="168">
        <v>10399</v>
      </c>
      <c r="AA22" s="169">
        <v>4149</v>
      </c>
      <c r="AB22" s="169">
        <v>9205</v>
      </c>
      <c r="AC22" s="168">
        <v>10881.75</v>
      </c>
      <c r="AD22" s="168">
        <v>12737</v>
      </c>
      <c r="AE22" s="169">
        <v>11102</v>
      </c>
      <c r="AF22" s="169">
        <v>13958</v>
      </c>
      <c r="AG22" s="168">
        <v>5450</v>
      </c>
      <c r="AH22" s="168">
        <v>7070</v>
      </c>
      <c r="AI22" s="169">
        <v>9769</v>
      </c>
      <c r="AJ22" s="169">
        <v>3962</v>
      </c>
      <c r="AK22" s="168">
        <v>11005</v>
      </c>
      <c r="AL22" s="168">
        <v>3971</v>
      </c>
      <c r="AM22" s="168">
        <v>6831</v>
      </c>
      <c r="AN22" s="168">
        <v>2067</v>
      </c>
      <c r="AO22" s="168">
        <v>4014</v>
      </c>
      <c r="AP22" s="168">
        <v>7363</v>
      </c>
      <c r="AQ22" s="168">
        <v>5249</v>
      </c>
      <c r="AR22" s="168">
        <v>9409</v>
      </c>
      <c r="AS22" s="168">
        <v>11439</v>
      </c>
    </row>
    <row r="23" spans="1:45" ht="17.25" customHeight="1">
      <c r="A23" s="154" t="s">
        <v>148</v>
      </c>
      <c r="B23" s="169"/>
      <c r="C23" s="169"/>
      <c r="D23" s="168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8"/>
      <c r="AM23" s="168"/>
      <c r="AN23" s="168"/>
      <c r="AO23" s="168"/>
    </row>
    <row r="24" spans="1:45" ht="21.75">
      <c r="A24" s="154" t="s">
        <v>147</v>
      </c>
      <c r="B24" s="168">
        <v>61377</v>
      </c>
      <c r="C24" s="168">
        <v>53263</v>
      </c>
      <c r="D24" s="168">
        <v>0</v>
      </c>
      <c r="E24" s="168">
        <v>65207</v>
      </c>
      <c r="F24" s="168">
        <v>58616.19</v>
      </c>
      <c r="G24" s="169">
        <v>57081</v>
      </c>
      <c r="H24" s="168">
        <v>57587</v>
      </c>
      <c r="I24" s="169">
        <v>74779</v>
      </c>
      <c r="J24" s="168">
        <v>76852.84</v>
      </c>
      <c r="K24" s="169">
        <v>76037.64</v>
      </c>
      <c r="L24" s="169">
        <v>86949</v>
      </c>
      <c r="M24" s="169">
        <v>96448.8</v>
      </c>
      <c r="N24" s="169">
        <v>67118</v>
      </c>
      <c r="O24" s="169">
        <v>65358</v>
      </c>
      <c r="P24" s="169">
        <v>78794</v>
      </c>
      <c r="Q24" s="169">
        <v>63134</v>
      </c>
      <c r="R24" s="169">
        <v>66856</v>
      </c>
      <c r="S24" s="169">
        <v>63145.79</v>
      </c>
      <c r="T24" s="169">
        <v>56134</v>
      </c>
      <c r="U24" s="170">
        <v>66390</v>
      </c>
      <c r="V24" s="169">
        <v>64352</v>
      </c>
      <c r="W24" s="169">
        <v>54966</v>
      </c>
      <c r="X24" s="169">
        <v>50596</v>
      </c>
      <c r="Y24" s="170">
        <v>51770</v>
      </c>
      <c r="Z24" s="169">
        <v>51588</v>
      </c>
      <c r="AA24" s="169">
        <v>47521.83</v>
      </c>
      <c r="AB24" s="169">
        <v>46935</v>
      </c>
      <c r="AC24" s="169">
        <v>49001.08</v>
      </c>
      <c r="AD24" s="169">
        <v>53958</v>
      </c>
      <c r="AE24" s="169">
        <v>65956</v>
      </c>
      <c r="AF24" s="169">
        <v>58832</v>
      </c>
      <c r="AG24" s="169">
        <v>43022</v>
      </c>
      <c r="AH24" s="169">
        <v>39154</v>
      </c>
      <c r="AI24" s="169">
        <v>43774</v>
      </c>
      <c r="AJ24" s="169">
        <v>41723</v>
      </c>
      <c r="AK24" s="169">
        <v>43125</v>
      </c>
      <c r="AL24" s="168">
        <v>35526</v>
      </c>
      <c r="AM24" s="169">
        <v>50135</v>
      </c>
      <c r="AN24" s="169">
        <v>60283</v>
      </c>
      <c r="AO24" s="168">
        <v>44097</v>
      </c>
      <c r="AP24" s="168">
        <v>41341</v>
      </c>
      <c r="AQ24" s="168">
        <v>50853</v>
      </c>
      <c r="AR24" s="168">
        <v>54279</v>
      </c>
      <c r="AS24" s="168">
        <v>45679</v>
      </c>
    </row>
    <row r="25" spans="1:45" ht="18" customHeight="1">
      <c r="A25" s="154" t="s">
        <v>62</v>
      </c>
      <c r="B25" s="168">
        <v>54757</v>
      </c>
      <c r="C25" s="168">
        <v>53139</v>
      </c>
      <c r="D25" s="168">
        <v>0</v>
      </c>
      <c r="E25" s="168">
        <v>37450</v>
      </c>
      <c r="F25" s="168">
        <v>66201.350000000006</v>
      </c>
      <c r="G25" s="169">
        <v>63735</v>
      </c>
      <c r="H25" s="168">
        <v>55520</v>
      </c>
      <c r="I25" s="169">
        <v>38580</v>
      </c>
      <c r="J25" s="168">
        <v>54444.39</v>
      </c>
      <c r="K25" s="169">
        <v>49571.11</v>
      </c>
      <c r="L25" s="169">
        <v>50057</v>
      </c>
      <c r="M25" s="169">
        <v>42904.93</v>
      </c>
      <c r="N25" s="169">
        <v>36388</v>
      </c>
      <c r="O25" s="169">
        <v>38268</v>
      </c>
      <c r="P25" s="169">
        <v>49544</v>
      </c>
      <c r="Q25" s="169">
        <v>43031</v>
      </c>
      <c r="R25" s="169">
        <v>29206</v>
      </c>
      <c r="S25" s="169">
        <v>32902.49</v>
      </c>
      <c r="T25" s="169">
        <v>44575</v>
      </c>
      <c r="U25" s="170">
        <v>33356</v>
      </c>
      <c r="V25" s="169">
        <v>34406</v>
      </c>
      <c r="W25" s="169">
        <v>20985.09</v>
      </c>
      <c r="X25" s="169">
        <v>29960.07</v>
      </c>
      <c r="Y25" s="170">
        <v>40132</v>
      </c>
      <c r="Z25" s="169">
        <v>45011</v>
      </c>
      <c r="AA25" s="169">
        <v>28487.31</v>
      </c>
      <c r="AB25" s="169">
        <v>33122</v>
      </c>
      <c r="AC25" s="169">
        <v>39705.65</v>
      </c>
      <c r="AD25" s="169">
        <v>49959</v>
      </c>
      <c r="AE25" s="169">
        <v>48348</v>
      </c>
      <c r="AF25" s="169">
        <v>36540</v>
      </c>
      <c r="AG25" s="169">
        <v>37324</v>
      </c>
      <c r="AH25" s="169">
        <v>39800</v>
      </c>
      <c r="AI25" s="169">
        <v>41427</v>
      </c>
      <c r="AJ25" s="169">
        <v>36903</v>
      </c>
      <c r="AK25" s="169">
        <v>32084</v>
      </c>
      <c r="AL25" s="169">
        <v>43355</v>
      </c>
      <c r="AM25" s="169">
        <v>39741</v>
      </c>
      <c r="AN25" s="169">
        <v>51483</v>
      </c>
      <c r="AO25" s="169">
        <v>38459</v>
      </c>
      <c r="AP25" s="168">
        <v>40329</v>
      </c>
      <c r="AQ25" s="169">
        <v>30343</v>
      </c>
      <c r="AR25" s="169">
        <v>43327</v>
      </c>
      <c r="AS25" s="168">
        <v>44235</v>
      </c>
    </row>
    <row r="26" spans="1:45" ht="18" customHeight="1">
      <c r="A26" s="154" t="s">
        <v>61</v>
      </c>
      <c r="B26" s="168">
        <v>31581</v>
      </c>
      <c r="C26" s="168">
        <v>26379</v>
      </c>
      <c r="D26" s="168">
        <v>0</v>
      </c>
      <c r="E26" s="168">
        <v>31603</v>
      </c>
      <c r="F26" s="168">
        <v>18778.52</v>
      </c>
      <c r="G26" s="169">
        <v>24929</v>
      </c>
      <c r="H26" s="168">
        <v>41296</v>
      </c>
      <c r="I26" s="169">
        <v>25672</v>
      </c>
      <c r="J26" s="168">
        <v>25979.86</v>
      </c>
      <c r="K26" s="169">
        <v>32646.25</v>
      </c>
      <c r="L26" s="169">
        <v>23184</v>
      </c>
      <c r="M26" s="169">
        <v>24499</v>
      </c>
      <c r="N26" s="169">
        <v>24344</v>
      </c>
      <c r="O26" s="169">
        <v>41276</v>
      </c>
      <c r="P26" s="169">
        <v>37222</v>
      </c>
      <c r="Q26" s="169">
        <v>22796</v>
      </c>
      <c r="R26" s="169">
        <v>26582</v>
      </c>
      <c r="S26" s="169">
        <v>23267.360000000001</v>
      </c>
      <c r="T26" s="169">
        <v>23219</v>
      </c>
      <c r="U26" s="170">
        <v>26327</v>
      </c>
      <c r="V26" s="169">
        <v>19441</v>
      </c>
      <c r="W26" s="169">
        <v>18310.310000000001</v>
      </c>
      <c r="X26" s="169">
        <v>22773.7</v>
      </c>
      <c r="Y26" s="170">
        <v>22695</v>
      </c>
      <c r="Z26" s="169">
        <v>17243</v>
      </c>
      <c r="AA26" s="169">
        <v>17309.689999999999</v>
      </c>
      <c r="AB26" s="169">
        <v>14889</v>
      </c>
      <c r="AC26" s="169">
        <v>14081.86</v>
      </c>
      <c r="AD26" s="169">
        <v>18248</v>
      </c>
      <c r="AE26" s="169">
        <v>19390</v>
      </c>
      <c r="AF26" s="169">
        <v>21529</v>
      </c>
      <c r="AG26" s="169">
        <v>25793</v>
      </c>
      <c r="AH26" s="169">
        <v>10539</v>
      </c>
      <c r="AI26" s="169">
        <v>21127</v>
      </c>
      <c r="AJ26" s="169">
        <v>22511</v>
      </c>
      <c r="AK26" s="169">
        <v>13608</v>
      </c>
      <c r="AL26" s="169">
        <v>20071</v>
      </c>
      <c r="AM26" s="169">
        <v>17743</v>
      </c>
      <c r="AN26" s="169">
        <v>15606</v>
      </c>
      <c r="AO26" s="169">
        <v>13830</v>
      </c>
      <c r="AP26" s="169">
        <v>14331</v>
      </c>
      <c r="AQ26" s="169">
        <v>12350</v>
      </c>
      <c r="AR26" s="169">
        <v>14462</v>
      </c>
      <c r="AS26" s="169">
        <v>13764</v>
      </c>
    </row>
    <row r="27" spans="1:45" ht="18" customHeight="1">
      <c r="A27" s="156" t="s">
        <v>60</v>
      </c>
      <c r="B27" s="168">
        <v>0</v>
      </c>
      <c r="C27" s="168">
        <v>0</v>
      </c>
      <c r="D27" s="168">
        <v>0</v>
      </c>
      <c r="E27" s="168">
        <v>0</v>
      </c>
      <c r="F27" s="168">
        <v>6875.58</v>
      </c>
      <c r="G27" s="169">
        <v>6502</v>
      </c>
      <c r="H27" s="168">
        <v>7483</v>
      </c>
      <c r="I27" s="169">
        <v>4991</v>
      </c>
      <c r="J27" s="168">
        <f>ROUNDUP(9570.44,1)</f>
        <v>9570.5</v>
      </c>
      <c r="K27" s="169">
        <v>9633.56</v>
      </c>
      <c r="L27" s="169">
        <v>4218</v>
      </c>
      <c r="M27" s="169">
        <v>11684.02</v>
      </c>
      <c r="N27" s="169">
        <v>15391</v>
      </c>
      <c r="O27" s="169">
        <v>6763</v>
      </c>
      <c r="P27" s="169">
        <v>11379</v>
      </c>
      <c r="Q27" s="169">
        <v>13451</v>
      </c>
      <c r="R27" s="169">
        <v>10315</v>
      </c>
      <c r="S27" s="169">
        <v>2518.52</v>
      </c>
      <c r="T27" s="169">
        <v>4756</v>
      </c>
      <c r="U27" s="170">
        <v>2799</v>
      </c>
      <c r="V27" s="169">
        <v>6032</v>
      </c>
      <c r="W27" s="169">
        <v>7320.66</v>
      </c>
      <c r="X27" s="169">
        <v>15213.44</v>
      </c>
      <c r="Y27" s="170">
        <v>3748</v>
      </c>
      <c r="Z27" s="169">
        <v>5943</v>
      </c>
      <c r="AA27" s="169">
        <v>656</v>
      </c>
      <c r="AB27" s="169">
        <v>1802</v>
      </c>
      <c r="AC27" s="169">
        <v>8690.24</v>
      </c>
      <c r="AD27" s="169">
        <v>3652</v>
      </c>
      <c r="AE27" s="169">
        <v>4577</v>
      </c>
      <c r="AF27" s="169">
        <v>9206</v>
      </c>
      <c r="AG27" s="169">
        <v>7619</v>
      </c>
      <c r="AH27" s="169">
        <v>7833</v>
      </c>
      <c r="AI27" s="169">
        <v>6256</v>
      </c>
      <c r="AJ27" s="169">
        <v>11164</v>
      </c>
      <c r="AK27" s="169">
        <v>16719</v>
      </c>
      <c r="AL27" s="169">
        <v>6238</v>
      </c>
      <c r="AM27" s="169">
        <v>12641</v>
      </c>
      <c r="AN27" s="169">
        <v>9886</v>
      </c>
      <c r="AO27" s="169">
        <v>7309</v>
      </c>
      <c r="AP27" s="169">
        <v>13813</v>
      </c>
      <c r="AQ27" s="169">
        <v>14012</v>
      </c>
      <c r="AR27" s="169">
        <v>8445</v>
      </c>
      <c r="AS27" s="169">
        <v>12524</v>
      </c>
    </row>
    <row r="28" spans="1:45" ht="18" customHeight="1">
      <c r="A28" s="156" t="s">
        <v>59</v>
      </c>
      <c r="B28" s="169">
        <v>33153</v>
      </c>
      <c r="C28" s="169">
        <v>37001</v>
      </c>
      <c r="D28" s="168">
        <v>0</v>
      </c>
      <c r="E28" s="168">
        <v>18631</v>
      </c>
      <c r="F28" s="169">
        <f>ROUNDUP(15300.43,1)</f>
        <v>15300.5</v>
      </c>
      <c r="G28" s="169">
        <v>27782</v>
      </c>
      <c r="H28" s="169">
        <v>53831</v>
      </c>
      <c r="I28" s="169">
        <v>31196</v>
      </c>
      <c r="J28" s="169">
        <v>16312.14</v>
      </c>
      <c r="K28" s="169">
        <v>27620.49</v>
      </c>
      <c r="L28" s="169">
        <v>14495</v>
      </c>
      <c r="M28" s="169">
        <v>26234.38</v>
      </c>
      <c r="N28" s="169">
        <v>19776</v>
      </c>
      <c r="O28" s="169">
        <v>22322</v>
      </c>
      <c r="P28" s="169">
        <v>13864</v>
      </c>
      <c r="Q28" s="169">
        <v>18355</v>
      </c>
      <c r="R28" s="169">
        <v>25000</v>
      </c>
      <c r="S28" s="169">
        <v>16100.43</v>
      </c>
      <c r="T28" s="169">
        <v>18455</v>
      </c>
      <c r="U28" s="170">
        <v>16724</v>
      </c>
      <c r="V28" s="169">
        <v>21011</v>
      </c>
      <c r="W28" s="169">
        <v>30921.45</v>
      </c>
      <c r="X28" s="169">
        <v>23546</v>
      </c>
      <c r="Y28" s="170">
        <v>15376</v>
      </c>
      <c r="Z28" s="169">
        <v>19288</v>
      </c>
      <c r="AA28" s="169">
        <v>24257.16</v>
      </c>
      <c r="AB28" s="169">
        <v>22156</v>
      </c>
      <c r="AC28" s="169">
        <v>25515.49</v>
      </c>
      <c r="AD28" s="169">
        <v>27225</v>
      </c>
      <c r="AE28" s="169">
        <v>18827</v>
      </c>
      <c r="AF28" s="169">
        <v>21025</v>
      </c>
      <c r="AG28" s="169">
        <v>23396</v>
      </c>
      <c r="AH28" s="169">
        <v>24252</v>
      </c>
      <c r="AI28" s="169">
        <v>15672</v>
      </c>
      <c r="AJ28" s="169">
        <v>22355</v>
      </c>
      <c r="AK28" s="169">
        <v>45839</v>
      </c>
      <c r="AL28" s="169">
        <v>46328</v>
      </c>
      <c r="AM28" s="169">
        <v>26172</v>
      </c>
      <c r="AN28" s="169">
        <v>10717</v>
      </c>
      <c r="AO28" s="169">
        <v>13316</v>
      </c>
      <c r="AP28" s="169">
        <v>9751</v>
      </c>
      <c r="AQ28" s="169">
        <v>14666</v>
      </c>
      <c r="AR28" s="169">
        <v>22727</v>
      </c>
      <c r="AS28" s="169">
        <v>17183</v>
      </c>
    </row>
    <row r="29" spans="1:45" ht="18" customHeight="1">
      <c r="A29" s="154" t="s">
        <v>58</v>
      </c>
      <c r="B29" s="169">
        <v>7197</v>
      </c>
      <c r="C29" s="169">
        <v>6935</v>
      </c>
      <c r="D29" s="168">
        <v>0</v>
      </c>
      <c r="E29" s="168">
        <v>7893</v>
      </c>
      <c r="F29" s="169">
        <v>8706.17</v>
      </c>
      <c r="G29" s="169">
        <v>5637</v>
      </c>
      <c r="H29" s="169">
        <v>3900</v>
      </c>
      <c r="I29" s="169">
        <v>16339</v>
      </c>
      <c r="J29" s="169">
        <v>16396.07</v>
      </c>
      <c r="K29" s="169">
        <v>12459.5</v>
      </c>
      <c r="L29" s="169">
        <v>8634</v>
      </c>
      <c r="M29" s="169">
        <v>2751</v>
      </c>
      <c r="N29" s="169">
        <v>3178</v>
      </c>
      <c r="O29" s="169">
        <v>5343</v>
      </c>
      <c r="P29" s="169">
        <v>3521</v>
      </c>
      <c r="Q29" s="169">
        <v>4323</v>
      </c>
      <c r="R29" s="169">
        <v>8374</v>
      </c>
      <c r="S29" s="169">
        <v>5353.63</v>
      </c>
      <c r="T29" s="169">
        <v>2189</v>
      </c>
      <c r="U29" s="170">
        <v>4084</v>
      </c>
      <c r="V29" s="169">
        <v>4846</v>
      </c>
      <c r="W29" s="169">
        <v>2200.98</v>
      </c>
      <c r="X29" s="169">
        <v>5362.46</v>
      </c>
      <c r="Y29" s="170">
        <v>5577</v>
      </c>
      <c r="Z29" s="169">
        <v>723</v>
      </c>
      <c r="AA29" s="168">
        <v>1838.08</v>
      </c>
      <c r="AB29" s="168">
        <v>3134</v>
      </c>
      <c r="AC29" s="168">
        <v>1895.68</v>
      </c>
      <c r="AD29" s="169">
        <v>6732</v>
      </c>
      <c r="AE29" s="168">
        <v>5324</v>
      </c>
      <c r="AF29" s="168">
        <v>4986</v>
      </c>
      <c r="AG29" s="168">
        <v>5014</v>
      </c>
      <c r="AH29" s="169">
        <v>5262</v>
      </c>
      <c r="AI29" s="168">
        <v>6193</v>
      </c>
      <c r="AJ29" s="168">
        <v>6505</v>
      </c>
      <c r="AK29" s="168">
        <v>5201</v>
      </c>
      <c r="AL29" s="169">
        <v>5160</v>
      </c>
      <c r="AM29" s="169">
        <v>10546</v>
      </c>
      <c r="AN29" s="169">
        <v>3911</v>
      </c>
      <c r="AO29" s="169">
        <v>8716</v>
      </c>
      <c r="AP29" s="169">
        <v>10264</v>
      </c>
      <c r="AQ29" s="169">
        <v>7428</v>
      </c>
      <c r="AR29" s="169">
        <v>7142</v>
      </c>
      <c r="AS29" s="169">
        <v>6595</v>
      </c>
    </row>
    <row r="30" spans="1:45" ht="18" customHeight="1">
      <c r="A30" s="154" t="s">
        <v>57</v>
      </c>
      <c r="B30" s="168">
        <v>0</v>
      </c>
      <c r="C30" s="168"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68">
        <v>0</v>
      </c>
      <c r="O30" s="168">
        <v>0</v>
      </c>
      <c r="P30" s="168">
        <v>0</v>
      </c>
      <c r="Q30" s="168">
        <v>0</v>
      </c>
      <c r="R30" s="168">
        <v>0</v>
      </c>
      <c r="S30" s="168">
        <v>0</v>
      </c>
      <c r="T30" s="168">
        <v>0</v>
      </c>
      <c r="U30" s="168">
        <v>0</v>
      </c>
      <c r="V30" s="168">
        <v>0</v>
      </c>
      <c r="W30" s="168">
        <v>0</v>
      </c>
      <c r="X30" s="168">
        <v>0</v>
      </c>
      <c r="Y30" s="168">
        <v>0</v>
      </c>
      <c r="Z30" s="168">
        <v>0</v>
      </c>
      <c r="AA30" s="168">
        <v>0</v>
      </c>
      <c r="AB30" s="168">
        <v>0</v>
      </c>
      <c r="AC30" s="168">
        <v>0</v>
      </c>
      <c r="AD30" s="168">
        <v>0</v>
      </c>
      <c r="AE30" s="168">
        <v>0</v>
      </c>
      <c r="AF30" s="168">
        <v>0</v>
      </c>
      <c r="AG30" s="168">
        <v>0</v>
      </c>
      <c r="AH30" s="168">
        <v>0</v>
      </c>
      <c r="AI30" s="168">
        <v>0</v>
      </c>
      <c r="AJ30" s="168">
        <v>0</v>
      </c>
      <c r="AK30" s="168">
        <v>0</v>
      </c>
      <c r="AL30" s="169">
        <v>0</v>
      </c>
      <c r="AM30" s="169">
        <v>0</v>
      </c>
      <c r="AN30" s="169">
        <v>0</v>
      </c>
      <c r="AO30" s="169">
        <v>0</v>
      </c>
      <c r="AP30" s="169">
        <v>0</v>
      </c>
      <c r="AQ30" s="169">
        <v>0</v>
      </c>
      <c r="AR30" s="169">
        <v>0</v>
      </c>
      <c r="AS30" s="169">
        <v>0</v>
      </c>
    </row>
    <row r="31" spans="1:45" ht="18" customHeight="1">
      <c r="A31" s="154" t="s">
        <v>56</v>
      </c>
      <c r="B31" s="168">
        <v>0</v>
      </c>
      <c r="C31" s="168">
        <v>0</v>
      </c>
      <c r="D31" s="168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  <c r="P31" s="168">
        <v>0</v>
      </c>
      <c r="Q31" s="168">
        <v>0</v>
      </c>
      <c r="R31" s="168">
        <v>0</v>
      </c>
      <c r="S31" s="168">
        <v>0</v>
      </c>
      <c r="T31" s="168">
        <v>0</v>
      </c>
      <c r="U31" s="168">
        <v>0</v>
      </c>
      <c r="V31" s="168">
        <v>0</v>
      </c>
      <c r="W31" s="168">
        <v>0</v>
      </c>
      <c r="X31" s="168">
        <v>0</v>
      </c>
      <c r="Y31" s="168">
        <v>0</v>
      </c>
      <c r="Z31" s="168">
        <v>0</v>
      </c>
      <c r="AA31" s="168">
        <v>0</v>
      </c>
      <c r="AB31" s="168">
        <v>0</v>
      </c>
      <c r="AC31" s="168">
        <v>0</v>
      </c>
      <c r="AD31" s="168">
        <v>0</v>
      </c>
      <c r="AE31" s="168">
        <v>0</v>
      </c>
      <c r="AF31" s="168">
        <v>0</v>
      </c>
      <c r="AG31" s="168">
        <v>0</v>
      </c>
      <c r="AH31" s="168">
        <v>0</v>
      </c>
      <c r="AI31" s="168">
        <v>0</v>
      </c>
      <c r="AJ31" s="168">
        <v>0</v>
      </c>
      <c r="AK31" s="168">
        <v>0</v>
      </c>
      <c r="AL31" s="169">
        <v>0</v>
      </c>
      <c r="AM31" s="168">
        <v>0</v>
      </c>
      <c r="AN31" s="168">
        <v>0</v>
      </c>
      <c r="AO31" s="168">
        <v>0</v>
      </c>
      <c r="AP31" s="169">
        <v>0</v>
      </c>
      <c r="AQ31" s="169">
        <v>0</v>
      </c>
      <c r="AR31" s="169">
        <v>0</v>
      </c>
      <c r="AS31" s="169">
        <v>469</v>
      </c>
    </row>
    <row r="32" spans="1:45" s="164" customFormat="1" ht="23.25" customHeight="1">
      <c r="A32" s="1171" t="s">
        <v>20</v>
      </c>
      <c r="B32" s="1171"/>
      <c r="C32" s="1171"/>
      <c r="D32" s="1171"/>
      <c r="E32" s="1171"/>
      <c r="F32" s="1171"/>
      <c r="G32" s="1171"/>
      <c r="H32" s="1171"/>
      <c r="I32" s="1171"/>
      <c r="J32" s="1171"/>
      <c r="K32" s="1171"/>
      <c r="L32" s="144"/>
      <c r="M32" s="167"/>
      <c r="N32" s="167"/>
      <c r="O32" s="167" t="s">
        <v>20</v>
      </c>
      <c r="P32" s="144"/>
      <c r="Q32" s="167"/>
      <c r="R32" s="167"/>
      <c r="S32" s="167"/>
      <c r="T32" s="144"/>
      <c r="U32" s="167"/>
      <c r="V32" s="167"/>
      <c r="W32" s="167"/>
      <c r="X32" s="144"/>
      <c r="Y32" s="167"/>
      <c r="Z32" s="167"/>
      <c r="AA32" s="166"/>
      <c r="AB32" s="166"/>
      <c r="AC32" s="166"/>
      <c r="AD32" s="165"/>
      <c r="AE32" s="165"/>
      <c r="AF32" s="165"/>
      <c r="AG32" s="165"/>
      <c r="AH32" s="165"/>
      <c r="AI32" s="165"/>
      <c r="AJ32" s="165"/>
      <c r="AK32" s="165"/>
      <c r="AL32" s="144"/>
      <c r="AM32" s="144"/>
      <c r="AN32" s="144"/>
      <c r="AO32" s="144"/>
      <c r="AP32" s="144"/>
      <c r="AQ32" s="144"/>
      <c r="AR32" s="144"/>
      <c r="AS32" s="144"/>
    </row>
    <row r="33" spans="1:45" ht="20.25" customHeight="1">
      <c r="A33" s="162" t="s">
        <v>37</v>
      </c>
      <c r="B33" s="163">
        <f>ROUNDUP(SUM(B35:B57),0)</f>
        <v>100</v>
      </c>
      <c r="C33" s="163">
        <f>ROUNDUP(SUM(C35:C57),0)</f>
        <v>100</v>
      </c>
      <c r="D33" s="163"/>
      <c r="E33" s="163">
        <f>ROUNDDOWN(SUM(E35:E57),1)</f>
        <v>100</v>
      </c>
      <c r="F33" s="163">
        <f>ROUNDUP(SUM(F35:F57),1)</f>
        <v>100</v>
      </c>
      <c r="G33" s="163">
        <f>ROUNDDOWN(SUM(G35:G57),1)</f>
        <v>100</v>
      </c>
      <c r="H33" s="163">
        <f>ROUNDDOWN(SUM(H35:H57),0)</f>
        <v>100</v>
      </c>
      <c r="I33" s="163">
        <f>ROUNDUP(SUM(I35:I57),0)</f>
        <v>100</v>
      </c>
      <c r="J33" s="163">
        <f>SUM(J35:J57)</f>
        <v>99.999980321968565</v>
      </c>
      <c r="K33" s="163">
        <f>ROUNDDOWN(SUM(K35:K57),1)</f>
        <v>100</v>
      </c>
      <c r="L33" s="163">
        <f t="shared" ref="L33:Y33" si="0">ROUNDDOWN(SUM(L35:L57),0)</f>
        <v>100</v>
      </c>
      <c r="M33" s="163">
        <f t="shared" si="0"/>
        <v>100</v>
      </c>
      <c r="N33" s="163">
        <f t="shared" si="0"/>
        <v>100</v>
      </c>
      <c r="O33" s="163">
        <f t="shared" si="0"/>
        <v>100</v>
      </c>
      <c r="P33" s="163">
        <f t="shared" si="0"/>
        <v>100</v>
      </c>
      <c r="Q33" s="163">
        <f t="shared" si="0"/>
        <v>100</v>
      </c>
      <c r="R33" s="163">
        <f t="shared" si="0"/>
        <v>100</v>
      </c>
      <c r="S33" s="163">
        <f t="shared" si="0"/>
        <v>100</v>
      </c>
      <c r="T33" s="163">
        <f t="shared" si="0"/>
        <v>100</v>
      </c>
      <c r="U33" s="163">
        <f t="shared" si="0"/>
        <v>100</v>
      </c>
      <c r="V33" s="163">
        <f t="shared" si="0"/>
        <v>100</v>
      </c>
      <c r="W33" s="163">
        <f t="shared" si="0"/>
        <v>100</v>
      </c>
      <c r="X33" s="163">
        <f t="shared" si="0"/>
        <v>100</v>
      </c>
      <c r="Y33" s="163">
        <f t="shared" si="0"/>
        <v>100</v>
      </c>
      <c r="Z33" s="163">
        <f>SUM(Z35:Z57)-0.09</f>
        <v>100.02345601382274</v>
      </c>
      <c r="AA33" s="163">
        <f t="shared" ref="AA33:AK33" si="1">ROUNDDOWN(SUM(AA35:AA57),0)</f>
        <v>100</v>
      </c>
      <c r="AB33" s="163">
        <f t="shared" si="1"/>
        <v>100</v>
      </c>
      <c r="AC33" s="163">
        <f t="shared" si="1"/>
        <v>100</v>
      </c>
      <c r="AD33" s="163">
        <f t="shared" si="1"/>
        <v>100</v>
      </c>
      <c r="AE33" s="163">
        <f t="shared" si="1"/>
        <v>100</v>
      </c>
      <c r="AF33" s="163">
        <f t="shared" si="1"/>
        <v>100</v>
      </c>
      <c r="AG33" s="163">
        <f t="shared" si="1"/>
        <v>100</v>
      </c>
      <c r="AH33" s="163">
        <v>100</v>
      </c>
      <c r="AI33" s="163">
        <v>100</v>
      </c>
      <c r="AJ33" s="163">
        <f t="shared" si="1"/>
        <v>100</v>
      </c>
      <c r="AK33" s="163">
        <f t="shared" si="1"/>
        <v>100</v>
      </c>
      <c r="AL33" s="163">
        <f t="shared" ref="AL33:AS33" si="2">ROUNDDOWN(SUM(AL35:AL57),0)</f>
        <v>100</v>
      </c>
      <c r="AM33" s="163">
        <f t="shared" si="2"/>
        <v>100</v>
      </c>
      <c r="AN33" s="163">
        <f t="shared" si="2"/>
        <v>100</v>
      </c>
      <c r="AO33" s="163">
        <f t="shared" si="2"/>
        <v>100</v>
      </c>
      <c r="AP33" s="163">
        <f>ROUNDDOWN(SUM(AP35:AP57),0)</f>
        <v>100</v>
      </c>
      <c r="AQ33" s="163">
        <f t="shared" si="2"/>
        <v>100</v>
      </c>
      <c r="AR33" s="163">
        <f t="shared" si="2"/>
        <v>100</v>
      </c>
      <c r="AS33" s="163">
        <f t="shared" si="2"/>
        <v>100</v>
      </c>
    </row>
    <row r="34" spans="1:45" ht="20.25" customHeight="1">
      <c r="A34" s="162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</row>
    <row r="35" spans="1:45" ht="17.25" customHeight="1">
      <c r="A35" s="160" t="s">
        <v>151</v>
      </c>
      <c r="B35" s="149">
        <f t="shared" ref="B35:B40" si="3">B8*100/$B$6</f>
        <v>27.986667614164361</v>
      </c>
      <c r="C35" s="149">
        <f t="shared" ref="C35:C40" si="4">C8*100/$C$6</f>
        <v>30.837561756351988</v>
      </c>
      <c r="D35" s="155" t="s">
        <v>146</v>
      </c>
      <c r="E35" s="149">
        <f t="shared" ref="E35:E40" si="5">SUM(E8*100/$E$6)</f>
        <v>41.529079643638411</v>
      </c>
      <c r="F35" s="149">
        <f t="shared" ref="F35:F40" si="6">F8/$F$6*100</f>
        <v>29.2014309186725</v>
      </c>
      <c r="G35" s="149">
        <f t="shared" ref="G35:G40" si="7">G8/$G$6*100</f>
        <v>32.532822753469681</v>
      </c>
      <c r="H35" s="149">
        <f t="shared" ref="H35:H40" si="8">H8/$H$6*100</f>
        <v>38.656191113660995</v>
      </c>
      <c r="I35" s="149">
        <f t="shared" ref="I35:I40" si="9">I8/$I$6*100</f>
        <v>39.968981235275955</v>
      </c>
      <c r="J35" s="149">
        <f t="shared" ref="J35:J40" si="10">J8/$J$6*100</f>
        <v>30.702003932688516</v>
      </c>
      <c r="K35" s="149">
        <f>K8/$K$6*100</f>
        <v>39.03656179832516</v>
      </c>
      <c r="L35" s="149">
        <f t="shared" ref="L35:AK35" si="11">L8/L$6*100</f>
        <v>37.31430727053413</v>
      </c>
      <c r="M35" s="149">
        <f t="shared" si="11"/>
        <v>35.697145299483459</v>
      </c>
      <c r="N35" s="149">
        <f t="shared" si="11"/>
        <v>32.165365931856257</v>
      </c>
      <c r="O35" s="149">
        <f t="shared" si="11"/>
        <v>31.742835970846539</v>
      </c>
      <c r="P35" s="149">
        <f t="shared" si="11"/>
        <v>38.854803680452314</v>
      </c>
      <c r="Q35" s="149">
        <f t="shared" si="11"/>
        <v>41.434603087856978</v>
      </c>
      <c r="R35" s="149">
        <f t="shared" si="11"/>
        <v>33.89509361930422</v>
      </c>
      <c r="S35" s="149">
        <f t="shared" si="11"/>
        <v>39.974801567208146</v>
      </c>
      <c r="T35" s="149">
        <f t="shared" si="11"/>
        <v>41.267232962034107</v>
      </c>
      <c r="U35" s="149">
        <f t="shared" si="11"/>
        <v>39.009588048202403</v>
      </c>
      <c r="V35" s="149">
        <f t="shared" si="11"/>
        <v>37.130772888998486</v>
      </c>
      <c r="W35" s="149">
        <f t="shared" si="11"/>
        <v>37.897832575243797</v>
      </c>
      <c r="X35" s="149">
        <f t="shared" si="11"/>
        <v>42.878781834823236</v>
      </c>
      <c r="Y35" s="149">
        <f t="shared" si="11"/>
        <v>41.705541487943229</v>
      </c>
      <c r="Z35" s="149">
        <f t="shared" si="11"/>
        <v>34.671838738830921</v>
      </c>
      <c r="AA35" s="149">
        <f t="shared" si="11"/>
        <v>35.96899499297281</v>
      </c>
      <c r="AB35" s="149">
        <f t="shared" si="11"/>
        <v>37.593706242280255</v>
      </c>
      <c r="AC35" s="149">
        <f t="shared" si="11"/>
        <v>37.572264760152585</v>
      </c>
      <c r="AD35" s="149">
        <f t="shared" si="11"/>
        <v>31.35643681310513</v>
      </c>
      <c r="AE35" s="149">
        <f t="shared" si="11"/>
        <v>38.384971326873639</v>
      </c>
      <c r="AF35" s="149">
        <f t="shared" si="11"/>
        <v>40.176393374707743</v>
      </c>
      <c r="AG35" s="149">
        <f t="shared" si="11"/>
        <v>38.635913203241756</v>
      </c>
      <c r="AH35" s="149">
        <f t="shared" si="11"/>
        <v>36.677159851758148</v>
      </c>
      <c r="AI35" s="149">
        <f t="shared" si="11"/>
        <v>37.173715359638628</v>
      </c>
      <c r="AJ35" s="149">
        <f t="shared" si="11"/>
        <v>40.128372509541769</v>
      </c>
      <c r="AK35" s="149">
        <f t="shared" si="11"/>
        <v>37.593313492958885</v>
      </c>
      <c r="AL35" s="149">
        <f t="shared" ref="AL35:AO35" si="12">AL8/AL$6*100</f>
        <v>30.711201527507892</v>
      </c>
      <c r="AM35" s="149">
        <f t="shared" si="12"/>
        <v>28.52637915796754</v>
      </c>
      <c r="AN35" s="149">
        <f t="shared" si="12"/>
        <v>33.180657949884228</v>
      </c>
      <c r="AO35" s="149">
        <f t="shared" si="12"/>
        <v>36.675378759123298</v>
      </c>
      <c r="AP35" s="149">
        <f t="shared" ref="AP35:AS35" si="13">AP8/AP$6*100</f>
        <v>29.735341939780984</v>
      </c>
      <c r="AQ35" s="149">
        <f t="shared" si="13"/>
        <v>40.38336666369797</v>
      </c>
      <c r="AR35" s="149">
        <f t="shared" si="13"/>
        <v>41.814556191814674</v>
      </c>
      <c r="AS35" s="149">
        <f t="shared" si="13"/>
        <v>45.751246468740511</v>
      </c>
    </row>
    <row r="36" spans="1:45" ht="17.25" customHeight="1">
      <c r="A36" s="160" t="s">
        <v>77</v>
      </c>
      <c r="B36" s="149">
        <f t="shared" si="3"/>
        <v>0.41913107172921976</v>
      </c>
      <c r="C36" s="149">
        <f t="shared" si="4"/>
        <v>9.6726011548337626E-2</v>
      </c>
      <c r="D36" s="155" t="s">
        <v>146</v>
      </c>
      <c r="E36" s="149">
        <f t="shared" si="5"/>
        <v>0</v>
      </c>
      <c r="F36" s="149">
        <f t="shared" si="6"/>
        <v>2.3147702574421135E-2</v>
      </c>
      <c r="G36" s="149">
        <f t="shared" si="7"/>
        <v>0.17662139841806346</v>
      </c>
      <c r="H36" s="149">
        <f t="shared" si="8"/>
        <v>0.10798240581373113</v>
      </c>
      <c r="I36" s="149">
        <f t="shared" si="9"/>
        <v>0</v>
      </c>
      <c r="J36" s="149">
        <f t="shared" si="10"/>
        <v>0.31035919769680181</v>
      </c>
      <c r="K36" s="149">
        <f>K9/$K$6*100</f>
        <v>7.6789920037002704E-2</v>
      </c>
      <c r="L36" s="149">
        <f t="shared" ref="L36:AK36" si="14">L9/L$6*100</f>
        <v>0.12306883063795858</v>
      </c>
      <c r="M36" s="149">
        <f t="shared" si="14"/>
        <v>0.74760946428534636</v>
      </c>
      <c r="N36" s="149">
        <f t="shared" si="14"/>
        <v>0.11341103818659408</v>
      </c>
      <c r="O36" s="149">
        <f t="shared" si="14"/>
        <v>3.2623538348969333E-2</v>
      </c>
      <c r="P36" s="149">
        <f t="shared" si="14"/>
        <v>0.37665996076484792</v>
      </c>
      <c r="Q36" s="149">
        <f t="shared" si="14"/>
        <v>0.13228096199299119</v>
      </c>
      <c r="R36" s="149">
        <f t="shared" si="14"/>
        <v>4.8313904030209527E-2</v>
      </c>
      <c r="S36" s="149">
        <f t="shared" si="14"/>
        <v>6.3617261835331562E-2</v>
      </c>
      <c r="T36" s="149">
        <f t="shared" si="14"/>
        <v>0.14233295093213849</v>
      </c>
      <c r="U36" s="149">
        <f t="shared" si="14"/>
        <v>0.44803468694995335</v>
      </c>
      <c r="V36" s="149">
        <f t="shared" si="14"/>
        <v>0.67159556604549031</v>
      </c>
      <c r="W36" s="149">
        <f t="shared" si="14"/>
        <v>4.7274385538224079E-2</v>
      </c>
      <c r="X36" s="149">
        <f t="shared" si="14"/>
        <v>7.622095931825143E-2</v>
      </c>
      <c r="Y36" s="149">
        <f t="shared" si="14"/>
        <v>0.37288167303127184</v>
      </c>
      <c r="Z36" s="149">
        <f t="shared" si="14"/>
        <v>7.5846990608564702E-2</v>
      </c>
      <c r="AA36" s="149">
        <f t="shared" si="14"/>
        <v>1.8860006147768723E-2</v>
      </c>
      <c r="AB36" s="149">
        <f t="shared" si="14"/>
        <v>1.5308166907044909E-2</v>
      </c>
      <c r="AC36" s="149">
        <f t="shared" si="14"/>
        <v>0.11735261015048376</v>
      </c>
      <c r="AD36" s="149">
        <f t="shared" si="14"/>
        <v>0.58201997815918405</v>
      </c>
      <c r="AE36" s="149">
        <f t="shared" si="14"/>
        <v>0.44002372948388369</v>
      </c>
      <c r="AF36" s="149">
        <f t="shared" si="14"/>
        <v>0.37395630492093002</v>
      </c>
      <c r="AG36" s="149">
        <f t="shared" si="14"/>
        <v>0</v>
      </c>
      <c r="AH36" s="149">
        <f t="shared" si="14"/>
        <v>0.19177293308248905</v>
      </c>
      <c r="AI36" s="149">
        <f t="shared" si="14"/>
        <v>0.70903413758663336</v>
      </c>
      <c r="AJ36" s="149">
        <f t="shared" si="14"/>
        <v>0</v>
      </c>
      <c r="AK36" s="149">
        <f t="shared" si="14"/>
        <v>0</v>
      </c>
      <c r="AL36" s="149">
        <f t="shared" ref="AL36:AO36" si="15">AL9/AL$6*100</f>
        <v>0</v>
      </c>
      <c r="AM36" s="149">
        <f t="shared" si="15"/>
        <v>0</v>
      </c>
      <c r="AN36" s="149">
        <f t="shared" si="15"/>
        <v>0</v>
      </c>
      <c r="AO36" s="149">
        <f t="shared" si="15"/>
        <v>0</v>
      </c>
      <c r="AP36" s="149">
        <f t="shared" ref="AP36:AS36" si="16">AP9/AP$6*100</f>
        <v>0</v>
      </c>
      <c r="AQ36" s="149">
        <f t="shared" si="16"/>
        <v>0</v>
      </c>
      <c r="AR36" s="149">
        <f t="shared" si="16"/>
        <v>8.4774223672096707E-2</v>
      </c>
      <c r="AS36" s="149">
        <f t="shared" si="16"/>
        <v>3.6434954701185136E-2</v>
      </c>
    </row>
    <row r="37" spans="1:45" ht="17.25" customHeight="1">
      <c r="A37" s="160" t="s">
        <v>76</v>
      </c>
      <c r="B37" s="149">
        <f t="shared" si="3"/>
        <v>19.098957023691085</v>
      </c>
      <c r="C37" s="149">
        <f t="shared" si="4"/>
        <v>19.908858446024482</v>
      </c>
      <c r="D37" s="155" t="s">
        <v>146</v>
      </c>
      <c r="E37" s="149">
        <f t="shared" si="5"/>
        <v>18.815112499863318</v>
      </c>
      <c r="F37" s="149">
        <f t="shared" si="6"/>
        <v>21.323788797899528</v>
      </c>
      <c r="G37" s="149">
        <f t="shared" si="7"/>
        <v>20.175050246890486</v>
      </c>
      <c r="H37" s="149">
        <f t="shared" si="8"/>
        <v>18.171224580863136</v>
      </c>
      <c r="I37" s="149">
        <f t="shared" si="9"/>
        <v>17.998588120038612</v>
      </c>
      <c r="J37" s="149">
        <f t="shared" si="10"/>
        <v>17.762253620443953</v>
      </c>
      <c r="K37" s="149">
        <f>ROUNDUP(K10/$K$6*100,1)</f>
        <v>16.5</v>
      </c>
      <c r="L37" s="149">
        <f t="shared" ref="L37:AJ37" si="17">L10/L$6*100</f>
        <v>18.018012848074036</v>
      </c>
      <c r="M37" s="149">
        <f t="shared" si="17"/>
        <v>13.952397449338678</v>
      </c>
      <c r="N37" s="149">
        <f t="shared" si="17"/>
        <v>20.55905987903266</v>
      </c>
      <c r="O37" s="149">
        <f t="shared" si="17"/>
        <v>18.509996451357971</v>
      </c>
      <c r="P37" s="149">
        <f t="shared" si="17"/>
        <v>18.198521367403817</v>
      </c>
      <c r="Q37" s="149">
        <f t="shared" si="17"/>
        <v>16.742891393615508</v>
      </c>
      <c r="R37" s="149">
        <f t="shared" si="17"/>
        <v>19.563351977165013</v>
      </c>
      <c r="S37" s="149">
        <f t="shared" si="17"/>
        <v>16.15984151383191</v>
      </c>
      <c r="T37" s="149">
        <f t="shared" si="17"/>
        <v>17.215526247619479</v>
      </c>
      <c r="U37" s="149">
        <f t="shared" si="17"/>
        <v>17.03703788948015</v>
      </c>
      <c r="V37" s="149">
        <f t="shared" si="17"/>
        <v>17.049250830779346</v>
      </c>
      <c r="W37" s="149">
        <f t="shared" si="17"/>
        <v>17.651086854844365</v>
      </c>
      <c r="X37" s="149">
        <f t="shared" si="17"/>
        <v>15.38581952151562</v>
      </c>
      <c r="Y37" s="149">
        <f t="shared" si="17"/>
        <v>17.199113200745188</v>
      </c>
      <c r="Z37" s="149">
        <f t="shared" si="17"/>
        <v>16.865136864371362</v>
      </c>
      <c r="AA37" s="149">
        <f t="shared" si="17"/>
        <v>16.986651729167093</v>
      </c>
      <c r="AB37" s="149">
        <f t="shared" si="17"/>
        <v>17.097946754593575</v>
      </c>
      <c r="AC37" s="149">
        <f t="shared" si="17"/>
        <v>17.149180407466837</v>
      </c>
      <c r="AD37" s="149">
        <f t="shared" si="17"/>
        <v>16.918757468104616</v>
      </c>
      <c r="AE37" s="149">
        <f t="shared" si="17"/>
        <v>13.325766264583747</v>
      </c>
      <c r="AF37" s="149">
        <f t="shared" si="17"/>
        <v>14.644308129417821</v>
      </c>
      <c r="AG37" s="149">
        <f t="shared" si="17"/>
        <v>17.986062381822173</v>
      </c>
      <c r="AH37" s="149">
        <f t="shared" si="17"/>
        <v>17.974809885162713</v>
      </c>
      <c r="AI37" s="149">
        <f t="shared" si="17"/>
        <v>18.289025020178851</v>
      </c>
      <c r="AJ37" s="149">
        <f t="shared" si="17"/>
        <v>18.236805197063266</v>
      </c>
      <c r="AK37" s="149">
        <f>AK10/AK$6*100+0.02</f>
        <v>17.763755151094824</v>
      </c>
      <c r="AL37" s="149">
        <f t="shared" ref="AL37:AO37" si="18">AL10/AL$6*100+0.02</f>
        <v>19.572489505139124</v>
      </c>
      <c r="AM37" s="149">
        <f t="shared" si="18"/>
        <v>22.304016241210149</v>
      </c>
      <c r="AN37" s="149">
        <f t="shared" si="18"/>
        <v>22.613237050218835</v>
      </c>
      <c r="AO37" s="149">
        <f t="shared" si="18"/>
        <v>20.746576831729257</v>
      </c>
      <c r="AP37" s="149">
        <f t="shared" ref="AP37:AS37" si="19">AP10/AP$6*100+0.02</f>
        <v>21.567878336719993</v>
      </c>
      <c r="AQ37" s="149">
        <f t="shared" si="19"/>
        <v>18.327438203884672</v>
      </c>
      <c r="AR37" s="149">
        <f t="shared" si="19"/>
        <v>15.458836522255755</v>
      </c>
      <c r="AS37" s="149">
        <f t="shared" si="19"/>
        <v>12.883319944167697</v>
      </c>
    </row>
    <row r="38" spans="1:45" ht="17.25" customHeight="1">
      <c r="A38" s="160" t="s">
        <v>75</v>
      </c>
      <c r="B38" s="149">
        <f t="shared" si="3"/>
        <v>0.37710863789917898</v>
      </c>
      <c r="C38" s="149">
        <f t="shared" si="4"/>
        <v>0.10420758150235268</v>
      </c>
      <c r="D38" s="155" t="s">
        <v>146</v>
      </c>
      <c r="E38" s="149">
        <f t="shared" si="5"/>
        <v>0.18434270505231512</v>
      </c>
      <c r="F38" s="149">
        <f t="shared" si="6"/>
        <v>0.11389603024967336</v>
      </c>
      <c r="G38" s="149">
        <f t="shared" si="7"/>
        <v>0.39624974119273038</v>
      </c>
      <c r="H38" s="149">
        <f t="shared" si="8"/>
        <v>0.49550583285523042</v>
      </c>
      <c r="I38" s="149">
        <f t="shared" si="9"/>
        <v>5.3869421774396117E-2</v>
      </c>
      <c r="J38" s="149">
        <f t="shared" si="10"/>
        <v>0.21362470933766359</v>
      </c>
      <c r="K38" s="149">
        <f>K11/$K$6*100</f>
        <v>2.5853325130789251E-2</v>
      </c>
      <c r="L38" s="149">
        <f t="shared" ref="L38:AJ38" si="20">L11/L$6*100</f>
        <v>4.6408114543659999E-2</v>
      </c>
      <c r="M38" s="149">
        <f t="shared" si="20"/>
        <v>0.19859791853322814</v>
      </c>
      <c r="N38" s="149">
        <f t="shared" si="20"/>
        <v>0.14334357025930219</v>
      </c>
      <c r="O38" s="149">
        <f t="shared" si="20"/>
        <v>7.8163334738142839E-2</v>
      </c>
      <c r="P38" s="149">
        <f t="shared" si="20"/>
        <v>0.28307324520219607</v>
      </c>
      <c r="Q38" s="149">
        <f t="shared" si="20"/>
        <v>0.18938654625174559</v>
      </c>
      <c r="R38" s="149">
        <f t="shared" si="20"/>
        <v>0.33360306126380873</v>
      </c>
      <c r="S38" s="149">
        <f t="shared" si="20"/>
        <v>0.36385753177032598</v>
      </c>
      <c r="T38" s="149">
        <f t="shared" si="20"/>
        <v>0.34181258166353062</v>
      </c>
      <c r="U38" s="149">
        <f t="shared" si="20"/>
        <v>0.52851996005473545</v>
      </c>
      <c r="V38" s="149">
        <f t="shared" si="20"/>
        <v>0.56606016838693762</v>
      </c>
      <c r="W38" s="149">
        <f t="shared" si="20"/>
        <v>0.29868557213348612</v>
      </c>
      <c r="X38" s="149">
        <f t="shared" si="20"/>
        <v>0.28970288413224066</v>
      </c>
      <c r="Y38" s="149">
        <f t="shared" si="20"/>
        <v>0.40317561057395135</v>
      </c>
      <c r="Z38" s="149">
        <f t="shared" si="20"/>
        <v>0.19442137963410661</v>
      </c>
      <c r="AA38" s="149">
        <f t="shared" si="20"/>
        <v>0.47074840758824538</v>
      </c>
      <c r="AB38" s="149">
        <f t="shared" si="20"/>
        <v>0.44821412223421198</v>
      </c>
      <c r="AC38" s="149">
        <f t="shared" si="20"/>
        <v>0.39256069122165471</v>
      </c>
      <c r="AD38" s="149">
        <f t="shared" si="20"/>
        <v>0.24396143223681938</v>
      </c>
      <c r="AE38" s="149">
        <f t="shared" si="20"/>
        <v>0.17892030848329049</v>
      </c>
      <c r="AF38" s="149">
        <f t="shared" si="20"/>
        <v>0.24856965936995232</v>
      </c>
      <c r="AG38" s="149">
        <f t="shared" si="20"/>
        <v>0.62342031017207389</v>
      </c>
      <c r="AH38" s="149">
        <f t="shared" si="20"/>
        <v>0.50519347955850979</v>
      </c>
      <c r="AI38" s="149">
        <f t="shared" si="20"/>
        <v>0.23767533246204339</v>
      </c>
      <c r="AJ38" s="149">
        <f t="shared" si="20"/>
        <v>0.13986648828175788</v>
      </c>
      <c r="AK38" s="149">
        <f>AK11/AK$6*100</f>
        <v>0.34392093618699038</v>
      </c>
      <c r="AL38" s="149">
        <f t="shared" ref="AL38:AO38" si="21">AL11/AL$6*100</f>
        <v>0.46666345761646955</v>
      </c>
      <c r="AM38" s="149">
        <f t="shared" si="21"/>
        <v>0.64196329076633407</v>
      </c>
      <c r="AN38" s="149">
        <f t="shared" si="21"/>
        <v>0.17632246140315919</v>
      </c>
      <c r="AO38" s="149">
        <f t="shared" si="21"/>
        <v>0.2430932405229925</v>
      </c>
      <c r="AP38" s="149">
        <f t="shared" ref="AP38:AS38" si="22">AP11/AP$6*100</f>
        <v>0.13080636917493149</v>
      </c>
      <c r="AQ38" s="149">
        <f t="shared" si="22"/>
        <v>0.25730501736687422</v>
      </c>
      <c r="AR38" s="149">
        <f t="shared" si="22"/>
        <v>0.23795729023421111</v>
      </c>
      <c r="AS38" s="149">
        <f t="shared" si="22"/>
        <v>0.36702094898586901</v>
      </c>
    </row>
    <row r="39" spans="1:45" ht="17.25" customHeight="1">
      <c r="A39" s="160" t="s">
        <v>74</v>
      </c>
      <c r="B39" s="149">
        <f t="shared" si="3"/>
        <v>0</v>
      </c>
      <c r="C39" s="149">
        <f t="shared" si="4"/>
        <v>0</v>
      </c>
      <c r="D39" s="155" t="s">
        <v>146</v>
      </c>
      <c r="E39" s="149">
        <f t="shared" si="5"/>
        <v>0</v>
      </c>
      <c r="F39" s="149">
        <f t="shared" si="6"/>
        <v>0.10540302316708984</v>
      </c>
      <c r="G39" s="149">
        <f t="shared" si="7"/>
        <v>0.16071016049046558</v>
      </c>
      <c r="H39" s="149">
        <f t="shared" si="8"/>
        <v>0.14680946006247211</v>
      </c>
      <c r="I39" s="149">
        <f t="shared" si="9"/>
        <v>0.1404363297886001</v>
      </c>
      <c r="J39" s="149">
        <f t="shared" si="10"/>
        <v>0.25254174855526779</v>
      </c>
      <c r="K39" s="149">
        <f>K12/$K$6*100</f>
        <v>0.41318796031542826</v>
      </c>
      <c r="L39" s="149">
        <f t="shared" ref="L39:AJ39" si="23">L12/L$6*100</f>
        <v>0.18837702408851237</v>
      </c>
      <c r="M39" s="149">
        <f t="shared" si="23"/>
        <v>0.4871434902339043</v>
      </c>
      <c r="N39" s="149">
        <f t="shared" si="23"/>
        <v>0.36703935994934084</v>
      </c>
      <c r="O39" s="149">
        <f t="shared" si="23"/>
        <v>0</v>
      </c>
      <c r="P39" s="149">
        <f t="shared" si="23"/>
        <v>0.54570370083259045</v>
      </c>
      <c r="Q39" s="149">
        <f t="shared" si="23"/>
        <v>8.0652980634470114E-2</v>
      </c>
      <c r="R39" s="149">
        <f t="shared" si="23"/>
        <v>0.26039119442048508</v>
      </c>
      <c r="S39" s="149">
        <f t="shared" si="23"/>
        <v>0.193900433184925</v>
      </c>
      <c r="T39" s="149">
        <f t="shared" si="23"/>
        <v>0.15742024373094518</v>
      </c>
      <c r="U39" s="149">
        <f t="shared" si="23"/>
        <v>0.34728689333545865</v>
      </c>
      <c r="V39" s="149">
        <f t="shared" si="23"/>
        <v>0.18303566186399878</v>
      </c>
      <c r="W39" s="149">
        <f t="shared" si="23"/>
        <v>7.0294777951872028E-2</v>
      </c>
      <c r="X39" s="149">
        <f t="shared" si="23"/>
        <v>0.50712844597059914</v>
      </c>
      <c r="Y39" s="149">
        <f t="shared" si="23"/>
        <v>0.50837688536586945</v>
      </c>
      <c r="Z39" s="149">
        <f t="shared" si="23"/>
        <v>0.26362882935520687</v>
      </c>
      <c r="AA39" s="149">
        <f t="shared" si="23"/>
        <v>0.65918844004025823</v>
      </c>
      <c r="AB39" s="149">
        <f t="shared" si="23"/>
        <v>0.46794965113888265</v>
      </c>
      <c r="AC39" s="149">
        <f t="shared" si="23"/>
        <v>0.86815414785105893</v>
      </c>
      <c r="AD39" s="149">
        <f t="shared" si="23"/>
        <v>0.20587259202593258</v>
      </c>
      <c r="AE39" s="149">
        <f t="shared" si="23"/>
        <v>0.26877595412299782</v>
      </c>
      <c r="AF39" s="149">
        <f t="shared" si="23"/>
        <v>0.69781671513432242</v>
      </c>
      <c r="AG39" s="149">
        <f t="shared" si="23"/>
        <v>0.25818339591513156</v>
      </c>
      <c r="AH39" s="149">
        <f t="shared" si="23"/>
        <v>0.18530231534879057</v>
      </c>
      <c r="AI39" s="149">
        <f t="shared" si="23"/>
        <v>9.8279588263612827E-2</v>
      </c>
      <c r="AJ39" s="149">
        <f t="shared" si="23"/>
        <v>0.35120490594401799</v>
      </c>
      <c r="AK39" s="149">
        <f>AK12/AK$6*100</f>
        <v>0.4975136194749189</v>
      </c>
      <c r="AL39" s="149">
        <f t="shared" ref="AL39:AO39" si="24">AL12/AL$6*100</f>
        <v>2.2210005311822566E-2</v>
      </c>
      <c r="AM39" s="149">
        <f t="shared" si="24"/>
        <v>5.6272121390664294E-2</v>
      </c>
      <c r="AN39" s="149">
        <f t="shared" si="24"/>
        <v>0.28823096954164751</v>
      </c>
      <c r="AO39" s="149">
        <f t="shared" si="24"/>
        <v>0.8712648606802107</v>
      </c>
      <c r="AP39" s="149">
        <f t="shared" ref="AP39:AS39" si="25">AP12/AP$6*100</f>
        <v>0.19447318602998662</v>
      </c>
      <c r="AQ39" s="149">
        <f t="shared" si="25"/>
        <v>0.27681744945794301</v>
      </c>
      <c r="AR39" s="149">
        <f t="shared" si="25"/>
        <v>5.7395174306817544E-2</v>
      </c>
      <c r="AS39" s="149">
        <f t="shared" si="25"/>
        <v>9.906448986982111E-2</v>
      </c>
    </row>
    <row r="40" spans="1:45" ht="17.25" customHeight="1">
      <c r="A40" s="160" t="s">
        <v>73</v>
      </c>
      <c r="B40" s="149">
        <f t="shared" si="3"/>
        <v>7.6730914298833488</v>
      </c>
      <c r="C40" s="149">
        <f t="shared" si="4"/>
        <v>7.7464308903335448</v>
      </c>
      <c r="D40" s="155" t="s">
        <v>146</v>
      </c>
      <c r="E40" s="149">
        <f t="shared" si="5"/>
        <v>4.6306938965583999</v>
      </c>
      <c r="F40" s="149">
        <f t="shared" si="6"/>
        <v>9.0627247278339507</v>
      </c>
      <c r="G40" s="149">
        <f t="shared" si="7"/>
        <v>8.8109645072875473</v>
      </c>
      <c r="H40" s="149">
        <f t="shared" si="8"/>
        <v>5.1787467329636003</v>
      </c>
      <c r="I40" s="149">
        <f t="shared" si="9"/>
        <v>5.0233862193249665</v>
      </c>
      <c r="J40" s="149">
        <f t="shared" si="10"/>
        <v>6.7721585575704388</v>
      </c>
      <c r="K40" s="149">
        <f>K13/$K$6*100</f>
        <v>7.0444272463989046</v>
      </c>
      <c r="L40" s="149">
        <f t="shared" ref="L40:AJ40" si="26">L13/L$6*100</f>
        <v>7.977018452171988</v>
      </c>
      <c r="M40" s="149">
        <f t="shared" si="26"/>
        <v>6.1207198948228205</v>
      </c>
      <c r="N40" s="149">
        <f t="shared" si="26"/>
        <v>7.4526683522008055</v>
      </c>
      <c r="O40" s="149">
        <f t="shared" si="26"/>
        <v>8.3892427544120007</v>
      </c>
      <c r="P40" s="149">
        <f t="shared" si="26"/>
        <v>5.7256065006820522</v>
      </c>
      <c r="Q40" s="149">
        <f t="shared" si="26"/>
        <v>6.0837909545258224</v>
      </c>
      <c r="R40" s="149">
        <f t="shared" si="26"/>
        <v>5.9904794932671752</v>
      </c>
      <c r="S40" s="149">
        <f t="shared" si="26"/>
        <v>6.170130127232305</v>
      </c>
      <c r="T40" s="149">
        <f t="shared" si="26"/>
        <v>5.6523973138925498</v>
      </c>
      <c r="U40" s="149">
        <f t="shared" si="26"/>
        <v>5.9584518499571795</v>
      </c>
      <c r="V40" s="149">
        <f t="shared" si="26"/>
        <v>7.7079003299632465</v>
      </c>
      <c r="W40" s="149">
        <f t="shared" si="26"/>
        <v>8.3269005343654268</v>
      </c>
      <c r="X40" s="149">
        <f t="shared" si="26"/>
        <v>5.1880147981539269</v>
      </c>
      <c r="Y40" s="149">
        <f t="shared" si="26"/>
        <v>4.824363521493944</v>
      </c>
      <c r="Z40" s="149">
        <f t="shared" si="26"/>
        <v>10.241687099528281</v>
      </c>
      <c r="AA40" s="149">
        <f t="shared" si="26"/>
        <v>9.6075181979738744</v>
      </c>
      <c r="AB40" s="149">
        <f t="shared" si="26"/>
        <v>6.286478836459251</v>
      </c>
      <c r="AC40" s="149">
        <f t="shared" si="26"/>
        <v>6.3865134399927417</v>
      </c>
      <c r="AD40" s="149">
        <f t="shared" si="26"/>
        <v>9.1757944616897795</v>
      </c>
      <c r="AE40" s="149">
        <f t="shared" si="26"/>
        <v>6.1661854854656912</v>
      </c>
      <c r="AF40" s="149">
        <f t="shared" si="26"/>
        <v>6.485508550458392</v>
      </c>
      <c r="AG40" s="149">
        <f t="shared" si="26"/>
        <v>6.4924630190928685</v>
      </c>
      <c r="AH40" s="149">
        <f t="shared" si="26"/>
        <v>8.2742215442452753</v>
      </c>
      <c r="AI40" s="149">
        <f t="shared" si="26"/>
        <v>6.9627615366744138</v>
      </c>
      <c r="AJ40" s="149">
        <f t="shared" si="26"/>
        <v>5.8454652253289137</v>
      </c>
      <c r="AK40" s="149">
        <f>AK13/AK$6*100</f>
        <v>6.0808451714498117</v>
      </c>
      <c r="AL40" s="149">
        <f t="shared" ref="AL40:AO40" si="27">AL13/AL$6*100</f>
        <v>7.1466392377323498</v>
      </c>
      <c r="AM40" s="149">
        <f t="shared" si="27"/>
        <v>7.4473035919374597</v>
      </c>
      <c r="AN40" s="149">
        <f t="shared" si="27"/>
        <v>4.5787155685948484</v>
      </c>
      <c r="AO40" s="149">
        <f t="shared" si="27"/>
        <v>5.2727207506025193</v>
      </c>
      <c r="AP40" s="149">
        <f t="shared" ref="AP40:AS40" si="28">AP13/AP$6*100</f>
        <v>8.4334935540687113</v>
      </c>
      <c r="AQ40" s="149">
        <f t="shared" si="28"/>
        <v>8.0691598319178048</v>
      </c>
      <c r="AR40" s="149">
        <f t="shared" si="28"/>
        <v>7.4346916599382462</v>
      </c>
      <c r="AS40" s="149">
        <f t="shared" si="28"/>
        <v>4.7727564490240848</v>
      </c>
    </row>
    <row r="41" spans="1:45" ht="17.25" customHeight="1">
      <c r="A41" s="160" t="s">
        <v>150</v>
      </c>
      <c r="B41" s="149"/>
      <c r="C41" s="149"/>
      <c r="D41" s="155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</row>
    <row r="42" spans="1:45" ht="17.25" customHeight="1">
      <c r="A42" s="159" t="s">
        <v>149</v>
      </c>
      <c r="B42" s="149">
        <f t="shared" ref="B42:B49" si="29">B15*100/$B$6</f>
        <v>18.664451890804536</v>
      </c>
      <c r="C42" s="149">
        <f t="shared" ref="C42:C49" si="30">C15*100/$C$6</f>
        <v>18.519424025993111</v>
      </c>
      <c r="D42" s="155" t="s">
        <v>146</v>
      </c>
      <c r="E42" s="149">
        <f>SUM(E15*100/$E$6)</f>
        <v>16.284484660512906</v>
      </c>
      <c r="F42" s="149">
        <f t="shared" ref="F42:F49" si="31">F15/$F$6*100</f>
        <v>16.488856822967264</v>
      </c>
      <c r="G42" s="149">
        <f t="shared" ref="G42:G49" si="32">G15/$G$6*100</f>
        <v>14.689201595384544</v>
      </c>
      <c r="H42" s="149">
        <f t="shared" ref="H42:H49" si="33">H15/$H$6*100</f>
        <v>14.322942563906418</v>
      </c>
      <c r="I42" s="149">
        <f>I15/$I$6*100</f>
        <v>16.068684765539608</v>
      </c>
      <c r="J42" s="149">
        <f t="shared" ref="J42:J49" si="34">J15/$J$6*100</f>
        <v>18.600930641962186</v>
      </c>
      <c r="K42" s="149">
        <f t="shared" ref="K42:K49" si="35">K15/$K$6*100</f>
        <v>16.06521824687491</v>
      </c>
      <c r="L42" s="149">
        <f t="shared" ref="L42:AG42" si="36">L15/L$6*100</f>
        <v>15.206142692813756</v>
      </c>
      <c r="M42" s="149">
        <f t="shared" si="36"/>
        <v>20.234152249510284</v>
      </c>
      <c r="N42" s="149">
        <f t="shared" si="36"/>
        <v>15.580947211651605</v>
      </c>
      <c r="O42" s="149">
        <f t="shared" si="36"/>
        <v>17.236546618703407</v>
      </c>
      <c r="P42" s="149">
        <f t="shared" si="36"/>
        <v>16.074221704866133</v>
      </c>
      <c r="Q42" s="149">
        <f t="shared" si="36"/>
        <v>15.66600725562021</v>
      </c>
      <c r="R42" s="149">
        <f t="shared" si="36"/>
        <v>15.712689365309432</v>
      </c>
      <c r="S42" s="149">
        <f t="shared" si="36"/>
        <v>14.480118941915723</v>
      </c>
      <c r="T42" s="149">
        <f t="shared" si="36"/>
        <v>14.814796364247101</v>
      </c>
      <c r="U42" s="149">
        <f t="shared" si="36"/>
        <v>15.509088520590947</v>
      </c>
      <c r="V42" s="149">
        <f t="shared" si="36"/>
        <v>14.807320839351345</v>
      </c>
      <c r="W42" s="149">
        <f t="shared" si="36"/>
        <v>15.08605826570941</v>
      </c>
      <c r="X42" s="149">
        <f t="shared" si="36"/>
        <v>14.491910896346683</v>
      </c>
      <c r="Y42" s="149">
        <f t="shared" si="36"/>
        <v>13.900887734697065</v>
      </c>
      <c r="Z42" s="149">
        <f t="shared" si="36"/>
        <v>16.087607570326405</v>
      </c>
      <c r="AA42" s="149">
        <f t="shared" si="36"/>
        <v>17.184550647980551</v>
      </c>
      <c r="AB42" s="149">
        <f t="shared" si="36"/>
        <v>17.046319211299227</v>
      </c>
      <c r="AC42" s="149">
        <f t="shared" si="36"/>
        <v>14.748806154038272</v>
      </c>
      <c r="AD42" s="149">
        <f t="shared" si="36"/>
        <v>17.187307898452257</v>
      </c>
      <c r="AE42" s="149">
        <f t="shared" si="36"/>
        <v>16.750168083844176</v>
      </c>
      <c r="AF42" s="149">
        <f t="shared" si="36"/>
        <v>14.723638871769934</v>
      </c>
      <c r="AG42" s="149">
        <f t="shared" si="36"/>
        <v>14.576572343768055</v>
      </c>
      <c r="AH42" s="149">
        <f>AH15/AH$6*100-0.02</f>
        <v>16.044683530174918</v>
      </c>
      <c r="AI42" s="149">
        <f t="shared" ref="AI42:AK46" si="37">AI15/AI$6*100</f>
        <v>15.631164928477848</v>
      </c>
      <c r="AJ42" s="149">
        <f t="shared" si="37"/>
        <v>15.3451540262392</v>
      </c>
      <c r="AK42" s="149">
        <f t="shared" si="37"/>
        <v>15.281442757827882</v>
      </c>
      <c r="AL42" s="149">
        <f t="shared" ref="AL42:AO42" si="38">AL15/AL$6*100</f>
        <v>16.351377484797126</v>
      </c>
      <c r="AM42" s="149">
        <f t="shared" si="38"/>
        <v>14.139758089651139</v>
      </c>
      <c r="AN42" s="149">
        <f t="shared" si="38"/>
        <v>16.147891001284844</v>
      </c>
      <c r="AO42" s="149">
        <f t="shared" si="38"/>
        <v>16.289499523240263</v>
      </c>
      <c r="AP42" s="149">
        <f t="shared" ref="AP42:AS42" si="39">AP15/AP$6*100</f>
        <v>16.466197817697417</v>
      </c>
      <c r="AQ42" s="149">
        <f t="shared" si="39"/>
        <v>13.512318740840898</v>
      </c>
      <c r="AR42" s="149">
        <f t="shared" si="39"/>
        <v>13.691851514030407</v>
      </c>
      <c r="AS42" s="149">
        <f t="shared" si="39"/>
        <v>13.866876619073661</v>
      </c>
    </row>
    <row r="43" spans="1:45" ht="18.75" customHeight="1">
      <c r="A43" s="158" t="s">
        <v>71</v>
      </c>
      <c r="B43" s="149">
        <f t="shared" si="29"/>
        <v>2.2051186740863025</v>
      </c>
      <c r="C43" s="149">
        <f t="shared" si="30"/>
        <v>2.7639724998864406</v>
      </c>
      <c r="D43" s="155" t="s">
        <v>146</v>
      </c>
      <c r="E43" s="149">
        <f>SUM(E16*100/$E$6)</f>
        <v>1.2220905080230242</v>
      </c>
      <c r="F43" s="149">
        <f t="shared" si="31"/>
        <v>1.9432458575299099</v>
      </c>
      <c r="G43" s="149">
        <f t="shared" si="32"/>
        <v>1.619151538230577</v>
      </c>
      <c r="H43" s="149">
        <f t="shared" si="33"/>
        <v>1.293682667176643</v>
      </c>
      <c r="I43" s="149">
        <f>ROUNDDOWN(I16/$I$6*100,1)</f>
        <v>1.9</v>
      </c>
      <c r="J43" s="149">
        <f t="shared" si="34"/>
        <v>3.6304509122514852</v>
      </c>
      <c r="K43" s="149">
        <f t="shared" si="35"/>
        <v>1.6408743791180034</v>
      </c>
      <c r="L43" s="149">
        <f t="shared" ref="L43:Y43" si="40">L16/L$6*100</f>
        <v>2.4121615558035963</v>
      </c>
      <c r="M43" s="149">
        <f t="shared" si="40"/>
        <v>1.6624131656588408</v>
      </c>
      <c r="N43" s="149">
        <f t="shared" si="40"/>
        <v>2.0298247749572464</v>
      </c>
      <c r="O43" s="149">
        <f t="shared" si="40"/>
        <v>2.8285273535053328</v>
      </c>
      <c r="P43" s="149">
        <f t="shared" si="40"/>
        <v>1.8063423910936955</v>
      </c>
      <c r="Q43" s="149">
        <f t="shared" si="40"/>
        <v>1.7114046210820972</v>
      </c>
      <c r="R43" s="149">
        <f t="shared" si="40"/>
        <v>1.9757570907323261</v>
      </c>
      <c r="S43" s="149">
        <f t="shared" si="40"/>
        <v>2.3128472582355655</v>
      </c>
      <c r="T43" s="149">
        <f t="shared" si="40"/>
        <v>2.2127792216664912</v>
      </c>
      <c r="U43" s="149">
        <f t="shared" si="40"/>
        <v>1.7558497737859029</v>
      </c>
      <c r="V43" s="149">
        <f t="shared" si="40"/>
        <v>2.3369705616420662</v>
      </c>
      <c r="W43" s="149">
        <f t="shared" si="40"/>
        <v>1.831911671850518</v>
      </c>
      <c r="X43" s="149">
        <f t="shared" si="40"/>
        <v>2.0899761134754473</v>
      </c>
      <c r="Y43" s="149">
        <f t="shared" si="40"/>
        <v>1.5503156398029239</v>
      </c>
      <c r="Z43" s="149">
        <f>Z16/Z$6*100-0.01</f>
        <v>2.2445537486457292</v>
      </c>
      <c r="AA43" s="149">
        <f t="shared" ref="AA43:AH45" si="41">AA16/AA$6*100</f>
        <v>1.1099496126364725</v>
      </c>
      <c r="AB43" s="149">
        <f t="shared" si="41"/>
        <v>1.3219802764775008</v>
      </c>
      <c r="AC43" s="149">
        <f t="shared" si="41"/>
        <v>1.6005792327272481</v>
      </c>
      <c r="AD43" s="149">
        <f t="shared" si="41"/>
        <v>2.9545368710419551</v>
      </c>
      <c r="AE43" s="149">
        <f t="shared" si="41"/>
        <v>1.9242238481313032</v>
      </c>
      <c r="AF43" s="149">
        <f t="shared" si="41"/>
        <v>1.7257374637227128</v>
      </c>
      <c r="AG43" s="149">
        <f t="shared" si="41"/>
        <v>1.9690501315021238</v>
      </c>
      <c r="AH43" s="149">
        <f t="shared" si="41"/>
        <v>1.7740007344151127</v>
      </c>
      <c r="AI43" s="149">
        <f t="shared" si="37"/>
        <v>2.4046165060209219</v>
      </c>
      <c r="AJ43" s="149">
        <f t="shared" si="37"/>
        <v>1.4542114199679799</v>
      </c>
      <c r="AK43" s="149">
        <f t="shared" si="37"/>
        <v>1.2959580581134544</v>
      </c>
      <c r="AL43" s="149">
        <f t="shared" ref="AL43:AO43" si="42">AL16/AL$6*100</f>
        <v>2.0189992661408889</v>
      </c>
      <c r="AM43" s="149">
        <f t="shared" si="42"/>
        <v>1.2713742266852819</v>
      </c>
      <c r="AN43" s="149">
        <f t="shared" si="42"/>
        <v>1.2507472018578702</v>
      </c>
      <c r="AO43" s="149">
        <f t="shared" si="42"/>
        <v>1.184349600447812</v>
      </c>
      <c r="AP43" s="149">
        <f t="shared" ref="AP43:AS43" si="43">AP16/AP$6*100</f>
        <v>2.5520153441480846</v>
      </c>
      <c r="AQ43" s="149">
        <f t="shared" si="43"/>
        <v>1.2435329646752111</v>
      </c>
      <c r="AR43" s="149">
        <f t="shared" si="43"/>
        <v>0.98137991960021931</v>
      </c>
      <c r="AS43" s="149">
        <f t="shared" si="43"/>
        <v>1.8280552119423543</v>
      </c>
    </row>
    <row r="44" spans="1:45" ht="19.5" customHeight="1">
      <c r="A44" s="156" t="s">
        <v>69</v>
      </c>
      <c r="B44" s="149">
        <f t="shared" si="29"/>
        <v>8.7932796903869068</v>
      </c>
      <c r="C44" s="149">
        <f t="shared" si="30"/>
        <v>6.3092346621135968</v>
      </c>
      <c r="D44" s="155" t="s">
        <v>146</v>
      </c>
      <c r="E44" s="149">
        <f>SUM(E17*100/$E$6)</f>
        <v>4.3209261130510903</v>
      </c>
      <c r="F44" s="149">
        <f t="shared" si="31"/>
        <v>6.8613436621298156</v>
      </c>
      <c r="G44" s="149">
        <f t="shared" si="32"/>
        <v>6.9981485710177136</v>
      </c>
      <c r="H44" s="149">
        <f t="shared" si="33"/>
        <v>4.8331739657040869</v>
      </c>
      <c r="I44" s="149">
        <f>I17/$I$6*100</f>
        <v>5.1409593642907119</v>
      </c>
      <c r="J44" s="149">
        <f t="shared" si="34"/>
        <v>5.868690599699204</v>
      </c>
      <c r="K44" s="149">
        <f t="shared" si="35"/>
        <v>4.2952789324347851</v>
      </c>
      <c r="L44" s="149">
        <f t="shared" ref="L44:Y44" si="44">L17/L$6*100</f>
        <v>5.4338662504790278</v>
      </c>
      <c r="M44" s="149">
        <f t="shared" si="44"/>
        <v>6.615371037457134</v>
      </c>
      <c r="N44" s="149">
        <f t="shared" si="44"/>
        <v>6.5729844929528838</v>
      </c>
      <c r="O44" s="149">
        <f t="shared" si="44"/>
        <v>6.8153234756984595</v>
      </c>
      <c r="P44" s="149">
        <f t="shared" si="44"/>
        <v>3.8062348632708716</v>
      </c>
      <c r="Q44" s="149">
        <f t="shared" si="44"/>
        <v>4.9660451581138414</v>
      </c>
      <c r="R44" s="149">
        <f t="shared" si="44"/>
        <v>7.2500496477234666</v>
      </c>
      <c r="S44" s="149">
        <f t="shared" si="44"/>
        <v>6.8114453705200795</v>
      </c>
      <c r="T44" s="149">
        <f t="shared" si="44"/>
        <v>5.5408082803617535</v>
      </c>
      <c r="U44" s="149">
        <f t="shared" si="44"/>
        <v>6.9882397389978381</v>
      </c>
      <c r="V44" s="149">
        <f t="shared" si="44"/>
        <v>6.6929110743180562</v>
      </c>
      <c r="W44" s="149">
        <f t="shared" si="44"/>
        <v>6.4465641881621103</v>
      </c>
      <c r="X44" s="149">
        <f t="shared" si="44"/>
        <v>6.4672573095070716</v>
      </c>
      <c r="Y44" s="149">
        <f t="shared" si="44"/>
        <v>7.5443417616680231</v>
      </c>
      <c r="Z44" s="149">
        <f t="shared" ref="Z44:Z49" si="45">Z17/Z$6*100</f>
        <v>5.592758682371394</v>
      </c>
      <c r="AA44" s="149">
        <f t="shared" si="41"/>
        <v>5.8352827796020694</v>
      </c>
      <c r="AB44" s="149">
        <f t="shared" si="41"/>
        <v>7.8440097792172123</v>
      </c>
      <c r="AC44" s="149">
        <f t="shared" si="41"/>
        <v>8.2467626185799752</v>
      </c>
      <c r="AD44" s="149">
        <f t="shared" si="41"/>
        <v>6.0397329281237875</v>
      </c>
      <c r="AE44" s="149">
        <f t="shared" si="41"/>
        <v>7.1273086810361876</v>
      </c>
      <c r="AF44" s="149">
        <f t="shared" si="41"/>
        <v>7.0668266013608161</v>
      </c>
      <c r="AG44" s="149">
        <f t="shared" si="41"/>
        <v>6.1810206891063286</v>
      </c>
      <c r="AH44" s="149">
        <f t="shared" si="41"/>
        <v>6.1614030887493749</v>
      </c>
      <c r="AI44" s="149">
        <f t="shared" si="37"/>
        <v>5.4735583198741127</v>
      </c>
      <c r="AJ44" s="149">
        <f t="shared" si="37"/>
        <v>5.7669922781081251</v>
      </c>
      <c r="AK44" s="149">
        <f t="shared" si="37"/>
        <v>6.1196391997029487</v>
      </c>
      <c r="AL44" s="149">
        <f t="shared" ref="AL44:AO44" si="46">AL17/AL$6*100</f>
        <v>7.9556576821706013</v>
      </c>
      <c r="AM44" s="149">
        <f t="shared" si="46"/>
        <v>9.8585511850020708</v>
      </c>
      <c r="AN44" s="149">
        <f t="shared" si="46"/>
        <v>6.853386971547927</v>
      </c>
      <c r="AO44" s="149">
        <f t="shared" si="46"/>
        <v>6.3562125172163242</v>
      </c>
      <c r="AP44" s="149">
        <f t="shared" ref="AP44:AS44" si="47">AP17/AP$6*100</f>
        <v>6.5656070964903996</v>
      </c>
      <c r="AQ44" s="149">
        <f t="shared" si="47"/>
        <v>5.6581195197188912</v>
      </c>
      <c r="AR44" s="149">
        <f t="shared" si="47"/>
        <v>5.8114940817043577</v>
      </c>
      <c r="AS44" s="149">
        <f t="shared" si="47"/>
        <v>7.2376442093280913</v>
      </c>
    </row>
    <row r="45" spans="1:45" ht="19.5" customHeight="1">
      <c r="A45" s="156" t="s">
        <v>68</v>
      </c>
      <c r="B45" s="149">
        <f t="shared" si="29"/>
        <v>0</v>
      </c>
      <c r="C45" s="149">
        <f t="shared" si="30"/>
        <v>0</v>
      </c>
      <c r="D45" s="155" t="s">
        <v>146</v>
      </c>
      <c r="E45" s="149" t="s">
        <v>146</v>
      </c>
      <c r="F45" s="149">
        <f t="shared" si="31"/>
        <v>0.19584115459474727</v>
      </c>
      <c r="G45" s="149">
        <f t="shared" si="32"/>
        <v>0.22475455750447879</v>
      </c>
      <c r="H45" s="149">
        <f t="shared" si="33"/>
        <v>0.10403518837253778</v>
      </c>
      <c r="I45" s="149">
        <f>I18/$I$6*100</f>
        <v>0.16248520939858549</v>
      </c>
      <c r="J45" s="149">
        <f t="shared" si="34"/>
        <v>1.021131050498477</v>
      </c>
      <c r="K45" s="149">
        <f t="shared" si="35"/>
        <v>0.17473646924986397</v>
      </c>
      <c r="L45" s="149">
        <f t="shared" ref="L45:Y45" si="48">L18/L$6*100</f>
        <v>0.21164345785838493</v>
      </c>
      <c r="M45" s="149">
        <f t="shared" si="48"/>
        <v>0.3134118470952888</v>
      </c>
      <c r="N45" s="149">
        <f t="shared" si="48"/>
        <v>1.7161318388352653</v>
      </c>
      <c r="O45" s="149">
        <f t="shared" si="48"/>
        <v>0.61771671184028043</v>
      </c>
      <c r="P45" s="149">
        <f t="shared" si="48"/>
        <v>0.28451111725158884</v>
      </c>
      <c r="Q45" s="149">
        <f t="shared" si="48"/>
        <v>0.62513930110823868</v>
      </c>
      <c r="R45" s="149">
        <f t="shared" si="48"/>
        <v>0.22119172320579059</v>
      </c>
      <c r="S45" s="149">
        <f t="shared" si="48"/>
        <v>0.27072492340397941</v>
      </c>
      <c r="T45" s="149">
        <f t="shared" si="48"/>
        <v>0.40422558064727332</v>
      </c>
      <c r="U45" s="149">
        <f t="shared" si="48"/>
        <v>0.43158462674520404</v>
      </c>
      <c r="V45" s="149">
        <f t="shared" si="48"/>
        <v>0.4011519357452355</v>
      </c>
      <c r="W45" s="149">
        <f t="shared" si="48"/>
        <v>0.43730487476906527</v>
      </c>
      <c r="X45" s="149">
        <f t="shared" si="48"/>
        <v>2.111909849687265E-2</v>
      </c>
      <c r="Y45" s="149">
        <f t="shared" si="48"/>
        <v>0.15168555900230046</v>
      </c>
      <c r="Z45" s="149">
        <f t="shared" si="45"/>
        <v>0.33627321788864162</v>
      </c>
      <c r="AA45" s="149">
        <f t="shared" si="41"/>
        <v>0.26627268613426791</v>
      </c>
      <c r="AB45" s="149">
        <f t="shared" si="41"/>
        <v>0.36529488482105199</v>
      </c>
      <c r="AC45" s="149">
        <f t="shared" si="41"/>
        <v>0.12674346491625776</v>
      </c>
      <c r="AD45" s="149">
        <f t="shared" si="41"/>
        <v>0.28478238334890904</v>
      </c>
      <c r="AE45" s="149">
        <f t="shared" si="41"/>
        <v>0.10527981016412893</v>
      </c>
      <c r="AF45" s="149">
        <f t="shared" si="41"/>
        <v>0.16887164506250602</v>
      </c>
      <c r="AG45" s="149">
        <f t="shared" si="41"/>
        <v>0.24226693285930842</v>
      </c>
      <c r="AH45" s="149">
        <f t="shared" si="41"/>
        <v>0.30897199678410298</v>
      </c>
      <c r="AI45" s="149">
        <f t="shared" si="37"/>
        <v>0.28581716164397558</v>
      </c>
      <c r="AJ45" s="149">
        <f t="shared" si="37"/>
        <v>0.38782561464705256</v>
      </c>
      <c r="AK45" s="149">
        <f t="shared" si="37"/>
        <v>0.37194764231272576</v>
      </c>
      <c r="AL45" s="149">
        <f t="shared" ref="AL45:AO45" si="49">AL18/AL$6*100</f>
        <v>0.32031387888875656</v>
      </c>
      <c r="AM45" s="149">
        <f t="shared" si="49"/>
        <v>1.8017325665296156E-2</v>
      </c>
      <c r="AN45" s="149">
        <f t="shared" si="49"/>
        <v>0.3328913104718193</v>
      </c>
      <c r="AO45" s="149">
        <f t="shared" si="49"/>
        <v>0.28972643251075941</v>
      </c>
      <c r="AP45" s="149">
        <f t="shared" ref="AP45:AS45" si="50">AP18/AP$6*100</f>
        <v>9.4209080045662016E-2</v>
      </c>
      <c r="AQ45" s="149">
        <f t="shared" si="50"/>
        <v>0.11164997449619872</v>
      </c>
      <c r="AR45" s="149">
        <f t="shared" si="50"/>
        <v>8.5782517274784059E-2</v>
      </c>
      <c r="AS45" s="149">
        <f t="shared" si="50"/>
        <v>0</v>
      </c>
    </row>
    <row r="46" spans="1:45" ht="19.5" customHeight="1">
      <c r="A46" s="156" t="s">
        <v>67</v>
      </c>
      <c r="B46" s="149">
        <f t="shared" si="29"/>
        <v>0.89203719292875183</v>
      </c>
      <c r="C46" s="149">
        <f t="shared" si="30"/>
        <v>0.53833903803042327</v>
      </c>
      <c r="D46" s="155" t="s">
        <v>146</v>
      </c>
      <c r="E46" s="149">
        <f>SUM(E19*100/$E$6)</f>
        <v>0.78863430099317366</v>
      </c>
      <c r="F46" s="149">
        <f t="shared" si="31"/>
        <v>0.97815332141939715</v>
      </c>
      <c r="G46" s="149">
        <f t="shared" si="32"/>
        <v>0.70056048833519846</v>
      </c>
      <c r="H46" s="149">
        <f t="shared" si="33"/>
        <v>1.0766239561420283</v>
      </c>
      <c r="I46" s="149">
        <f>ROUNDDOWN(I19/$I$6*100,1)</f>
        <v>0.4</v>
      </c>
      <c r="J46" s="149">
        <f t="shared" si="34"/>
        <v>0.59192807828789451</v>
      </c>
      <c r="K46" s="149">
        <f t="shared" si="35"/>
        <v>0.77679269801169715</v>
      </c>
      <c r="L46" s="149">
        <f t="shared" ref="L46:Y46" si="51">L19/L$6*100</f>
        <v>0.75319621386383673</v>
      </c>
      <c r="M46" s="149">
        <f t="shared" si="51"/>
        <v>0.47465837505356551</v>
      </c>
      <c r="N46" s="149">
        <f t="shared" si="51"/>
        <v>0.99109939529633539</v>
      </c>
      <c r="O46" s="149">
        <f t="shared" si="51"/>
        <v>0.81518898682608254</v>
      </c>
      <c r="P46" s="149">
        <f t="shared" si="51"/>
        <v>0.82502597547115319</v>
      </c>
      <c r="Q46" s="149">
        <f t="shared" si="51"/>
        <v>0.97066901049307242</v>
      </c>
      <c r="R46" s="149">
        <f t="shared" si="51"/>
        <v>1.1891741286454027</v>
      </c>
      <c r="S46" s="149">
        <f t="shared" si="51"/>
        <v>1.4499704714140365</v>
      </c>
      <c r="T46" s="149">
        <f t="shared" si="51"/>
        <v>0.39390644170469324</v>
      </c>
      <c r="U46" s="149">
        <f t="shared" si="51"/>
        <v>0.50013831111778595</v>
      </c>
      <c r="V46" s="149">
        <f t="shared" si="51"/>
        <v>0.65478916405396836</v>
      </c>
      <c r="W46" s="149">
        <f t="shared" si="51"/>
        <v>1.051187121442436</v>
      </c>
      <c r="X46" s="149">
        <f t="shared" si="51"/>
        <v>1.0962783938389089</v>
      </c>
      <c r="Y46" s="149">
        <f t="shared" si="51"/>
        <v>0.73540152419521387</v>
      </c>
      <c r="Z46" s="149">
        <f t="shared" si="45"/>
        <v>0.86899873380049653</v>
      </c>
      <c r="AA46" s="149">
        <f t="shared" ref="AA46:AG49" si="52">AA19/AA$6*100</f>
        <v>1.6459180447956527</v>
      </c>
      <c r="AB46" s="149">
        <f t="shared" si="52"/>
        <v>1.3417908454160294</v>
      </c>
      <c r="AC46" s="149">
        <f t="shared" si="52"/>
        <v>0.87581220705281404</v>
      </c>
      <c r="AD46" s="149">
        <f t="shared" si="52"/>
        <v>0.69098298939539193</v>
      </c>
      <c r="AE46" s="149">
        <f t="shared" si="52"/>
        <v>0.69479928811548353</v>
      </c>
      <c r="AF46" s="149">
        <f t="shared" si="52"/>
        <v>0.99442554626194279</v>
      </c>
      <c r="AG46" s="149">
        <f t="shared" si="52"/>
        <v>0.85757596858947238</v>
      </c>
      <c r="AH46" s="149">
        <f>AH19/AH$6*100-0.04</f>
        <v>0.72159170725631239</v>
      </c>
      <c r="AI46" s="149">
        <f t="shared" si="37"/>
        <v>0.76148717535202215</v>
      </c>
      <c r="AJ46" s="149">
        <f t="shared" si="37"/>
        <v>0.67917566476972424</v>
      </c>
      <c r="AK46" s="149">
        <f t="shared" si="37"/>
        <v>0.68071643861320053</v>
      </c>
      <c r="AL46" s="149">
        <f t="shared" ref="AL46:AO46" si="53">AL19/AL$6*100</f>
        <v>0.99539670194088414</v>
      </c>
      <c r="AM46" s="149">
        <f t="shared" si="53"/>
        <v>1.1388486843509706</v>
      </c>
      <c r="AN46" s="149">
        <f t="shared" si="53"/>
        <v>0.98476051751028915</v>
      </c>
      <c r="AO46" s="149">
        <f t="shared" si="53"/>
        <v>0.69741231666857151</v>
      </c>
      <c r="AP46" s="149">
        <f t="shared" ref="AP46:AS46" si="54">AP19/AP$6*100</f>
        <v>0.79748253392150181</v>
      </c>
      <c r="AQ46" s="149">
        <f t="shared" si="54"/>
        <v>0.48667729999757109</v>
      </c>
      <c r="AR46" s="149">
        <f t="shared" si="54"/>
        <v>0.82431880072007679</v>
      </c>
      <c r="AS46" s="149">
        <f t="shared" si="54"/>
        <v>0.48879235563484014</v>
      </c>
    </row>
    <row r="47" spans="1:45" ht="19.5" customHeight="1">
      <c r="A47" s="154" t="s">
        <v>66</v>
      </c>
      <c r="B47" s="149">
        <f t="shared" si="29"/>
        <v>1.039901496681936</v>
      </c>
      <c r="C47" s="149">
        <f t="shared" si="30"/>
        <v>1.3705300959511346</v>
      </c>
      <c r="D47" s="155" t="s">
        <v>146</v>
      </c>
      <c r="E47" s="149">
        <f>SUM(E20*100/$E$6)</f>
        <v>1.8828555495451571</v>
      </c>
      <c r="F47" s="149">
        <f t="shared" si="31"/>
        <v>9.1926104052838617E-2</v>
      </c>
      <c r="G47" s="149">
        <f t="shared" si="32"/>
        <v>0.13334815719237886</v>
      </c>
      <c r="H47" s="149">
        <f t="shared" si="33"/>
        <v>7.7835150124306751E-2</v>
      </c>
      <c r="I47" s="149">
        <f>I20/$I$6*100</f>
        <v>7.2535802807849645E-2</v>
      </c>
      <c r="J47" s="149">
        <f t="shared" si="34"/>
        <v>0.11373902173652317</v>
      </c>
      <c r="K47" s="149">
        <f t="shared" si="35"/>
        <v>0.14170045279190724</v>
      </c>
      <c r="L47" s="149">
        <f t="shared" ref="L47:Y47" si="55">L20/L$6*100</f>
        <v>0.20846225645821467</v>
      </c>
      <c r="M47" s="149">
        <f t="shared" si="55"/>
        <v>0.19074313079970867</v>
      </c>
      <c r="N47" s="149">
        <f t="shared" si="55"/>
        <v>0.27710873025533778</v>
      </c>
      <c r="O47" s="149">
        <f t="shared" si="55"/>
        <v>0.14620671472313601</v>
      </c>
      <c r="P47" s="149">
        <f t="shared" si="55"/>
        <v>0.38009835044817847</v>
      </c>
      <c r="Q47" s="149">
        <f t="shared" si="55"/>
        <v>0.32601181399319767</v>
      </c>
      <c r="R47" s="149">
        <f t="shared" si="55"/>
        <v>0.1404956473025725</v>
      </c>
      <c r="S47" s="149">
        <f t="shared" si="55"/>
        <v>0.59219337082726276</v>
      </c>
      <c r="T47" s="149">
        <f t="shared" si="55"/>
        <v>0.41233855885040521</v>
      </c>
      <c r="U47" s="149">
        <f t="shared" si="55"/>
        <v>0.28452250053708034</v>
      </c>
      <c r="V47" s="149">
        <f t="shared" si="55"/>
        <v>0.24174798323176103</v>
      </c>
      <c r="W47" s="149">
        <f t="shared" si="55"/>
        <v>0.26130118565983018</v>
      </c>
      <c r="X47" s="149">
        <f t="shared" si="55"/>
        <v>6.502829091130001E-2</v>
      </c>
      <c r="Y47" s="149">
        <f t="shared" si="55"/>
        <v>5.6774148981411331E-2</v>
      </c>
      <c r="Z47" s="149">
        <f t="shared" si="45"/>
        <v>0.21801127784603921</v>
      </c>
      <c r="AA47" s="149">
        <f t="shared" si="52"/>
        <v>0.23380630965721072</v>
      </c>
      <c r="AB47" s="149">
        <f t="shared" si="52"/>
        <v>8.2994277447017983E-2</v>
      </c>
      <c r="AC47" s="149">
        <f t="shared" si="52"/>
        <v>0.29757019179226063</v>
      </c>
      <c r="AD47" s="149">
        <f t="shared" si="52"/>
        <v>0.14592686460542292</v>
      </c>
      <c r="AE47" s="149">
        <f t="shared" si="52"/>
        <v>0.56183508008700811</v>
      </c>
      <c r="AF47" s="149">
        <f t="shared" si="52"/>
        <v>0.3682268624177219</v>
      </c>
      <c r="AG47" s="149">
        <f t="shared" si="52"/>
        <v>0.58883261160845801</v>
      </c>
      <c r="AH47" s="149">
        <f>AH20/AH$6*100</f>
        <v>0.13353737347920261</v>
      </c>
      <c r="AI47" s="149">
        <f>AI20/AI$6*100-0.02</f>
        <v>0.23260488811216171</v>
      </c>
      <c r="AJ47" s="149">
        <f>AJ20/AJ$6*100+0.02</f>
        <v>6.5391214568887329E-2</v>
      </c>
      <c r="AK47" s="149">
        <f>AK20/AK$6*100</f>
        <v>8.7880349716288983E-2</v>
      </c>
      <c r="AL47" s="149">
        <f t="shared" ref="AL47:AO47" si="56">AL20/AL$6*100</f>
        <v>0.12473071424168032</v>
      </c>
      <c r="AM47" s="149">
        <f t="shared" si="56"/>
        <v>0.33225314769510583</v>
      </c>
      <c r="AN47" s="149">
        <f t="shared" si="56"/>
        <v>0.21428375119380527</v>
      </c>
      <c r="AO47" s="149">
        <f t="shared" si="56"/>
        <v>0.2772964761490827</v>
      </c>
      <c r="AP47" s="149">
        <f t="shared" ref="AP47:AS47" si="57">AP20/AP$6*100</f>
        <v>0.57638504266121948</v>
      </c>
      <c r="AQ47" s="149">
        <f t="shared" si="57"/>
        <v>0.55250139663673681</v>
      </c>
      <c r="AR47" s="149">
        <f t="shared" si="57"/>
        <v>0.70409917886120221</v>
      </c>
      <c r="AS47" s="149">
        <f t="shared" si="57"/>
        <v>0.76068171210152513</v>
      </c>
    </row>
    <row r="48" spans="1:45" ht="19.5" customHeight="1">
      <c r="A48" s="154" t="s">
        <v>65</v>
      </c>
      <c r="B48" s="149">
        <f t="shared" si="29"/>
        <v>0</v>
      </c>
      <c r="C48" s="149">
        <f t="shared" si="30"/>
        <v>0</v>
      </c>
      <c r="D48" s="155" t="s">
        <v>146</v>
      </c>
      <c r="E48" s="149" t="s">
        <v>146</v>
      </c>
      <c r="F48" s="149">
        <f t="shared" si="31"/>
        <v>0.6836801461245896</v>
      </c>
      <c r="G48" s="149">
        <f t="shared" si="32"/>
        <v>0.17469074611722521</v>
      </c>
      <c r="H48" s="149">
        <f t="shared" si="33"/>
        <v>0.14445081914961433</v>
      </c>
      <c r="I48" s="149">
        <f>I21/$I$6*100</f>
        <v>0.31338222922942299</v>
      </c>
      <c r="J48" s="149">
        <f t="shared" si="34"/>
        <v>0.23738627158065112</v>
      </c>
      <c r="K48" s="149">
        <f t="shared" si="35"/>
        <v>0.11155856104453081</v>
      </c>
      <c r="L48" s="149">
        <f t="shared" ref="L48:Y48" si="58">L21/L$6*100</f>
        <v>0.11664405133957553</v>
      </c>
      <c r="M48" s="149">
        <f t="shared" si="58"/>
        <v>9.1374558832604549E-2</v>
      </c>
      <c r="N48" s="149">
        <f t="shared" si="58"/>
        <v>0.46987423680357804</v>
      </c>
      <c r="O48" s="149">
        <f t="shared" si="58"/>
        <v>0.24760599820370802</v>
      </c>
      <c r="P48" s="149">
        <f t="shared" si="58"/>
        <v>0.18467278408288143</v>
      </c>
      <c r="Q48" s="149">
        <f t="shared" si="58"/>
        <v>0.30510877763828431</v>
      </c>
      <c r="R48" s="149">
        <f t="shared" si="58"/>
        <v>0.4085933540223548</v>
      </c>
      <c r="S48" s="149">
        <f t="shared" si="58"/>
        <v>0.22735182718873742</v>
      </c>
      <c r="T48" s="149">
        <f t="shared" si="58"/>
        <v>0.16652955259060204</v>
      </c>
      <c r="U48" s="149">
        <f t="shared" si="58"/>
        <v>0.38943576004033131</v>
      </c>
      <c r="V48" s="149">
        <f t="shared" si="58"/>
        <v>0.35447564025786454</v>
      </c>
      <c r="W48" s="149">
        <f t="shared" si="58"/>
        <v>0.44944064100465375</v>
      </c>
      <c r="X48" s="149">
        <f t="shared" si="58"/>
        <v>0.46233581445290267</v>
      </c>
      <c r="Y48" s="149">
        <f t="shared" si="58"/>
        <v>0.59055188934149905</v>
      </c>
      <c r="Z48" s="149">
        <f t="shared" si="45"/>
        <v>0.5971681186431278</v>
      </c>
      <c r="AA48" s="149">
        <f t="shared" si="52"/>
        <v>0.31536881058176863</v>
      </c>
      <c r="AB48" s="149">
        <f t="shared" si="52"/>
        <v>0.23952778807493796</v>
      </c>
      <c r="AC48" s="149">
        <f t="shared" si="52"/>
        <v>0.23008240457949505</v>
      </c>
      <c r="AD48" s="149">
        <f t="shared" si="52"/>
        <v>0.35155838802242584</v>
      </c>
      <c r="AE48" s="149">
        <f t="shared" si="52"/>
        <v>0.34629226814316788</v>
      </c>
      <c r="AF48" s="149">
        <f t="shared" si="52"/>
        <v>0.1267088245901796</v>
      </c>
      <c r="AG48" s="149">
        <f t="shared" si="52"/>
        <v>0.29269457302174817</v>
      </c>
      <c r="AH48" s="149">
        <f>AH21/AH$6*100</f>
        <v>0.15634630099048979</v>
      </c>
      <c r="AI48" s="149">
        <f>AI21/AI$6*100</f>
        <v>0.20629931443799801</v>
      </c>
      <c r="AJ48" s="149">
        <f>AJ21/AJ$6*100</f>
        <v>0.45460455404670369</v>
      </c>
      <c r="AK48" s="149">
        <f>AK21/AK$6*100</f>
        <v>0.63543034848913094</v>
      </c>
      <c r="AL48" s="149">
        <f t="shared" ref="AL48:AO48" si="59">AL21/AL$6*100</f>
        <v>0.76772303532235331</v>
      </c>
      <c r="AM48" s="149">
        <f t="shared" si="59"/>
        <v>0.29758473906899097</v>
      </c>
      <c r="AN48" s="149">
        <f t="shared" si="59"/>
        <v>0.17658011721621789</v>
      </c>
      <c r="AO48" s="149">
        <f t="shared" si="59"/>
        <v>0.29314675607336843</v>
      </c>
      <c r="AP48" s="149">
        <f t="shared" ref="AP48:AS48" si="60">AP21/AP$6*100</f>
        <v>0.68991677901114301</v>
      </c>
      <c r="AQ48" s="149">
        <f t="shared" si="60"/>
        <v>0.21892786877282183</v>
      </c>
      <c r="AR48" s="149">
        <f t="shared" si="60"/>
        <v>0.43930576658623588</v>
      </c>
      <c r="AS48" s="149">
        <f t="shared" si="60"/>
        <v>0.6571648856083413</v>
      </c>
    </row>
    <row r="49" spans="1:45" ht="19.5" customHeight="1">
      <c r="A49" s="154" t="s">
        <v>64</v>
      </c>
      <c r="B49" s="149">
        <f t="shared" si="29"/>
        <v>0</v>
      </c>
      <c r="C49" s="149">
        <f t="shared" si="30"/>
        <v>0</v>
      </c>
      <c r="D49" s="155" t="s">
        <v>146</v>
      </c>
      <c r="E49" s="149" t="s">
        <v>146</v>
      </c>
      <c r="F49" s="149">
        <f t="shared" si="31"/>
        <v>0.84564551631403762</v>
      </c>
      <c r="G49" s="149">
        <f t="shared" si="32"/>
        <v>0.84715691476436383</v>
      </c>
      <c r="H49" s="149">
        <f t="shared" si="33"/>
        <v>1.3910244151208007</v>
      </c>
      <c r="I49" s="149">
        <f>I22/$I$6*100</f>
        <v>0.65658055702234897</v>
      </c>
      <c r="J49" s="149">
        <f t="shared" si="34"/>
        <v>0.38186712829971325</v>
      </c>
      <c r="K49" s="149">
        <f t="shared" si="35"/>
        <v>0.40631521626879519</v>
      </c>
      <c r="L49" s="149">
        <f t="shared" ref="L49:Y49" si="61">L22/L$6*100</f>
        <v>0.29279528181174735</v>
      </c>
      <c r="M49" s="149">
        <f t="shared" si="61"/>
        <v>0.55881982055627899</v>
      </c>
      <c r="N49" s="149">
        <f t="shared" si="61"/>
        <v>0.50639192593228188</v>
      </c>
      <c r="O49" s="149">
        <f t="shared" si="61"/>
        <v>0.60047284157011094</v>
      </c>
      <c r="P49" s="149">
        <f t="shared" si="61"/>
        <v>0.50613096138625868</v>
      </c>
      <c r="Q49" s="149">
        <f t="shared" si="61"/>
        <v>0.37178442673422796</v>
      </c>
      <c r="R49" s="149">
        <f t="shared" si="61"/>
        <v>0.68536088707884657</v>
      </c>
      <c r="S49" s="149">
        <f t="shared" si="61"/>
        <v>0.67484822082102269</v>
      </c>
      <c r="T49" s="149">
        <f t="shared" si="61"/>
        <v>0.65074625166173716</v>
      </c>
      <c r="U49" s="149">
        <f t="shared" si="61"/>
        <v>0.24463286956848224</v>
      </c>
      <c r="V49" s="149">
        <f t="shared" si="61"/>
        <v>0.18699874355632273</v>
      </c>
      <c r="W49" s="149">
        <f t="shared" si="61"/>
        <v>0.29985340029466101</v>
      </c>
      <c r="X49" s="149">
        <f t="shared" si="61"/>
        <v>0.18809348059270198</v>
      </c>
      <c r="Y49" s="149">
        <f t="shared" si="61"/>
        <v>0.43310976263512641</v>
      </c>
      <c r="Z49" s="149">
        <f t="shared" si="45"/>
        <v>0.81228924339697661</v>
      </c>
      <c r="AA49" s="149">
        <f t="shared" si="52"/>
        <v>0.32388313537703828</v>
      </c>
      <c r="AB49" s="149">
        <f t="shared" si="52"/>
        <v>0.69074351166347248</v>
      </c>
      <c r="AC49" s="149">
        <f t="shared" si="52"/>
        <v>0.82737376607126079</v>
      </c>
      <c r="AD49" s="149">
        <f t="shared" si="52"/>
        <v>1.0234969573123742</v>
      </c>
      <c r="AE49" s="149">
        <f t="shared" si="52"/>
        <v>0.87814910025706938</v>
      </c>
      <c r="AF49" s="149">
        <f t="shared" si="52"/>
        <v>1.0252763905099864</v>
      </c>
      <c r="AG49" s="149">
        <f t="shared" si="52"/>
        <v>0.41704194064536665</v>
      </c>
      <c r="AH49" s="149">
        <f>AH22/AH$6*100</f>
        <v>0.57184084221560427</v>
      </c>
      <c r="AI49" s="149">
        <f>AI22/AI$6*100</f>
        <v>0.77992956762569765</v>
      </c>
      <c r="AJ49" s="149">
        <f>AJ22/AJ$6*100</f>
        <v>0.30481354596937554</v>
      </c>
      <c r="AK49" s="149">
        <f>AK22/AK$6*100</f>
        <v>0.87128220597095518</v>
      </c>
      <c r="AL49" s="149">
        <f t="shared" ref="AL49:AO49" si="62">AL22/AL$6*100</f>
        <v>0.33534574560170111</v>
      </c>
      <c r="AM49" s="149">
        <f t="shared" si="62"/>
        <v>0.58330024464283425</v>
      </c>
      <c r="AN49" s="149">
        <f t="shared" si="62"/>
        <v>0.17752485519743308</v>
      </c>
      <c r="AO49" s="149">
        <f t="shared" si="62"/>
        <v>0.33485801903201506</v>
      </c>
      <c r="AP49" s="149">
        <f t="shared" ref="AP49:AS49" si="63">AP22/AP$6*100</f>
        <v>0.65563464685842099</v>
      </c>
      <c r="AQ49" s="149">
        <f t="shared" si="63"/>
        <v>0.42498239023244894</v>
      </c>
      <c r="AR49" s="149">
        <f t="shared" si="63"/>
        <v>0.7297718852065489</v>
      </c>
      <c r="AS49" s="149">
        <f t="shared" si="63"/>
        <v>0.84883797724410759</v>
      </c>
    </row>
    <row r="50" spans="1:45" ht="19.5" customHeight="1">
      <c r="A50" s="154" t="s">
        <v>148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7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</row>
    <row r="51" spans="1:45" ht="18.75" customHeight="1">
      <c r="A51" s="154" t="s">
        <v>147</v>
      </c>
      <c r="B51" s="149">
        <f>B24*100/$B$6</f>
        <v>4.1938388962380699</v>
      </c>
      <c r="C51" s="149">
        <f t="shared" ref="C51:C56" si="64">C24*100/$C$6</f>
        <v>3.5579541112562891</v>
      </c>
      <c r="D51" s="155" t="s">
        <v>146</v>
      </c>
      <c r="E51" s="149">
        <f>SUM(E24*100/$E$6)</f>
        <v>4.1941503029819653</v>
      </c>
      <c r="F51" s="149">
        <f>F24/$F$6*100</f>
        <v>4.0585987022995376</v>
      </c>
      <c r="G51" s="149">
        <f>G24/$G$6*100</f>
        <v>3.8001228960050808</v>
      </c>
      <c r="H51" s="149">
        <f>H24/$H$6*100</f>
        <v>3.6710014661821888</v>
      </c>
      <c r="I51" s="149">
        <f t="shared" ref="I51:I58" si="65">I24/$I$6*100</f>
        <v>4.6840715010087992</v>
      </c>
      <c r="J51" s="149">
        <f t="shared" ref="J51:J58" si="66">J24/$J$6*100</f>
        <v>5.2148710412084105</v>
      </c>
      <c r="K51" s="149">
        <f t="shared" ref="K51:K56" si="67">K24/$K$6*100</f>
        <v>4.8794326576099731</v>
      </c>
      <c r="L51" s="149">
        <f t="shared" ref="L51:AI51" si="68">ROUNDUP(L24/L$6*100,1)</f>
        <v>5.5</v>
      </c>
      <c r="M51" s="149">
        <f t="shared" si="68"/>
        <v>6</v>
      </c>
      <c r="N51" s="149">
        <f t="shared" si="68"/>
        <v>4.5</v>
      </c>
      <c r="O51" s="149">
        <f t="shared" si="68"/>
        <v>4.3999999999999995</v>
      </c>
      <c r="P51" s="149">
        <f t="shared" si="68"/>
        <v>5</v>
      </c>
      <c r="Q51" s="149">
        <f t="shared" si="68"/>
        <v>4</v>
      </c>
      <c r="R51" s="149">
        <f t="shared" si="68"/>
        <v>5</v>
      </c>
      <c r="S51" s="149">
        <f t="shared" si="68"/>
        <v>4.5999999999999996</v>
      </c>
      <c r="T51" s="149">
        <f t="shared" si="68"/>
        <v>4</v>
      </c>
      <c r="U51" s="149">
        <f t="shared" si="68"/>
        <v>4.6999999999999993</v>
      </c>
      <c r="V51" s="149">
        <f t="shared" si="68"/>
        <v>4.8</v>
      </c>
      <c r="W51" s="149">
        <f t="shared" si="68"/>
        <v>4.0999999999999996</v>
      </c>
      <c r="X51" s="149">
        <f t="shared" si="68"/>
        <v>3.8000000000000003</v>
      </c>
      <c r="Y51" s="149">
        <f t="shared" si="68"/>
        <v>3.8000000000000003</v>
      </c>
      <c r="Z51" s="149">
        <f t="shared" si="68"/>
        <v>4.0999999999999996</v>
      </c>
      <c r="AA51" s="149">
        <f t="shared" si="68"/>
        <v>3.8000000000000003</v>
      </c>
      <c r="AB51" s="149">
        <f t="shared" si="68"/>
        <v>3.6</v>
      </c>
      <c r="AC51" s="149">
        <f t="shared" si="68"/>
        <v>3.8000000000000003</v>
      </c>
      <c r="AD51" s="149">
        <f t="shared" si="68"/>
        <v>4.3999999999999995</v>
      </c>
      <c r="AE51" s="149">
        <f t="shared" si="68"/>
        <v>5.3</v>
      </c>
      <c r="AF51" s="149">
        <f t="shared" si="68"/>
        <v>4.3999999999999995</v>
      </c>
      <c r="AG51" s="149">
        <f t="shared" si="68"/>
        <v>3.3000000000000003</v>
      </c>
      <c r="AH51" s="149">
        <f t="shared" si="68"/>
        <v>3.2</v>
      </c>
      <c r="AI51" s="149">
        <f t="shared" si="68"/>
        <v>3.5</v>
      </c>
      <c r="AJ51" s="149">
        <f>(AJ24/AJ$6*100)</f>
        <v>3.2099282126401452</v>
      </c>
      <c r="AK51" s="149">
        <f>(AK24/AK$6*100)</f>
        <v>3.4142703437071731</v>
      </c>
      <c r="AL51" s="149">
        <f t="shared" ref="AL51:AO51" si="69">(AL24/AL$6*100)</f>
        <v>3.0001241395734159</v>
      </c>
      <c r="AM51" s="149">
        <f t="shared" si="69"/>
        <v>4.281036124311008</v>
      </c>
      <c r="AN51" s="149">
        <f t="shared" si="69"/>
        <v>5.1774217928722095</v>
      </c>
      <c r="AO51" s="149">
        <f t="shared" si="69"/>
        <v>3.6786831253748797</v>
      </c>
      <c r="AP51" s="149">
        <f t="shared" ref="AP51:AS51" si="70">(AP24/AP$6*100)</f>
        <v>3.6811886372095595</v>
      </c>
      <c r="AQ51" s="149">
        <f t="shared" si="70"/>
        <v>4.1172851001125412</v>
      </c>
      <c r="AR51" s="149">
        <f t="shared" si="70"/>
        <v>4.2099360354050663</v>
      </c>
      <c r="AS51" s="149">
        <f t="shared" si="70"/>
        <v>3.389638076976448</v>
      </c>
    </row>
    <row r="52" spans="1:45" ht="17.25" customHeight="1">
      <c r="A52" s="154" t="s">
        <v>62</v>
      </c>
      <c r="B52" s="149">
        <f>B25*100/$B$6</f>
        <v>3.7414998524090128</v>
      </c>
      <c r="C52" s="149">
        <f t="shared" si="64"/>
        <v>3.5496709445214867</v>
      </c>
      <c r="D52" s="155" t="s">
        <v>146</v>
      </c>
      <c r="E52" s="149">
        <f>SUM(E25*100/$E$6)</f>
        <v>2.4088047118664346</v>
      </c>
      <c r="F52" s="149">
        <f>F25/$F$6*100</f>
        <v>4.5837969543990749</v>
      </c>
      <c r="G52" s="149">
        <f>G25/$G$6*100</f>
        <v>4.2431077377215507</v>
      </c>
      <c r="H52" s="149">
        <f>H25/$H$6*100</f>
        <v>3.5392363103206472</v>
      </c>
      <c r="I52" s="149">
        <f t="shared" si="65"/>
        <v>2.4166073163444208</v>
      </c>
      <c r="J52" s="149">
        <f t="shared" si="66"/>
        <v>3.6943393733693743</v>
      </c>
      <c r="K52" s="149">
        <f t="shared" si="67"/>
        <v>3.1810415605741618</v>
      </c>
      <c r="L52" s="149">
        <f t="shared" ref="L52:AK52" si="71">L25/L$6*100</f>
        <v>3.1223803625161137</v>
      </c>
      <c r="M52" s="149">
        <f t="shared" si="71"/>
        <v>2.6548693703443376</v>
      </c>
      <c r="N52" s="149">
        <f t="shared" si="71"/>
        <v>2.4204110601371176</v>
      </c>
      <c r="O52" s="149">
        <f t="shared" si="71"/>
        <v>2.5478317664048129</v>
      </c>
      <c r="P52" s="149">
        <f t="shared" si="71"/>
        <v>3.0973014267441701</v>
      </c>
      <c r="Q52" s="149">
        <f t="shared" si="71"/>
        <v>2.7092727632177076</v>
      </c>
      <c r="R52" s="149">
        <f t="shared" si="71"/>
        <v>2.1641961366661038</v>
      </c>
      <c r="S52" s="149">
        <f t="shared" si="71"/>
        <v>2.3546502293316585</v>
      </c>
      <c r="T52" s="149">
        <f t="shared" si="71"/>
        <v>3.1722456439000366</v>
      </c>
      <c r="U52" s="149">
        <f t="shared" si="71"/>
        <v>2.3549708505992188</v>
      </c>
      <c r="V52" s="149">
        <f t="shared" si="71"/>
        <v>2.5250701612240345</v>
      </c>
      <c r="W52" s="149">
        <f t="shared" si="71"/>
        <v>1.5336031956689506</v>
      </c>
      <c r="X52" s="149">
        <f t="shared" si="71"/>
        <v>2.1928663939252768</v>
      </c>
      <c r="Y52" s="149">
        <f t="shared" si="71"/>
        <v>2.887782188747781</v>
      </c>
      <c r="Z52" s="149">
        <f t="shared" si="71"/>
        <v>3.5159102927725083</v>
      </c>
      <c r="AA52" s="149">
        <f t="shared" si="71"/>
        <v>2.2238031528700062</v>
      </c>
      <c r="AB52" s="149">
        <f t="shared" si="71"/>
        <v>2.4854760014467718</v>
      </c>
      <c r="AC52" s="149">
        <f t="shared" si="71"/>
        <v>3.0189457738697687</v>
      </c>
      <c r="AD52" s="149">
        <f t="shared" si="71"/>
        <v>4.0145155445056844</v>
      </c>
      <c r="AE52" s="149">
        <f t="shared" si="71"/>
        <v>3.8242436227012058</v>
      </c>
      <c r="AF52" s="149">
        <f t="shared" si="71"/>
        <v>2.6840234495798043</v>
      </c>
      <c r="AG52" s="149">
        <f t="shared" si="71"/>
        <v>2.8560868610362689</v>
      </c>
      <c r="AH52" s="149">
        <f t="shared" si="71"/>
        <v>3.2191323225149997</v>
      </c>
      <c r="AI52" s="149">
        <f t="shared" si="71"/>
        <v>3.3074155182751337</v>
      </c>
      <c r="AJ52" s="149">
        <f t="shared" si="71"/>
        <v>2.8391050698909304</v>
      </c>
      <c r="AK52" s="149">
        <f t="shared" si="71"/>
        <v>2.540137964231906</v>
      </c>
      <c r="AL52" s="149">
        <f t="shared" ref="AL52:AO52" si="72">AL25/AL$6*100</f>
        <v>3.6612729288747801</v>
      </c>
      <c r="AM52" s="149">
        <f t="shared" si="72"/>
        <v>3.3934907074148555</v>
      </c>
      <c r="AN52" s="149">
        <f t="shared" si="72"/>
        <v>4.4216314079000707</v>
      </c>
      <c r="AO52" s="149">
        <f t="shared" si="72"/>
        <v>3.2083469242531804</v>
      </c>
      <c r="AP52" s="149">
        <f t="shared" ref="AP52:AS52" si="73">AP25/AP$6*100</f>
        <v>3.5910756041224041</v>
      </c>
      <c r="AQ52" s="149">
        <f t="shared" si="73"/>
        <v>2.4567042611589254</v>
      </c>
      <c r="AR52" s="149">
        <f t="shared" si="73"/>
        <v>3.3604874556641668</v>
      </c>
      <c r="AS52" s="149">
        <f t="shared" si="73"/>
        <v>3.2824851755741848</v>
      </c>
    </row>
    <row r="53" spans="1:45" ht="17.25" customHeight="1">
      <c r="A53" s="154" t="s">
        <v>61</v>
      </c>
      <c r="B53" s="149">
        <f>ROUNDDOWN(B26*100/$B$6,1)</f>
        <v>2.1</v>
      </c>
      <c r="C53" s="149">
        <f t="shared" si="64"/>
        <v>1.7621101233657446</v>
      </c>
      <c r="D53" s="155" t="s">
        <v>146</v>
      </c>
      <c r="E53" s="149">
        <f>ROUNDUP(SUM(E26*100/$E$6),1)</f>
        <v>2.1</v>
      </c>
      <c r="F53" s="149">
        <f>F26/$F$6*100</f>
        <v>1.3002291159337704</v>
      </c>
      <c r="G53" s="149">
        <f>G26/$G$6*100</f>
        <v>1.6596286623309098</v>
      </c>
      <c r="H53" s="149">
        <f>H26/$H$6*100</f>
        <v>2.6324982469560783</v>
      </c>
      <c r="I53" s="149">
        <f t="shared" si="65"/>
        <v>1.6080648788282526</v>
      </c>
      <c r="J53" s="149">
        <f t="shared" si="66"/>
        <v>1.7628706963678731</v>
      </c>
      <c r="K53" s="149">
        <f t="shared" si="67"/>
        <v>2.0949516370905199</v>
      </c>
      <c r="L53" s="149">
        <f t="shared" ref="L53:AG53" si="74">ROUNDUP(L26/L$6*100,1)</f>
        <v>1.5</v>
      </c>
      <c r="M53" s="149">
        <f t="shared" si="74"/>
        <v>1.6</v>
      </c>
      <c r="N53" s="149">
        <f t="shared" si="74"/>
        <v>1.7000000000000002</v>
      </c>
      <c r="O53" s="149">
        <f t="shared" si="74"/>
        <v>2.8000000000000003</v>
      </c>
      <c r="P53" s="149">
        <f t="shared" si="74"/>
        <v>2.4</v>
      </c>
      <c r="Q53" s="149">
        <f t="shared" si="74"/>
        <v>1.5</v>
      </c>
      <c r="R53" s="149">
        <f t="shared" si="74"/>
        <v>2</v>
      </c>
      <c r="S53" s="149">
        <f t="shared" si="74"/>
        <v>1.7000000000000002</v>
      </c>
      <c r="T53" s="149">
        <f t="shared" si="74"/>
        <v>1.7000000000000002</v>
      </c>
      <c r="U53" s="149">
        <f t="shared" si="74"/>
        <v>1.9000000000000001</v>
      </c>
      <c r="V53" s="149">
        <f t="shared" si="74"/>
        <v>1.5</v>
      </c>
      <c r="W53" s="149">
        <f t="shared" si="74"/>
        <v>1.4000000000000001</v>
      </c>
      <c r="X53" s="149">
        <f t="shared" si="74"/>
        <v>1.7000000000000002</v>
      </c>
      <c r="Y53" s="149">
        <f t="shared" si="74"/>
        <v>1.7000000000000002</v>
      </c>
      <c r="Z53" s="149">
        <f t="shared" si="74"/>
        <v>1.4000000000000001</v>
      </c>
      <c r="AA53" s="149">
        <f t="shared" si="74"/>
        <v>1.4000000000000001</v>
      </c>
      <c r="AB53" s="149">
        <f t="shared" si="74"/>
        <v>1.2000000000000002</v>
      </c>
      <c r="AC53" s="149">
        <f t="shared" si="74"/>
        <v>1.1000000000000001</v>
      </c>
      <c r="AD53" s="149">
        <f t="shared" si="74"/>
        <v>1.5</v>
      </c>
      <c r="AE53" s="149">
        <f t="shared" si="74"/>
        <v>1.6</v>
      </c>
      <c r="AF53" s="149">
        <f t="shared" si="74"/>
        <v>1.6</v>
      </c>
      <c r="AG53" s="149">
        <f t="shared" si="74"/>
        <v>2</v>
      </c>
      <c r="AH53" s="149">
        <f>(AH26/AH$6*100)-0.02</f>
        <v>0.83242300369310507</v>
      </c>
      <c r="AI53" s="149">
        <f>ROUNDUP(AI26/AI$6*100,1)</f>
        <v>1.7000000000000002</v>
      </c>
      <c r="AJ53" s="149">
        <f>(AJ26/AJ$6*100)</f>
        <v>1.7318671714580041</v>
      </c>
      <c r="AK53" s="149">
        <f>ROUNDUP(AK26/AK$6*100,1)</f>
        <v>1.1000000000000001</v>
      </c>
      <c r="AL53" s="149">
        <f t="shared" ref="AL53:AO53" si="75">ROUNDUP(AL26/AL$6*100,1)</f>
        <v>1.7000000000000002</v>
      </c>
      <c r="AM53" s="149">
        <f t="shared" si="75"/>
        <v>1.6</v>
      </c>
      <c r="AN53" s="149">
        <f t="shared" si="75"/>
        <v>1.4000000000000001</v>
      </c>
      <c r="AO53" s="149">
        <f t="shared" si="75"/>
        <v>1.2000000000000002</v>
      </c>
      <c r="AP53" s="149">
        <f t="shared" ref="AP53:AS53" si="76">ROUNDUP(AP26/AP$6*100,1)</f>
        <v>1.3</v>
      </c>
      <c r="AQ53" s="149">
        <f t="shared" si="76"/>
        <v>1</v>
      </c>
      <c r="AR53" s="149">
        <f t="shared" si="76"/>
        <v>1.2000000000000002</v>
      </c>
      <c r="AS53" s="149">
        <f t="shared" si="76"/>
        <v>1.1000000000000001</v>
      </c>
    </row>
    <row r="54" spans="1:45" ht="17.25" customHeight="1">
      <c r="A54" s="156" t="s">
        <v>60</v>
      </c>
      <c r="B54" s="149">
        <f>B27*100/$B$6</f>
        <v>0</v>
      </c>
      <c r="C54" s="149">
        <f t="shared" si="64"/>
        <v>0</v>
      </c>
      <c r="D54" s="155" t="s">
        <v>146</v>
      </c>
      <c r="E54" s="149">
        <f>SUM(E27*100/$E$6)</f>
        <v>0</v>
      </c>
      <c r="F54" s="149">
        <f>F27/$F$6*100</f>
        <v>0.47606676697268546</v>
      </c>
      <c r="G54" s="149">
        <f>G27/$G$6*100</f>
        <v>0.43286556069138654</v>
      </c>
      <c r="H54" s="149">
        <f>H27/$H$6*100</f>
        <v>0.47701918786256131</v>
      </c>
      <c r="I54" s="149">
        <f t="shared" si="65"/>
        <v>0.31263056287908259</v>
      </c>
      <c r="J54" s="149">
        <f t="shared" si="66"/>
        <v>0.64940896523648428</v>
      </c>
      <c r="K54" s="149">
        <f t="shared" si="67"/>
        <v>0.61819787243587687</v>
      </c>
      <c r="L54" s="149">
        <f t="shared" ref="L54:AK54" si="77">L27/L$6*100</f>
        <v>0.26310406874349179</v>
      </c>
      <c r="M54" s="149">
        <f t="shared" si="77"/>
        <v>0.72298327535997953</v>
      </c>
      <c r="N54" s="149">
        <f t="shared" si="77"/>
        <v>1.023759113624557</v>
      </c>
      <c r="O54" s="149">
        <f t="shared" si="77"/>
        <v>0.45027140786546849</v>
      </c>
      <c r="P54" s="149">
        <f t="shared" si="77"/>
        <v>0.71137156739306295</v>
      </c>
      <c r="Q54" s="149">
        <f t="shared" si="77"/>
        <v>0.84688777713837426</v>
      </c>
      <c r="R54" s="149">
        <f t="shared" si="77"/>
        <v>0.76435263814664312</v>
      </c>
      <c r="S54" s="149">
        <f t="shared" si="77"/>
        <v>0.18023662329435763</v>
      </c>
      <c r="T54" s="149">
        <f t="shared" si="77"/>
        <v>0.33846775731662537</v>
      </c>
      <c r="U54" s="149">
        <f t="shared" si="77"/>
        <v>0.19761252580726749</v>
      </c>
      <c r="V54" s="149">
        <f t="shared" si="77"/>
        <v>0.44269090311292725</v>
      </c>
      <c r="W54" s="149">
        <f t="shared" si="77"/>
        <v>0.53499830452982855</v>
      </c>
      <c r="X54" s="149">
        <f t="shared" si="77"/>
        <v>1.1135168012624324</v>
      </c>
      <c r="Y54" s="149">
        <f t="shared" si="77"/>
        <v>0.26969519693577904</v>
      </c>
      <c r="Z54" s="149">
        <f t="shared" si="77"/>
        <v>0.4642210764023687</v>
      </c>
      <c r="AA54" s="149">
        <f t="shared" si="77"/>
        <v>5.120928821579588E-2</v>
      </c>
      <c r="AB54" s="149">
        <f t="shared" si="77"/>
        <v>0.13522214101223004</v>
      </c>
      <c r="AC54" s="149">
        <f t="shared" si="77"/>
        <v>0.66074635025277295</v>
      </c>
      <c r="AD54" s="149">
        <f t="shared" si="77"/>
        <v>0.29346085327037691</v>
      </c>
      <c r="AE54" s="149">
        <f t="shared" si="77"/>
        <v>0.36203282578603913</v>
      </c>
      <c r="AF54" s="149">
        <f t="shared" si="77"/>
        <v>0.67622112416069169</v>
      </c>
      <c r="AG54" s="149">
        <f t="shared" si="77"/>
        <v>0.58301698087652276</v>
      </c>
      <c r="AH54" s="149">
        <f t="shared" si="77"/>
        <v>0.63355435885075362</v>
      </c>
      <c r="AI54" s="149">
        <f t="shared" si="77"/>
        <v>0.49946149811304785</v>
      </c>
      <c r="AJ54" s="149">
        <f t="shared" si="77"/>
        <v>0.85889410075772554</v>
      </c>
      <c r="AK54" s="149">
        <f t="shared" si="77"/>
        <v>1.323668078294266</v>
      </c>
      <c r="AL54" s="149">
        <f t="shared" ref="AL54:AO54" si="78">AL27/AL$6*100</f>
        <v>0.52679092446824771</v>
      </c>
      <c r="AM54" s="149">
        <f t="shared" si="78"/>
        <v>1.0794171267062023</v>
      </c>
      <c r="AN54" s="149">
        <f t="shared" si="78"/>
        <v>0.84906178929938236</v>
      </c>
      <c r="AO54" s="149">
        <f t="shared" si="78"/>
        <v>0.60973524192949624</v>
      </c>
      <c r="AP54" s="149">
        <f t="shared" ref="AP54:AS54" si="79">AP27/AP$6*100</f>
        <v>1.229971666040387</v>
      </c>
      <c r="AQ54" s="149">
        <f t="shared" si="79"/>
        <v>1.1344738525313534</v>
      </c>
      <c r="AR54" s="149">
        <f t="shared" si="79"/>
        <v>0.65500303651496505</v>
      </c>
      <c r="AS54" s="149">
        <f t="shared" si="79"/>
        <v>0.92935106451658389</v>
      </c>
    </row>
    <row r="55" spans="1:45" ht="17.25" customHeight="1">
      <c r="A55" s="156" t="s">
        <v>59</v>
      </c>
      <c r="B55" s="149">
        <f>B28*100/$B$6</f>
        <v>2.2653166646623446</v>
      </c>
      <c r="C55" s="149">
        <f t="shared" si="64"/>
        <v>2.4716568738259945</v>
      </c>
      <c r="D55" s="155" t="s">
        <v>146</v>
      </c>
      <c r="E55" s="149">
        <f>SUM(E28*100/$E$6)</f>
        <v>1.198356223946156</v>
      </c>
      <c r="F55" s="149">
        <f>ROUNDDOWN(F28/$F$6*100,0)</f>
        <v>1</v>
      </c>
      <c r="G55" s="149">
        <f>ROUNDUP(G28/$G$6*100,1)</f>
        <v>1.9000000000000001</v>
      </c>
      <c r="H55" s="149">
        <f>H28/$H$6*100</f>
        <v>3.4315675400012751</v>
      </c>
      <c r="I55" s="149">
        <f t="shared" si="65"/>
        <v>1.9540819554349549</v>
      </c>
      <c r="J55" s="149">
        <f t="shared" si="66"/>
        <v>1.1068648407285582</v>
      </c>
      <c r="K55" s="149">
        <f t="shared" si="67"/>
        <v>1.7724421868588989</v>
      </c>
      <c r="L55" s="149">
        <f t="shared" ref="L55:AH55" si="80">L28/L$6*100</f>
        <v>0.90414733912681688</v>
      </c>
      <c r="M55" s="149">
        <f t="shared" si="80"/>
        <v>1.6233298110956966</v>
      </c>
      <c r="N55" s="149">
        <f t="shared" si="80"/>
        <v>1.3154350094886127</v>
      </c>
      <c r="O55" s="149">
        <f t="shared" si="80"/>
        <v>1.4861686184197824</v>
      </c>
      <c r="P55" s="149">
        <f t="shared" si="80"/>
        <v>0.86672426490354382</v>
      </c>
      <c r="Q55" s="149">
        <f t="shared" si="80"/>
        <v>1.1556482900434808</v>
      </c>
      <c r="R55" s="149">
        <f t="shared" si="80"/>
        <v>1.8525269950233716</v>
      </c>
      <c r="S55" s="149">
        <f t="shared" si="80"/>
        <v>1.15221921477184</v>
      </c>
      <c r="T55" s="149">
        <f t="shared" si="80"/>
        <v>1.313377304726308</v>
      </c>
      <c r="U55" s="149">
        <f t="shared" si="80"/>
        <v>1.1807330766705042</v>
      </c>
      <c r="V55" s="149">
        <f t="shared" si="80"/>
        <v>1.5420057303225656</v>
      </c>
      <c r="W55" s="149">
        <f t="shared" si="80"/>
        <v>2.2597584539650617</v>
      </c>
      <c r="X55" s="149">
        <f t="shared" si="80"/>
        <v>1.7234015845545274</v>
      </c>
      <c r="Y55" s="149">
        <f t="shared" si="80"/>
        <v>1.1064123127226622</v>
      </c>
      <c r="Z55" s="149">
        <f t="shared" si="80"/>
        <v>1.5066289957342902</v>
      </c>
      <c r="AA55" s="149">
        <f t="shared" si="80"/>
        <v>1.8935852099644439</v>
      </c>
      <c r="AB55" s="149">
        <f t="shared" si="80"/>
        <v>1.66258699015925</v>
      </c>
      <c r="AC55" s="149">
        <f t="shared" si="80"/>
        <v>1.9400231630439584</v>
      </c>
      <c r="AD55" s="149">
        <f t="shared" si="80"/>
        <v>2.1876976260366954</v>
      </c>
      <c r="AE55" s="149">
        <f t="shared" si="80"/>
        <v>1.4891833102630017</v>
      </c>
      <c r="AF55" s="149">
        <f t="shared" si="80"/>
        <v>1.5443785721788557</v>
      </c>
      <c r="AG55" s="149">
        <f t="shared" si="80"/>
        <v>1.7902960079521097</v>
      </c>
      <c r="AH55" s="149">
        <f t="shared" si="80"/>
        <v>1.9615677659706978</v>
      </c>
      <c r="AI55" s="149">
        <f>AI28/AI$6*100-0.02</f>
        <v>1.2312085355542977</v>
      </c>
      <c r="AJ55" s="149">
        <f t="shared" ref="AJ55:AK58" si="81">AJ28/AJ$6*100</f>
        <v>1.7198654265889426</v>
      </c>
      <c r="AK55" s="149">
        <f t="shared" si="81"/>
        <v>3.6291417573378117</v>
      </c>
      <c r="AL55" s="149">
        <f t="shared" ref="AL55:AO55" si="82">AL28/AL$6*100</f>
        <v>3.912338882456714</v>
      </c>
      <c r="AM55" s="149">
        <f t="shared" si="82"/>
        <v>2.2348315038489619</v>
      </c>
      <c r="AN55" s="149">
        <f t="shared" si="82"/>
        <v>0.92043244951663761</v>
      </c>
      <c r="AO55" s="149">
        <f t="shared" si="82"/>
        <v>1.1108543551146768</v>
      </c>
      <c r="AP55" s="149">
        <f t="shared" ref="AP55:AS55" si="83">AP28/AP$6*100</f>
        <v>0.86827291070439538</v>
      </c>
      <c r="AQ55" s="149">
        <f t="shared" si="83"/>
        <v>1.1874246018573245</v>
      </c>
      <c r="AR55" s="149">
        <f t="shared" si="83"/>
        <v>1.7627299006365436</v>
      </c>
      <c r="AS55" s="149">
        <f t="shared" si="83"/>
        <v>1.275075003320701</v>
      </c>
    </row>
    <row r="56" spans="1:45" ht="17.25" customHeight="1">
      <c r="A56" s="154" t="s">
        <v>58</v>
      </c>
      <c r="B56" s="149">
        <f>B29*100/$B$6</f>
        <v>0.49176496955252597</v>
      </c>
      <c r="C56" s="149">
        <f t="shared" si="64"/>
        <v>0.46325613956334349</v>
      </c>
      <c r="D56" s="155" t="s">
        <v>146</v>
      </c>
      <c r="E56" s="149">
        <f>SUM(E29*100/$E$6)</f>
        <v>0.50768212525398582</v>
      </c>
      <c r="F56" s="149">
        <f>F29/$F$6*100</f>
        <v>0.60281724663440539</v>
      </c>
      <c r="G56" s="149">
        <f>G29/$G$6*100</f>
        <v>0.37527886275259092</v>
      </c>
      <c r="H56" s="149">
        <f>ROUNDUP(H29/$H$6*100,1)</f>
        <v>0.30000000000000004</v>
      </c>
      <c r="I56" s="149">
        <f t="shared" si="65"/>
        <v>1.0234563748509977</v>
      </c>
      <c r="J56" s="149">
        <f t="shared" si="66"/>
        <v>1.1125599344490846</v>
      </c>
      <c r="K56" s="149">
        <f t="shared" si="67"/>
        <v>0.79954205834756908</v>
      </c>
      <c r="L56" s="149">
        <f t="shared" ref="L56:AH56" si="84">L29/L$6*100</f>
        <v>0.53855868409940921</v>
      </c>
      <c r="M56" s="149">
        <f t="shared" si="84"/>
        <v>0.17022625693171561</v>
      </c>
      <c r="N56" s="149">
        <f t="shared" si="84"/>
        <v>0.21139019317125865</v>
      </c>
      <c r="O56" s="149">
        <f t="shared" si="84"/>
        <v>0.35572972530314928</v>
      </c>
      <c r="P56" s="149">
        <f t="shared" si="84"/>
        <v>0.2201194559092165</v>
      </c>
      <c r="Q56" s="149">
        <f t="shared" si="84"/>
        <v>0.27218019928400805</v>
      </c>
      <c r="R56" s="149">
        <f t="shared" si="84"/>
        <v>0.62052244225302844</v>
      </c>
      <c r="S56" s="149">
        <f t="shared" si="84"/>
        <v>0.38312985148713208</v>
      </c>
      <c r="T56" s="149">
        <f t="shared" si="84"/>
        <v>0.15578341479522559</v>
      </c>
      <c r="U56" s="149">
        <f t="shared" si="84"/>
        <v>0.28833496084204374</v>
      </c>
      <c r="V56" s="149">
        <f t="shared" si="84"/>
        <v>0.35564988668521974</v>
      </c>
      <c r="W56" s="149">
        <f t="shared" si="84"/>
        <v>0.16084896283997099</v>
      </c>
      <c r="X56" s="149">
        <f t="shared" si="84"/>
        <v>0.39249435407756189</v>
      </c>
      <c r="Y56" s="149">
        <f t="shared" si="84"/>
        <v>0.40130472607012796</v>
      </c>
      <c r="Z56" s="149">
        <f t="shared" si="84"/>
        <v>5.647515366631542E-2</v>
      </c>
      <c r="AA56" s="149">
        <f t="shared" si="84"/>
        <v>0.14348592756660072</v>
      </c>
      <c r="AB56" s="149">
        <f t="shared" si="84"/>
        <v>0.23517546611117029</v>
      </c>
      <c r="AC56" s="149">
        <f t="shared" si="84"/>
        <v>0.14413452807369839</v>
      </c>
      <c r="AD56" s="149">
        <f t="shared" si="84"/>
        <v>0.54095795843816463</v>
      </c>
      <c r="AE56" s="149">
        <f t="shared" si="84"/>
        <v>0.42111924065651574</v>
      </c>
      <c r="AF56" s="149">
        <f t="shared" si="84"/>
        <v>0.36624359385891914</v>
      </c>
      <c r="AG56" s="149">
        <f t="shared" si="84"/>
        <v>0.38367858539373734</v>
      </c>
      <c r="AH56" s="149">
        <f t="shared" si="84"/>
        <v>0.42560488143401831</v>
      </c>
      <c r="AI56" s="149">
        <f>AI29/AI$6*100</f>
        <v>0.49443175476568185</v>
      </c>
      <c r="AJ56" s="149">
        <f t="shared" si="81"/>
        <v>0.50045737418747804</v>
      </c>
      <c r="AK56" s="149">
        <f t="shared" si="81"/>
        <v>0.41177089988686394</v>
      </c>
      <c r="AL56" s="149">
        <f t="shared" ref="AL56:AO56" si="85">AL29/AL$6*100</f>
        <v>0.43575523729659477</v>
      </c>
      <c r="AM56" s="149">
        <f t="shared" si="85"/>
        <v>0.90052472258868832</v>
      </c>
      <c r="AN56" s="149">
        <f t="shared" si="85"/>
        <v>0.33589729495750398</v>
      </c>
      <c r="AO56" s="149">
        <f t="shared" si="85"/>
        <v>0.72711073589512787</v>
      </c>
      <c r="AP56" s="149">
        <f t="shared" ref="AP56:AS56" si="86">AP29/AP$6*100</f>
        <v>0.91395273874165883</v>
      </c>
      <c r="AQ56" s="149">
        <f t="shared" si="86"/>
        <v>0.60140392353717487</v>
      </c>
      <c r="AR56" s="149">
        <f t="shared" si="86"/>
        <v>0.55394099310714984</v>
      </c>
      <c r="AS56" s="149">
        <f t="shared" si="86"/>
        <v>0.48938600051795522</v>
      </c>
    </row>
    <row r="57" spans="1:45" ht="17.25" customHeight="1">
      <c r="A57" s="154" t="s">
        <v>57</v>
      </c>
      <c r="B57" s="149">
        <f>B30*100/$B$6</f>
        <v>0</v>
      </c>
      <c r="C57" s="149">
        <f t="shared" ref="C57:E58" si="87">C30*100/$B$6</f>
        <v>0</v>
      </c>
      <c r="D57" s="149">
        <f t="shared" si="87"/>
        <v>0</v>
      </c>
      <c r="E57" s="149">
        <f t="shared" si="87"/>
        <v>0</v>
      </c>
      <c r="F57" s="149">
        <f>F30/$F$6*100</f>
        <v>0</v>
      </c>
      <c r="G57" s="149">
        <f>G30/$G$6*100</f>
        <v>0</v>
      </c>
      <c r="H57" s="149">
        <f>H30/$H$6*100</f>
        <v>0</v>
      </c>
      <c r="I57" s="149">
        <f t="shared" si="65"/>
        <v>0</v>
      </c>
      <c r="J57" s="149">
        <f t="shared" si="66"/>
        <v>0</v>
      </c>
      <c r="K57" s="149" t="s">
        <v>146</v>
      </c>
      <c r="L57" s="149">
        <f t="shared" ref="L57:AH57" si="88">L30/L$6*100</f>
        <v>0</v>
      </c>
      <c r="M57" s="149">
        <f t="shared" si="88"/>
        <v>0</v>
      </c>
      <c r="N57" s="149">
        <f t="shared" si="88"/>
        <v>0</v>
      </c>
      <c r="O57" s="149">
        <f t="shared" si="88"/>
        <v>0</v>
      </c>
      <c r="P57" s="149">
        <f t="shared" si="88"/>
        <v>0</v>
      </c>
      <c r="Q57" s="149">
        <f t="shared" si="88"/>
        <v>0</v>
      </c>
      <c r="R57" s="149">
        <f t="shared" si="88"/>
        <v>0</v>
      </c>
      <c r="S57" s="149">
        <f t="shared" si="88"/>
        <v>0</v>
      </c>
      <c r="T57" s="149">
        <f t="shared" si="88"/>
        <v>0</v>
      </c>
      <c r="U57" s="149">
        <f t="shared" si="88"/>
        <v>0</v>
      </c>
      <c r="V57" s="149">
        <f t="shared" si="88"/>
        <v>0</v>
      </c>
      <c r="W57" s="149">
        <f t="shared" si="88"/>
        <v>0</v>
      </c>
      <c r="X57" s="149">
        <f t="shared" si="88"/>
        <v>0</v>
      </c>
      <c r="Y57" s="149">
        <f t="shared" si="88"/>
        <v>0</v>
      </c>
      <c r="Z57" s="149">
        <f t="shared" si="88"/>
        <v>0</v>
      </c>
      <c r="AA57" s="149">
        <f t="shared" si="88"/>
        <v>0</v>
      </c>
      <c r="AB57" s="149">
        <f t="shared" si="88"/>
        <v>0</v>
      </c>
      <c r="AC57" s="149">
        <f t="shared" si="88"/>
        <v>0</v>
      </c>
      <c r="AD57" s="149">
        <f t="shared" si="88"/>
        <v>0</v>
      </c>
      <c r="AE57" s="149">
        <f t="shared" si="88"/>
        <v>0</v>
      </c>
      <c r="AF57" s="149">
        <f t="shared" si="88"/>
        <v>0</v>
      </c>
      <c r="AG57" s="149">
        <f t="shared" si="88"/>
        <v>0</v>
      </c>
      <c r="AH57" s="149">
        <f t="shared" si="88"/>
        <v>0</v>
      </c>
      <c r="AI57" s="149">
        <f>AI30/AI$6*100</f>
        <v>0</v>
      </c>
      <c r="AJ57" s="149">
        <f t="shared" si="81"/>
        <v>0</v>
      </c>
      <c r="AK57" s="149">
        <f t="shared" si="81"/>
        <v>0</v>
      </c>
      <c r="AL57" s="149">
        <f t="shared" ref="AL57:AO57" si="89">AL30/AL$6*100</f>
        <v>0</v>
      </c>
      <c r="AM57" s="149">
        <f t="shared" si="89"/>
        <v>0</v>
      </c>
      <c r="AN57" s="149">
        <f t="shared" si="89"/>
        <v>0</v>
      </c>
      <c r="AO57" s="149">
        <f t="shared" si="89"/>
        <v>0</v>
      </c>
      <c r="AP57" s="149">
        <f t="shared" ref="AP57:AS57" si="90">AP30/AP$6*100</f>
        <v>0</v>
      </c>
      <c r="AQ57" s="149">
        <f t="shared" si="90"/>
        <v>0</v>
      </c>
      <c r="AR57" s="149">
        <f t="shared" si="90"/>
        <v>0</v>
      </c>
      <c r="AS57" s="149">
        <f t="shared" si="90"/>
        <v>0</v>
      </c>
    </row>
    <row r="58" spans="1:45" ht="21.75">
      <c r="A58" s="153" t="s">
        <v>56</v>
      </c>
      <c r="B58" s="152">
        <f>B31*100/$B$6</f>
        <v>0</v>
      </c>
      <c r="C58" s="152">
        <f t="shared" si="87"/>
        <v>0</v>
      </c>
      <c r="D58" s="152">
        <f t="shared" si="87"/>
        <v>0</v>
      </c>
      <c r="E58" s="152">
        <f t="shared" si="87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65"/>
        <v>0</v>
      </c>
      <c r="J58" s="152">
        <f t="shared" si="66"/>
        <v>0</v>
      </c>
      <c r="K58" s="152" t="s">
        <v>146</v>
      </c>
      <c r="L58" s="152">
        <f t="shared" ref="L58:AH58" si="91">L31/L$6*100</f>
        <v>0</v>
      </c>
      <c r="M58" s="152">
        <f t="shared" si="91"/>
        <v>0</v>
      </c>
      <c r="N58" s="152">
        <f t="shared" si="91"/>
        <v>0</v>
      </c>
      <c r="O58" s="152">
        <f t="shared" si="91"/>
        <v>0</v>
      </c>
      <c r="P58" s="152">
        <f t="shared" si="91"/>
        <v>0</v>
      </c>
      <c r="Q58" s="152">
        <f t="shared" si="91"/>
        <v>0</v>
      </c>
      <c r="R58" s="152">
        <f t="shared" si="91"/>
        <v>0</v>
      </c>
      <c r="S58" s="152">
        <f t="shared" si="91"/>
        <v>0</v>
      </c>
      <c r="T58" s="152">
        <f t="shared" si="91"/>
        <v>0</v>
      </c>
      <c r="U58" s="152">
        <f t="shared" si="91"/>
        <v>0</v>
      </c>
      <c r="V58" s="152">
        <f t="shared" si="91"/>
        <v>0</v>
      </c>
      <c r="W58" s="152">
        <f t="shared" si="91"/>
        <v>0</v>
      </c>
      <c r="X58" s="152">
        <f t="shared" si="91"/>
        <v>0</v>
      </c>
      <c r="Y58" s="152">
        <f t="shared" si="91"/>
        <v>0</v>
      </c>
      <c r="Z58" s="152">
        <f t="shared" si="91"/>
        <v>0</v>
      </c>
      <c r="AA58" s="152">
        <f t="shared" si="91"/>
        <v>0</v>
      </c>
      <c r="AB58" s="152">
        <f t="shared" si="91"/>
        <v>0</v>
      </c>
      <c r="AC58" s="152">
        <f t="shared" si="91"/>
        <v>0</v>
      </c>
      <c r="AD58" s="152">
        <f t="shared" si="91"/>
        <v>0</v>
      </c>
      <c r="AE58" s="152">
        <f t="shared" si="91"/>
        <v>0</v>
      </c>
      <c r="AF58" s="152">
        <f t="shared" si="91"/>
        <v>0</v>
      </c>
      <c r="AG58" s="152">
        <f t="shared" si="91"/>
        <v>0</v>
      </c>
      <c r="AH58" s="152">
        <f t="shared" si="91"/>
        <v>0</v>
      </c>
      <c r="AI58" s="152">
        <f>AI31/AI$6*100</f>
        <v>0</v>
      </c>
      <c r="AJ58" s="152">
        <f t="shared" si="81"/>
        <v>0</v>
      </c>
      <c r="AK58" s="152">
        <f t="shared" si="81"/>
        <v>0</v>
      </c>
      <c r="AL58" s="152">
        <f t="shared" ref="AL58:AO58" si="92">AL31/AL$6*100</f>
        <v>0</v>
      </c>
      <c r="AM58" s="152">
        <f t="shared" si="92"/>
        <v>0</v>
      </c>
      <c r="AN58" s="152">
        <f t="shared" si="92"/>
        <v>0</v>
      </c>
      <c r="AO58" s="152">
        <f t="shared" si="92"/>
        <v>0</v>
      </c>
      <c r="AP58" s="152">
        <f t="shared" ref="AP58:AS58" si="93">AP31/AP$6*100</f>
        <v>0</v>
      </c>
      <c r="AQ58" s="152">
        <f t="shared" si="93"/>
        <v>0</v>
      </c>
      <c r="AR58" s="152">
        <f t="shared" si="93"/>
        <v>0</v>
      </c>
      <c r="AS58" s="152">
        <f t="shared" si="93"/>
        <v>3.4802431272618797E-2</v>
      </c>
    </row>
    <row r="59" spans="1:45">
      <c r="P59" s="151"/>
      <c r="Q59" s="150"/>
      <c r="S59" s="150"/>
      <c r="W59" s="150"/>
      <c r="AA59" s="150"/>
      <c r="AB59" s="149"/>
      <c r="AD59" s="150"/>
      <c r="AE59" s="150"/>
      <c r="AF59" s="149"/>
      <c r="AG59" s="144"/>
      <c r="AH59" s="150"/>
      <c r="AI59" s="150"/>
      <c r="AJ59" s="149"/>
      <c r="AK59" s="144"/>
      <c r="AL59" s="150"/>
      <c r="AM59" s="150"/>
      <c r="AN59" s="150"/>
      <c r="AO59" s="150"/>
      <c r="AP59" s="150"/>
      <c r="AQ59" s="150"/>
      <c r="AR59" s="150"/>
      <c r="AS59" s="150"/>
    </row>
    <row r="60" spans="1:45">
      <c r="AD60" s="144"/>
      <c r="AE60" s="144"/>
      <c r="AF60" s="144"/>
      <c r="AG60" s="144"/>
      <c r="AH60" s="144"/>
      <c r="AI60" s="144"/>
      <c r="AJ60" s="144"/>
      <c r="AK60" s="144"/>
      <c r="AL60" s="150"/>
      <c r="AM60" s="150"/>
      <c r="AN60" s="150"/>
      <c r="AO60" s="150"/>
      <c r="AP60" s="150"/>
      <c r="AQ60" s="150"/>
      <c r="AR60" s="150"/>
      <c r="AS60" s="150"/>
    </row>
    <row r="61" spans="1:45">
      <c r="AD61" s="144"/>
      <c r="AE61" s="144"/>
      <c r="AF61" s="144"/>
      <c r="AG61" s="144"/>
      <c r="AH61" s="144"/>
      <c r="AI61" s="144"/>
      <c r="AJ61" s="144"/>
      <c r="AK61" s="144"/>
    </row>
    <row r="62" spans="1:45">
      <c r="AD62" s="144"/>
      <c r="AE62" s="144"/>
      <c r="AF62" s="144"/>
      <c r="AG62" s="144"/>
      <c r="AH62" s="144"/>
      <c r="AI62" s="144"/>
      <c r="AJ62" s="144"/>
      <c r="AK62" s="144"/>
    </row>
    <row r="63" spans="1:45">
      <c r="AD63" s="144"/>
      <c r="AE63" s="144"/>
      <c r="AF63" s="144"/>
      <c r="AG63" s="144"/>
      <c r="AH63" s="144"/>
      <c r="AI63" s="144"/>
      <c r="AJ63" s="144"/>
      <c r="AK63" s="144"/>
    </row>
    <row r="64" spans="1:45">
      <c r="AD64" s="144"/>
      <c r="AE64" s="144"/>
      <c r="AF64" s="144"/>
      <c r="AG64" s="144"/>
      <c r="AH64" s="144"/>
      <c r="AI64" s="144"/>
      <c r="AJ64" s="144"/>
      <c r="AK64" s="144"/>
    </row>
    <row r="65" spans="16:37" ht="21.75">
      <c r="P65" s="144"/>
      <c r="AD65" s="144"/>
      <c r="AE65" s="144"/>
      <c r="AF65" s="144"/>
      <c r="AG65" s="144"/>
      <c r="AH65" s="144"/>
      <c r="AI65" s="144"/>
      <c r="AJ65" s="144"/>
      <c r="AK65" s="144"/>
    </row>
    <row r="66" spans="16:37" ht="21.75">
      <c r="P66" s="144"/>
      <c r="AD66" s="144"/>
      <c r="AE66" s="144"/>
      <c r="AF66" s="144"/>
      <c r="AG66" s="144"/>
      <c r="AH66" s="144"/>
      <c r="AI66" s="144"/>
      <c r="AJ66" s="144"/>
      <c r="AK66" s="144"/>
    </row>
    <row r="67" spans="16:37" ht="21.75">
      <c r="P67" s="144"/>
      <c r="AD67" s="144"/>
      <c r="AE67" s="144"/>
      <c r="AF67" s="144"/>
      <c r="AG67" s="144"/>
      <c r="AH67" s="144"/>
      <c r="AI67" s="144"/>
      <c r="AJ67" s="144"/>
      <c r="AK67" s="144"/>
    </row>
    <row r="68" spans="16:37" ht="21.75">
      <c r="P68" s="144"/>
      <c r="AD68" s="144"/>
      <c r="AE68" s="144"/>
      <c r="AF68" s="144"/>
      <c r="AG68" s="144"/>
      <c r="AH68" s="144"/>
      <c r="AI68" s="144"/>
      <c r="AJ68" s="144"/>
      <c r="AK68" s="144"/>
    </row>
    <row r="69" spans="16:37" ht="21.75">
      <c r="P69" s="144"/>
      <c r="AD69" s="144"/>
      <c r="AE69" s="144"/>
      <c r="AF69" s="144"/>
      <c r="AG69" s="144"/>
      <c r="AH69" s="144"/>
      <c r="AI69" s="144"/>
      <c r="AJ69" s="144"/>
      <c r="AK69" s="144"/>
    </row>
    <row r="70" spans="16:37" ht="21.75">
      <c r="P70" s="144"/>
      <c r="AD70" s="144"/>
      <c r="AE70" s="144"/>
      <c r="AF70" s="144"/>
      <c r="AG70" s="144"/>
      <c r="AH70" s="144"/>
      <c r="AI70" s="144"/>
      <c r="AJ70" s="144"/>
      <c r="AK70" s="144"/>
    </row>
    <row r="71" spans="16:37" ht="21.75">
      <c r="P71" s="144"/>
      <c r="AD71" s="144"/>
      <c r="AE71" s="144"/>
      <c r="AF71" s="144"/>
      <c r="AG71" s="144"/>
      <c r="AH71" s="144"/>
      <c r="AI71" s="144"/>
      <c r="AJ71" s="144"/>
      <c r="AK71" s="144"/>
    </row>
    <row r="72" spans="16:37" ht="21.75">
      <c r="P72" s="144"/>
      <c r="AD72" s="144"/>
      <c r="AE72" s="144"/>
      <c r="AF72" s="144"/>
      <c r="AG72" s="144"/>
      <c r="AH72" s="144"/>
      <c r="AI72" s="144"/>
      <c r="AJ72" s="144"/>
      <c r="AK72" s="144"/>
    </row>
    <row r="73" spans="16:37" ht="21.75">
      <c r="P73" s="144"/>
      <c r="AD73" s="144"/>
      <c r="AE73" s="144"/>
      <c r="AF73" s="144"/>
      <c r="AG73" s="144"/>
      <c r="AH73" s="144"/>
      <c r="AI73" s="144"/>
      <c r="AJ73" s="144"/>
      <c r="AK73" s="144"/>
    </row>
    <row r="74" spans="16:37" ht="21.75">
      <c r="P74" s="144"/>
      <c r="AD74" s="144"/>
      <c r="AE74" s="144"/>
      <c r="AF74" s="144"/>
      <c r="AG74" s="144"/>
      <c r="AH74" s="144"/>
      <c r="AI74" s="144"/>
      <c r="AJ74" s="144"/>
      <c r="AK74" s="144"/>
    </row>
    <row r="75" spans="16:37" ht="21.75">
      <c r="P75" s="144"/>
      <c r="AD75" s="144"/>
      <c r="AE75" s="144"/>
      <c r="AF75" s="144"/>
      <c r="AG75" s="144"/>
      <c r="AH75" s="144"/>
      <c r="AI75" s="144"/>
      <c r="AJ75" s="144"/>
      <c r="AK75" s="144"/>
    </row>
    <row r="76" spans="16:37" ht="21.75">
      <c r="P76" s="144"/>
      <c r="AD76" s="144"/>
      <c r="AE76" s="144"/>
      <c r="AF76" s="144"/>
      <c r="AG76" s="144"/>
      <c r="AH76" s="144"/>
      <c r="AI76" s="144"/>
      <c r="AJ76" s="144"/>
      <c r="AK76" s="144"/>
    </row>
    <row r="77" spans="16:37" ht="21.75">
      <c r="P77" s="144"/>
      <c r="AD77" s="144"/>
      <c r="AE77" s="144"/>
      <c r="AF77" s="144"/>
      <c r="AG77" s="144"/>
      <c r="AH77" s="144"/>
      <c r="AI77" s="144"/>
      <c r="AJ77" s="144"/>
      <c r="AK77" s="144"/>
    </row>
    <row r="78" spans="16:37" ht="21.75">
      <c r="P78" s="144"/>
      <c r="AD78" s="144"/>
      <c r="AE78" s="144"/>
      <c r="AF78" s="144"/>
      <c r="AG78" s="144"/>
      <c r="AH78" s="144"/>
      <c r="AI78" s="144"/>
      <c r="AJ78" s="144"/>
      <c r="AK78" s="144"/>
    </row>
    <row r="79" spans="16:37" ht="21.75">
      <c r="P79" s="144"/>
      <c r="AD79" s="144"/>
      <c r="AE79" s="144"/>
      <c r="AF79" s="144"/>
      <c r="AG79" s="144"/>
      <c r="AH79" s="144"/>
      <c r="AI79" s="144"/>
      <c r="AJ79" s="144"/>
      <c r="AK79" s="144"/>
    </row>
    <row r="80" spans="16:37" ht="21.75">
      <c r="P80" s="144"/>
      <c r="AD80" s="144"/>
      <c r="AE80" s="144"/>
      <c r="AF80" s="144"/>
      <c r="AG80" s="144"/>
      <c r="AH80" s="144"/>
      <c r="AI80" s="144"/>
      <c r="AJ80" s="144"/>
      <c r="AK80" s="144"/>
    </row>
    <row r="81" spans="16:37">
      <c r="AD81" s="144"/>
      <c r="AE81" s="144"/>
      <c r="AF81" s="144"/>
      <c r="AG81" s="144"/>
      <c r="AH81" s="144"/>
      <c r="AI81" s="144"/>
      <c r="AJ81" s="144"/>
      <c r="AK81" s="144"/>
    </row>
    <row r="82" spans="16:37">
      <c r="P82" s="147"/>
      <c r="AD82" s="144"/>
      <c r="AE82" s="144"/>
      <c r="AF82" s="144"/>
      <c r="AG82" s="144"/>
      <c r="AH82" s="144"/>
      <c r="AI82" s="144"/>
      <c r="AJ82" s="144"/>
      <c r="AK82" s="144"/>
    </row>
    <row r="83" spans="16:37">
      <c r="P83" s="147"/>
      <c r="AD83" s="144"/>
      <c r="AE83" s="144"/>
      <c r="AF83" s="144"/>
      <c r="AG83" s="144"/>
      <c r="AH83" s="144"/>
      <c r="AI83" s="144"/>
      <c r="AJ83" s="144"/>
      <c r="AK83" s="144"/>
    </row>
    <row r="84" spans="16:37">
      <c r="P84" s="147"/>
      <c r="AD84" s="144"/>
      <c r="AE84" s="144"/>
      <c r="AF84" s="144"/>
      <c r="AG84" s="144"/>
      <c r="AH84" s="144"/>
      <c r="AI84" s="144"/>
      <c r="AJ84" s="144"/>
      <c r="AK84" s="144"/>
    </row>
    <row r="85" spans="16:37">
      <c r="P85" s="147"/>
      <c r="AD85" s="144"/>
      <c r="AE85" s="144"/>
      <c r="AF85" s="144"/>
      <c r="AG85" s="144"/>
      <c r="AH85" s="144"/>
      <c r="AI85" s="144"/>
      <c r="AJ85" s="144"/>
      <c r="AK85" s="144"/>
    </row>
    <row r="86" spans="16:37">
      <c r="P86" s="147"/>
      <c r="AD86" s="144"/>
      <c r="AE86" s="144"/>
      <c r="AF86" s="144"/>
      <c r="AG86" s="144"/>
      <c r="AH86" s="144"/>
      <c r="AI86" s="144"/>
      <c r="AJ86" s="144"/>
      <c r="AK86" s="144"/>
    </row>
    <row r="87" spans="16:37">
      <c r="P87" s="147"/>
      <c r="AD87" s="144"/>
      <c r="AE87" s="144"/>
      <c r="AF87" s="144"/>
      <c r="AG87" s="144"/>
      <c r="AH87" s="144"/>
      <c r="AI87" s="144"/>
      <c r="AJ87" s="144"/>
      <c r="AK87" s="144"/>
    </row>
    <row r="88" spans="16:37">
      <c r="P88" s="147"/>
      <c r="AD88" s="144"/>
      <c r="AE88" s="144"/>
      <c r="AF88" s="144"/>
      <c r="AG88" s="144"/>
      <c r="AH88" s="144"/>
      <c r="AI88" s="144"/>
      <c r="AJ88" s="144"/>
      <c r="AK88" s="144"/>
    </row>
    <row r="89" spans="16:37">
      <c r="P89" s="147"/>
      <c r="AD89" s="144"/>
      <c r="AE89" s="144"/>
      <c r="AF89" s="144"/>
      <c r="AG89" s="144"/>
      <c r="AH89" s="144"/>
      <c r="AI89" s="144"/>
      <c r="AJ89" s="144"/>
      <c r="AK89" s="144"/>
    </row>
    <row r="90" spans="16:37">
      <c r="P90" s="147"/>
      <c r="AD90" s="144"/>
      <c r="AE90" s="144"/>
      <c r="AF90" s="144"/>
      <c r="AG90" s="144"/>
      <c r="AH90" s="144"/>
      <c r="AI90" s="144"/>
      <c r="AJ90" s="144"/>
      <c r="AK90" s="144"/>
    </row>
    <row r="91" spans="16:37">
      <c r="P91" s="147"/>
      <c r="AD91" s="144"/>
      <c r="AE91" s="144"/>
      <c r="AF91" s="144"/>
      <c r="AG91" s="144"/>
      <c r="AH91" s="144"/>
      <c r="AI91" s="144"/>
      <c r="AJ91" s="144"/>
      <c r="AK91" s="144"/>
    </row>
    <row r="92" spans="16:37">
      <c r="P92" s="147"/>
      <c r="AD92" s="144"/>
      <c r="AE92" s="144"/>
      <c r="AF92" s="144"/>
      <c r="AG92" s="144"/>
      <c r="AH92" s="144"/>
      <c r="AI92" s="144"/>
      <c r="AJ92" s="144"/>
      <c r="AK92" s="144"/>
    </row>
    <row r="93" spans="16:37">
      <c r="P93" s="147"/>
      <c r="AD93" s="144"/>
      <c r="AE93" s="144"/>
      <c r="AF93" s="144"/>
      <c r="AG93" s="144"/>
      <c r="AH93" s="144"/>
      <c r="AI93" s="144"/>
      <c r="AJ93" s="144"/>
      <c r="AK93" s="144"/>
    </row>
    <row r="94" spans="16:37">
      <c r="P94" s="147"/>
      <c r="AD94" s="144"/>
      <c r="AE94" s="144"/>
      <c r="AF94" s="144"/>
      <c r="AG94" s="144"/>
      <c r="AH94" s="144"/>
      <c r="AI94" s="144"/>
      <c r="AJ94" s="144"/>
      <c r="AK94" s="144"/>
    </row>
    <row r="95" spans="16:37">
      <c r="P95" s="147"/>
      <c r="AD95" s="144"/>
      <c r="AE95" s="144"/>
      <c r="AF95" s="144"/>
      <c r="AG95" s="144"/>
      <c r="AH95" s="144"/>
      <c r="AI95" s="144"/>
      <c r="AJ95" s="144"/>
      <c r="AK95" s="144"/>
    </row>
    <row r="96" spans="16:37">
      <c r="P96" s="147"/>
      <c r="AD96" s="148"/>
      <c r="AE96" s="148"/>
      <c r="AF96" s="148"/>
      <c r="AG96" s="148"/>
      <c r="AH96" s="148"/>
      <c r="AI96" s="148"/>
      <c r="AJ96" s="148"/>
      <c r="AK96" s="148"/>
    </row>
    <row r="97" spans="16:37">
      <c r="P97" s="147"/>
      <c r="AD97" s="144"/>
      <c r="AE97" s="144"/>
      <c r="AF97" s="144"/>
      <c r="AG97" s="144"/>
      <c r="AH97" s="144"/>
      <c r="AI97" s="144"/>
      <c r="AJ97" s="144"/>
      <c r="AK97" s="144"/>
    </row>
    <row r="98" spans="16:37">
      <c r="P98" s="147"/>
      <c r="AD98" s="144"/>
      <c r="AE98" s="144"/>
      <c r="AF98" s="144"/>
      <c r="AG98" s="144"/>
      <c r="AH98" s="144"/>
      <c r="AI98" s="144"/>
      <c r="AJ98" s="144"/>
      <c r="AK98" s="144"/>
    </row>
    <row r="99" spans="16:37">
      <c r="P99" s="147"/>
      <c r="AD99" s="144"/>
      <c r="AE99" s="144"/>
      <c r="AF99" s="144"/>
      <c r="AG99" s="144"/>
      <c r="AH99" s="144"/>
      <c r="AI99" s="144"/>
      <c r="AJ99" s="144"/>
      <c r="AK99" s="144"/>
    </row>
    <row r="100" spans="16:37">
      <c r="P100" s="147"/>
      <c r="AD100" s="144"/>
      <c r="AE100" s="144"/>
      <c r="AF100" s="144"/>
      <c r="AG100" s="144"/>
      <c r="AH100" s="144"/>
      <c r="AI100" s="144"/>
      <c r="AJ100" s="144"/>
      <c r="AK100" s="144"/>
    </row>
    <row r="101" spans="16:37">
      <c r="P101" s="147"/>
      <c r="AD101" s="144"/>
      <c r="AE101" s="144"/>
      <c r="AF101" s="144"/>
      <c r="AG101" s="144"/>
      <c r="AH101" s="144"/>
      <c r="AI101" s="144"/>
      <c r="AJ101" s="144"/>
      <c r="AK101" s="144"/>
    </row>
  </sheetData>
  <sheetProtection selectLockedCells="1" selectUnlockedCells="1"/>
  <mergeCells count="14">
    <mergeCell ref="AP3:AS3"/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"/>
  <sheetViews>
    <sheetView zoomScaleNormal="10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P6" sqref="AP6"/>
    </sheetView>
  </sheetViews>
  <sheetFormatPr defaultColWidth="8.140625" defaultRowHeight="30.75" customHeight="1"/>
  <cols>
    <col min="1" max="1" width="19" style="184" customWidth="1"/>
    <col min="2" max="6" width="10.85546875" style="184" customWidth="1"/>
    <col min="7" max="8" width="12" style="184" customWidth="1"/>
    <col min="9" max="10" width="10.85546875" style="184" customWidth="1"/>
    <col min="11" max="15" width="12.28515625" style="184" customWidth="1"/>
    <col min="16" max="16" width="12.28515625" style="93" customWidth="1"/>
    <col min="17" max="18" width="12.28515625" style="90" customWidth="1"/>
    <col min="19" max="20" width="10.85546875" style="90" customWidth="1"/>
    <col min="21" max="21" width="12.28515625" style="90" customWidth="1"/>
    <col min="22" max="22" width="10.85546875" style="90" customWidth="1"/>
    <col min="23" max="23" width="11.5703125" style="90" customWidth="1"/>
    <col min="24" max="24" width="10.85546875" style="90" customWidth="1"/>
    <col min="25" max="25" width="11.42578125" style="90" customWidth="1"/>
    <col min="26" max="26" width="9.85546875" style="90" customWidth="1"/>
    <col min="27" max="27" width="10.7109375" style="90" customWidth="1"/>
    <col min="28" max="28" width="9.42578125" style="90" customWidth="1"/>
    <col min="29" max="29" width="10.140625" style="90" customWidth="1"/>
    <col min="30" max="30" width="13.28515625" style="184" customWidth="1"/>
    <col min="31" max="31" width="10.7109375" style="184" customWidth="1"/>
    <col min="32" max="32" width="10.140625" style="90" customWidth="1"/>
    <col min="33" max="33" width="9.7109375" style="184" customWidth="1"/>
    <col min="34" max="37" width="10.7109375" style="184" customWidth="1"/>
    <col min="38" max="45" width="10.140625" style="184" customWidth="1"/>
    <col min="46" max="16384" width="8.140625" style="184"/>
  </cols>
  <sheetData>
    <row r="1" spans="1:45" s="191" customFormat="1" ht="34.5" customHeight="1">
      <c r="A1" s="191" t="s">
        <v>159</v>
      </c>
      <c r="P1" s="142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F1" s="90"/>
    </row>
    <row r="2" spans="1:45" s="191" customFormat="1" ht="27.6" customHeight="1">
      <c r="A2" s="124"/>
      <c r="B2" s="200"/>
      <c r="C2" s="200"/>
      <c r="F2" s="200"/>
      <c r="J2" s="200"/>
      <c r="P2" s="207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F2" s="90"/>
    </row>
    <row r="3" spans="1:45" s="191" customFormat="1" ht="30.75" customHeight="1">
      <c r="A3" s="1175" t="s">
        <v>5</v>
      </c>
      <c r="B3" s="1168" t="s">
        <v>138</v>
      </c>
      <c r="C3" s="1168"/>
      <c r="D3" s="1168"/>
      <c r="E3" s="1168"/>
      <c r="F3" s="1168" t="s">
        <v>158</v>
      </c>
      <c r="G3" s="1168"/>
      <c r="H3" s="1168"/>
      <c r="I3" s="1168"/>
      <c r="J3" s="1163" t="s">
        <v>136</v>
      </c>
      <c r="K3" s="1163"/>
      <c r="L3" s="1163"/>
      <c r="M3" s="1163"/>
      <c r="N3" s="1163" t="s">
        <v>135</v>
      </c>
      <c r="O3" s="1163"/>
      <c r="P3" s="1163"/>
      <c r="Q3" s="1163"/>
      <c r="R3" s="1163" t="s">
        <v>134</v>
      </c>
      <c r="S3" s="1163"/>
      <c r="T3" s="1163"/>
      <c r="U3" s="1163"/>
      <c r="V3" s="1163" t="s">
        <v>133</v>
      </c>
      <c r="W3" s="1163"/>
      <c r="X3" s="1163"/>
      <c r="Y3" s="1163"/>
      <c r="Z3" s="1163" t="s">
        <v>132</v>
      </c>
      <c r="AA3" s="1163"/>
      <c r="AB3" s="1163"/>
      <c r="AC3" s="1163"/>
      <c r="AD3" s="1163" t="s">
        <v>131</v>
      </c>
      <c r="AE3" s="1163"/>
      <c r="AF3" s="1163"/>
      <c r="AG3" s="1163"/>
      <c r="AH3" s="1163" t="s">
        <v>130</v>
      </c>
      <c r="AI3" s="1163"/>
      <c r="AJ3" s="1163"/>
      <c r="AK3" s="1163"/>
      <c r="AL3" s="1163" t="s">
        <v>169</v>
      </c>
      <c r="AM3" s="1163"/>
      <c r="AN3" s="1163"/>
      <c r="AO3" s="1163"/>
      <c r="AP3" s="1163" t="s">
        <v>205</v>
      </c>
      <c r="AQ3" s="1163"/>
      <c r="AR3" s="1163"/>
      <c r="AS3" s="1163"/>
    </row>
    <row r="4" spans="1:45" s="191" customFormat="1" ht="30.75" customHeight="1">
      <c r="A4" s="1176"/>
      <c r="B4" s="206" t="s">
        <v>129</v>
      </c>
      <c r="C4" s="206" t="s">
        <v>128</v>
      </c>
      <c r="D4" s="206" t="s">
        <v>127</v>
      </c>
      <c r="E4" s="206" t="s">
        <v>126</v>
      </c>
      <c r="F4" s="206" t="s">
        <v>129</v>
      </c>
      <c r="G4" s="206" t="s">
        <v>128</v>
      </c>
      <c r="H4" s="206" t="s">
        <v>127</v>
      </c>
      <c r="I4" s="206" t="s">
        <v>126</v>
      </c>
      <c r="J4" s="205" t="s">
        <v>129</v>
      </c>
      <c r="K4" s="204" t="s">
        <v>128</v>
      </c>
      <c r="L4" s="204" t="s">
        <v>127</v>
      </c>
      <c r="M4" s="204" t="s">
        <v>126</v>
      </c>
      <c r="N4" s="204" t="s">
        <v>129</v>
      </c>
      <c r="O4" s="204" t="s">
        <v>128</v>
      </c>
      <c r="P4" s="204" t="s">
        <v>127</v>
      </c>
      <c r="Q4" s="205" t="s">
        <v>126</v>
      </c>
      <c r="R4" s="204" t="s">
        <v>129</v>
      </c>
      <c r="S4" s="204" t="s">
        <v>128</v>
      </c>
      <c r="T4" s="204" t="s">
        <v>127</v>
      </c>
      <c r="U4" s="204" t="s">
        <v>126</v>
      </c>
      <c r="V4" s="204" t="s">
        <v>129</v>
      </c>
      <c r="W4" s="204" t="s">
        <v>128</v>
      </c>
      <c r="X4" s="204" t="s">
        <v>127</v>
      </c>
      <c r="Y4" s="204" t="s">
        <v>126</v>
      </c>
      <c r="Z4" s="204" t="s">
        <v>129</v>
      </c>
      <c r="AA4" s="204" t="s">
        <v>128</v>
      </c>
      <c r="AB4" s="204" t="s">
        <v>127</v>
      </c>
      <c r="AC4" s="204" t="s">
        <v>126</v>
      </c>
      <c r="AD4" s="204" t="s">
        <v>129</v>
      </c>
      <c r="AE4" s="204" t="s">
        <v>128</v>
      </c>
      <c r="AF4" s="204" t="s">
        <v>127</v>
      </c>
      <c r="AG4" s="204" t="s">
        <v>126</v>
      </c>
      <c r="AH4" s="204" t="s">
        <v>129</v>
      </c>
      <c r="AI4" s="204" t="s">
        <v>128</v>
      </c>
      <c r="AJ4" s="204" t="s">
        <v>127</v>
      </c>
      <c r="AK4" s="204" t="s">
        <v>126</v>
      </c>
      <c r="AL4" s="204" t="s">
        <v>129</v>
      </c>
      <c r="AM4" s="204" t="s">
        <v>128</v>
      </c>
      <c r="AN4" s="204" t="s">
        <v>127</v>
      </c>
      <c r="AO4" s="204" t="s">
        <v>126</v>
      </c>
      <c r="AP4" s="204" t="s">
        <v>129</v>
      </c>
      <c r="AQ4" s="204" t="s">
        <v>128</v>
      </c>
      <c r="AR4" s="204" t="s">
        <v>127</v>
      </c>
      <c r="AS4" s="204" t="s">
        <v>126</v>
      </c>
    </row>
    <row r="5" spans="1:45" s="112" customFormat="1" ht="18.75" customHeight="1">
      <c r="A5" s="1164" t="s">
        <v>21</v>
      </c>
      <c r="B5" s="1164"/>
      <c r="C5" s="1164"/>
      <c r="D5" s="1164"/>
      <c r="E5" s="1164"/>
      <c r="F5" s="1164"/>
      <c r="G5" s="1164"/>
      <c r="H5" s="1164"/>
      <c r="I5" s="1164"/>
      <c r="J5" s="1164"/>
      <c r="K5" s="1164"/>
      <c r="L5" s="1164"/>
      <c r="N5" s="191"/>
      <c r="P5" s="128"/>
    </row>
    <row r="6" spans="1:45" s="191" customFormat="1" ht="24.95" customHeight="1">
      <c r="A6" s="194" t="s">
        <v>37</v>
      </c>
      <c r="B6" s="201">
        <v>1463504</v>
      </c>
      <c r="C6" s="201">
        <v>1497012</v>
      </c>
      <c r="D6" s="192">
        <v>0</v>
      </c>
      <c r="E6" s="201">
        <v>1554713</v>
      </c>
      <c r="F6" s="201">
        <v>1444247</v>
      </c>
      <c r="G6" s="201">
        <v>1502083</v>
      </c>
      <c r="H6" s="201">
        <v>1568700</v>
      </c>
      <c r="I6" s="201">
        <v>1596453</v>
      </c>
      <c r="J6" s="201">
        <v>1473724.65</v>
      </c>
      <c r="K6" s="201">
        <v>1558329.53</v>
      </c>
      <c r="L6" s="201">
        <v>1603167.91</v>
      </c>
      <c r="M6" s="201">
        <v>1616084</v>
      </c>
      <c r="N6" s="201">
        <v>1503381</v>
      </c>
      <c r="O6" s="201">
        <v>1501983</v>
      </c>
      <c r="P6" s="201">
        <v>1599586</v>
      </c>
      <c r="Q6" s="201">
        <v>1588286</v>
      </c>
      <c r="R6" s="201">
        <v>1349508</v>
      </c>
      <c r="S6" s="201">
        <v>1397341</v>
      </c>
      <c r="T6" s="201">
        <v>1405156</v>
      </c>
      <c r="U6" s="201">
        <f>SUM(U8:U13)</f>
        <v>1416408</v>
      </c>
      <c r="V6" s="201">
        <v>1362576</v>
      </c>
      <c r="W6" s="201">
        <v>1368352</v>
      </c>
      <c r="X6" s="201">
        <v>1366251.5</v>
      </c>
      <c r="Y6" s="201">
        <v>1389717</v>
      </c>
      <c r="Z6" s="203">
        <v>1280209</v>
      </c>
      <c r="AA6" s="203">
        <v>1281018</v>
      </c>
      <c r="AB6" s="203">
        <v>1332622</v>
      </c>
      <c r="AC6" s="203">
        <v>1315216</v>
      </c>
      <c r="AD6" s="203">
        <v>1244459</v>
      </c>
      <c r="AE6" s="203">
        <v>1264250</v>
      </c>
      <c r="AF6" s="203">
        <v>1361389</v>
      </c>
      <c r="AG6" s="203">
        <v>1306823</v>
      </c>
      <c r="AH6" s="203">
        <v>1236358</v>
      </c>
      <c r="AI6" s="203">
        <v>1252549</v>
      </c>
      <c r="AJ6" s="203">
        <v>1299811</v>
      </c>
      <c r="AK6" s="203">
        <v>1263081</v>
      </c>
      <c r="AL6" s="203">
        <v>1184151</v>
      </c>
      <c r="AM6" s="203">
        <v>1171095</v>
      </c>
      <c r="AN6" s="203">
        <v>1164344</v>
      </c>
      <c r="AO6" s="203">
        <v>1198717</v>
      </c>
      <c r="AP6" s="203">
        <v>1123034</v>
      </c>
      <c r="AQ6" s="203">
        <v>1235110</v>
      </c>
      <c r="AR6" s="203">
        <v>1289307</v>
      </c>
      <c r="AS6" s="203">
        <v>1347607</v>
      </c>
    </row>
    <row r="7" spans="1:45" s="191" customFormat="1" ht="6" customHeight="1">
      <c r="A7" s="194"/>
      <c r="B7" s="201"/>
      <c r="C7" s="201"/>
      <c r="D7" s="193"/>
      <c r="E7" s="201"/>
      <c r="F7" s="201"/>
      <c r="G7" s="201"/>
      <c r="H7" s="202"/>
      <c r="I7" s="202"/>
      <c r="J7" s="202"/>
      <c r="K7" s="201"/>
      <c r="L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</row>
    <row r="8" spans="1:45" ht="24.95" customHeight="1">
      <c r="A8" s="190" t="s">
        <v>88</v>
      </c>
      <c r="B8" s="199">
        <v>30259</v>
      </c>
      <c r="C8" s="199">
        <v>28558</v>
      </c>
      <c r="D8" s="188">
        <v>0</v>
      </c>
      <c r="E8" s="199">
        <v>28350</v>
      </c>
      <c r="F8" s="199">
        <v>37077</v>
      </c>
      <c r="G8" s="199">
        <v>29567</v>
      </c>
      <c r="H8" s="199">
        <v>23227</v>
      </c>
      <c r="I8" s="199">
        <v>30768.880000000001</v>
      </c>
      <c r="J8" s="199">
        <v>41227.06</v>
      </c>
      <c r="K8" s="199">
        <v>26737.16</v>
      </c>
      <c r="L8" s="199">
        <v>23615.35</v>
      </c>
      <c r="M8" s="199">
        <v>32193</v>
      </c>
      <c r="N8" s="199">
        <v>32736</v>
      </c>
      <c r="O8" s="199">
        <v>30190</v>
      </c>
      <c r="P8" s="199">
        <v>31923</v>
      </c>
      <c r="Q8" s="199">
        <v>33558</v>
      </c>
      <c r="R8" s="199">
        <v>27800</v>
      </c>
      <c r="S8" s="199">
        <v>29983</v>
      </c>
      <c r="T8" s="199">
        <v>33095</v>
      </c>
      <c r="U8" s="199">
        <v>32264</v>
      </c>
      <c r="V8" s="199">
        <v>35015</v>
      </c>
      <c r="W8" s="199">
        <v>18358.34</v>
      </c>
      <c r="X8" s="199">
        <v>21061.279999999999</v>
      </c>
      <c r="Y8" s="199">
        <v>17303</v>
      </c>
      <c r="Z8" s="197">
        <v>35270</v>
      </c>
      <c r="AA8" s="197">
        <v>38575</v>
      </c>
      <c r="AB8" s="197">
        <v>24388</v>
      </c>
      <c r="AC8" s="197">
        <v>18302</v>
      </c>
      <c r="AD8" s="197">
        <v>26585</v>
      </c>
      <c r="AE8" s="197">
        <v>32943</v>
      </c>
      <c r="AF8" s="197">
        <v>33573</v>
      </c>
      <c r="AG8" s="197">
        <v>16876</v>
      </c>
      <c r="AH8" s="197">
        <v>23779</v>
      </c>
      <c r="AI8" s="197">
        <v>31443</v>
      </c>
      <c r="AJ8" s="197">
        <v>25072</v>
      </c>
      <c r="AK8" s="197">
        <v>25064</v>
      </c>
      <c r="AL8" s="197">
        <v>20864</v>
      </c>
      <c r="AM8" s="197">
        <v>11358</v>
      </c>
      <c r="AN8" s="197">
        <v>16620</v>
      </c>
      <c r="AO8" s="197">
        <v>13405</v>
      </c>
      <c r="AP8" s="197">
        <v>19984</v>
      </c>
      <c r="AQ8" s="197">
        <v>18232</v>
      </c>
      <c r="AR8" s="197">
        <v>23091</v>
      </c>
      <c r="AS8" s="197">
        <v>15642</v>
      </c>
    </row>
    <row r="9" spans="1:45" ht="24.95" customHeight="1">
      <c r="A9" s="190" t="s">
        <v>87</v>
      </c>
      <c r="B9" s="199">
        <v>156053</v>
      </c>
      <c r="C9" s="199">
        <v>130149</v>
      </c>
      <c r="D9" s="188">
        <v>0</v>
      </c>
      <c r="E9" s="199">
        <v>130871</v>
      </c>
      <c r="F9" s="199">
        <v>143579</v>
      </c>
      <c r="G9" s="199">
        <v>148139</v>
      </c>
      <c r="H9" s="199">
        <v>157802</v>
      </c>
      <c r="I9" s="199">
        <v>134796.37</v>
      </c>
      <c r="J9" s="199">
        <v>173730.83</v>
      </c>
      <c r="K9" s="199">
        <v>158290.81</v>
      </c>
      <c r="L9" s="199">
        <v>155869.79999999999</v>
      </c>
      <c r="M9" s="199">
        <v>169390</v>
      </c>
      <c r="N9" s="199">
        <v>132100</v>
      </c>
      <c r="O9" s="199">
        <v>139851</v>
      </c>
      <c r="P9" s="199">
        <v>159664</v>
      </c>
      <c r="Q9" s="199">
        <v>134120</v>
      </c>
      <c r="R9" s="199">
        <v>129606</v>
      </c>
      <c r="S9" s="199">
        <v>122365</v>
      </c>
      <c r="T9" s="199">
        <v>120549</v>
      </c>
      <c r="U9" s="199">
        <v>135606</v>
      </c>
      <c r="V9" s="199">
        <v>125723</v>
      </c>
      <c r="W9" s="199">
        <v>98726.01</v>
      </c>
      <c r="X9" s="199">
        <v>107224.22</v>
      </c>
      <c r="Y9" s="199">
        <v>125107</v>
      </c>
      <c r="Z9" s="197">
        <v>116831</v>
      </c>
      <c r="AA9" s="197">
        <v>98862</v>
      </c>
      <c r="AB9" s="197">
        <v>102728</v>
      </c>
      <c r="AC9" s="197">
        <v>119602</v>
      </c>
      <c r="AD9" s="197">
        <v>122210</v>
      </c>
      <c r="AE9" s="197">
        <v>128812</v>
      </c>
      <c r="AF9" s="197">
        <v>116476</v>
      </c>
      <c r="AG9" s="197">
        <v>118240</v>
      </c>
      <c r="AH9" s="197">
        <v>99110</v>
      </c>
      <c r="AI9" s="197">
        <v>107195</v>
      </c>
      <c r="AJ9" s="197">
        <v>108346</v>
      </c>
      <c r="AK9" s="197">
        <v>100315</v>
      </c>
      <c r="AL9" s="197">
        <v>103336</v>
      </c>
      <c r="AM9" s="197">
        <v>113629</v>
      </c>
      <c r="AN9" s="197">
        <v>122330</v>
      </c>
      <c r="AO9" s="197">
        <v>99806</v>
      </c>
      <c r="AP9" s="197">
        <v>98978</v>
      </c>
      <c r="AQ9" s="197">
        <v>96313</v>
      </c>
      <c r="AR9" s="197">
        <v>112185</v>
      </c>
      <c r="AS9" s="197">
        <v>108429</v>
      </c>
    </row>
    <row r="10" spans="1:45" ht="24.95" customHeight="1">
      <c r="A10" s="190" t="s">
        <v>86</v>
      </c>
      <c r="B10" s="199">
        <v>614948</v>
      </c>
      <c r="C10" s="199">
        <v>619498</v>
      </c>
      <c r="D10" s="188">
        <v>0</v>
      </c>
      <c r="E10" s="199">
        <v>553956</v>
      </c>
      <c r="F10" s="199">
        <v>632632</v>
      </c>
      <c r="G10" s="199">
        <v>594637</v>
      </c>
      <c r="H10" s="199">
        <v>542454</v>
      </c>
      <c r="I10" s="199">
        <v>569918.97</v>
      </c>
      <c r="J10" s="199">
        <v>592670.68000000005</v>
      </c>
      <c r="K10" s="199">
        <v>557815.27</v>
      </c>
      <c r="L10" s="199">
        <v>587531.65</v>
      </c>
      <c r="M10" s="199">
        <v>559121</v>
      </c>
      <c r="N10" s="199">
        <v>692924</v>
      </c>
      <c r="O10" s="199">
        <v>622426</v>
      </c>
      <c r="P10" s="199">
        <v>544261</v>
      </c>
      <c r="Q10" s="199">
        <v>554678</v>
      </c>
      <c r="R10" s="199">
        <v>538289</v>
      </c>
      <c r="S10" s="199">
        <v>499979</v>
      </c>
      <c r="T10" s="199">
        <v>484333</v>
      </c>
      <c r="U10" s="199">
        <v>434725</v>
      </c>
      <c r="V10" s="199">
        <v>515030</v>
      </c>
      <c r="W10" s="199">
        <v>570205.29</v>
      </c>
      <c r="X10" s="199">
        <v>481740</v>
      </c>
      <c r="Y10" s="199">
        <v>488050</v>
      </c>
      <c r="Z10" s="197">
        <v>548311</v>
      </c>
      <c r="AA10" s="197">
        <v>545935</v>
      </c>
      <c r="AB10" s="197">
        <v>519076</v>
      </c>
      <c r="AC10" s="197">
        <v>482583</v>
      </c>
      <c r="AD10" s="197">
        <v>546961</v>
      </c>
      <c r="AE10" s="197">
        <v>504414</v>
      </c>
      <c r="AF10" s="197">
        <v>538144</v>
      </c>
      <c r="AG10" s="197">
        <v>503009</v>
      </c>
      <c r="AH10" s="197">
        <v>502748</v>
      </c>
      <c r="AI10" s="197">
        <v>500329</v>
      </c>
      <c r="AJ10" s="197">
        <v>476056</v>
      </c>
      <c r="AK10" s="197">
        <v>494557</v>
      </c>
      <c r="AL10" s="197">
        <v>515650</v>
      </c>
      <c r="AM10" s="197">
        <v>478691</v>
      </c>
      <c r="AN10" s="197">
        <v>423293</v>
      </c>
      <c r="AO10" s="197">
        <v>461352</v>
      </c>
      <c r="AP10" s="197">
        <v>487112</v>
      </c>
      <c r="AQ10" s="197">
        <v>441750</v>
      </c>
      <c r="AR10" s="197">
        <v>449281</v>
      </c>
      <c r="AS10" s="197">
        <v>456418</v>
      </c>
    </row>
    <row r="11" spans="1:45" ht="24.95" customHeight="1">
      <c r="A11" s="190" t="s">
        <v>85</v>
      </c>
      <c r="B11" s="199">
        <v>439713</v>
      </c>
      <c r="C11" s="199">
        <v>436256</v>
      </c>
      <c r="D11" s="188">
        <v>0</v>
      </c>
      <c r="E11" s="199">
        <v>488201</v>
      </c>
      <c r="F11" s="199">
        <v>395756</v>
      </c>
      <c r="G11" s="199">
        <v>444566</v>
      </c>
      <c r="H11" s="199">
        <v>499148</v>
      </c>
      <c r="I11" s="199">
        <v>497408.77</v>
      </c>
      <c r="J11" s="199">
        <v>405175.93</v>
      </c>
      <c r="K11" s="199">
        <v>495660.01</v>
      </c>
      <c r="L11" s="199">
        <v>487504.23</v>
      </c>
      <c r="M11" s="199">
        <v>478233</v>
      </c>
      <c r="N11" s="199">
        <v>417808</v>
      </c>
      <c r="O11" s="199">
        <v>446947</v>
      </c>
      <c r="P11" s="199">
        <v>513153</v>
      </c>
      <c r="Q11" s="199">
        <v>511200</v>
      </c>
      <c r="R11" s="199">
        <v>431211</v>
      </c>
      <c r="S11" s="199">
        <v>462478</v>
      </c>
      <c r="T11" s="199">
        <v>496335</v>
      </c>
      <c r="U11" s="199">
        <v>488280</v>
      </c>
      <c r="V11" s="199">
        <v>452652</v>
      </c>
      <c r="W11" s="199">
        <v>462103.94</v>
      </c>
      <c r="X11" s="199">
        <v>480634.06</v>
      </c>
      <c r="Y11" s="199">
        <v>468254</v>
      </c>
      <c r="Z11" s="197">
        <v>392951</v>
      </c>
      <c r="AA11" s="197">
        <v>401679</v>
      </c>
      <c r="AB11" s="197">
        <v>420958</v>
      </c>
      <c r="AC11" s="197">
        <v>424086</v>
      </c>
      <c r="AD11" s="197">
        <v>386425</v>
      </c>
      <c r="AE11" s="197">
        <v>398461</v>
      </c>
      <c r="AF11" s="197">
        <v>435780</v>
      </c>
      <c r="AG11" s="197">
        <v>442459</v>
      </c>
      <c r="AH11" s="197">
        <v>427385</v>
      </c>
      <c r="AI11" s="197">
        <v>416890</v>
      </c>
      <c r="AJ11" s="197">
        <v>461630</v>
      </c>
      <c r="AK11" s="197">
        <v>431592</v>
      </c>
      <c r="AL11" s="197">
        <v>383114</v>
      </c>
      <c r="AM11" s="197">
        <v>379025</v>
      </c>
      <c r="AN11" s="197">
        <v>416002</v>
      </c>
      <c r="AO11" s="197">
        <v>408909</v>
      </c>
      <c r="AP11" s="197">
        <v>344728</v>
      </c>
      <c r="AQ11" s="197">
        <v>447025</v>
      </c>
      <c r="AR11" s="197">
        <v>468455</v>
      </c>
      <c r="AS11" s="197">
        <v>498045</v>
      </c>
    </row>
    <row r="12" spans="1:45" ht="24.95" customHeight="1">
      <c r="A12" s="190" t="s">
        <v>84</v>
      </c>
      <c r="B12" s="199">
        <v>218707</v>
      </c>
      <c r="C12" s="199">
        <v>282550</v>
      </c>
      <c r="D12" s="188">
        <v>0</v>
      </c>
      <c r="E12" s="199">
        <v>353335</v>
      </c>
      <c r="F12" s="199">
        <v>234972</v>
      </c>
      <c r="G12" s="199">
        <v>285174</v>
      </c>
      <c r="H12" s="199">
        <v>342093</v>
      </c>
      <c r="I12" s="199">
        <v>363210.4</v>
      </c>
      <c r="J12" s="199">
        <v>260920.15</v>
      </c>
      <c r="K12" s="199">
        <v>319128.61</v>
      </c>
      <c r="L12" s="199">
        <v>347641.67</v>
      </c>
      <c r="M12" s="199">
        <v>376864</v>
      </c>
      <c r="N12" s="199">
        <v>226327</v>
      </c>
      <c r="O12" s="199">
        <v>261843</v>
      </c>
      <c r="P12" s="199">
        <v>348976</v>
      </c>
      <c r="Q12" s="199">
        <v>354405</v>
      </c>
      <c r="R12" s="199">
        <v>222602</v>
      </c>
      <c r="S12" s="199">
        <v>282536</v>
      </c>
      <c r="T12" s="199">
        <v>269042</v>
      </c>
      <c r="U12" s="199">
        <v>316606</v>
      </c>
      <c r="V12" s="199">
        <v>230167</v>
      </c>
      <c r="W12" s="199">
        <v>215879</v>
      </c>
      <c r="X12" s="199">
        <v>275207.33</v>
      </c>
      <c r="Y12" s="199">
        <v>289384</v>
      </c>
      <c r="Z12" s="197">
        <v>184540</v>
      </c>
      <c r="AA12" s="197">
        <v>194467</v>
      </c>
      <c r="AB12" s="197">
        <v>262732</v>
      </c>
      <c r="AC12" s="197">
        <v>270643</v>
      </c>
      <c r="AD12" s="197">
        <v>161058</v>
      </c>
      <c r="AE12" s="197">
        <v>199620</v>
      </c>
      <c r="AF12" s="197">
        <v>235607</v>
      </c>
      <c r="AG12" s="197">
        <v>226239</v>
      </c>
      <c r="AH12" s="197">
        <v>183336</v>
      </c>
      <c r="AI12" s="197">
        <v>195636</v>
      </c>
      <c r="AJ12" s="197">
        <v>227955</v>
      </c>
      <c r="AK12" s="197">
        <v>211363</v>
      </c>
      <c r="AL12" s="197">
        <v>161187</v>
      </c>
      <c r="AM12" s="197">
        <v>186565</v>
      </c>
      <c r="AN12" s="197">
        <v>181568</v>
      </c>
      <c r="AO12" s="197">
        <v>212344</v>
      </c>
      <c r="AP12" s="197">
        <v>172232</v>
      </c>
      <c r="AQ12" s="197">
        <v>223503</v>
      </c>
      <c r="AR12" s="197">
        <v>235971</v>
      </c>
      <c r="AS12" s="197">
        <v>268698</v>
      </c>
    </row>
    <row r="13" spans="1:45" ht="24.95" customHeight="1">
      <c r="A13" s="189" t="s">
        <v>83</v>
      </c>
      <c r="B13" s="199">
        <v>3824</v>
      </c>
      <c r="C13" s="188">
        <v>0</v>
      </c>
      <c r="D13" s="188">
        <v>0</v>
      </c>
      <c r="E13" s="188">
        <v>0</v>
      </c>
      <c r="F13" s="199">
        <v>231</v>
      </c>
      <c r="G13" s="188">
        <v>0</v>
      </c>
      <c r="H13" s="199">
        <v>3975</v>
      </c>
      <c r="I13" s="199">
        <v>349.54</v>
      </c>
      <c r="J13" s="188">
        <v>0</v>
      </c>
      <c r="K13" s="198">
        <v>697.67</v>
      </c>
      <c r="L13" s="198">
        <v>1005.21</v>
      </c>
      <c r="M13" s="199">
        <v>283</v>
      </c>
      <c r="N13" s="198">
        <v>1486</v>
      </c>
      <c r="O13" s="198">
        <v>726</v>
      </c>
      <c r="P13" s="198">
        <v>1609</v>
      </c>
      <c r="Q13" s="198">
        <v>325</v>
      </c>
      <c r="R13" s="198">
        <v>0</v>
      </c>
      <c r="S13" s="198">
        <v>0</v>
      </c>
      <c r="T13" s="198">
        <v>1802</v>
      </c>
      <c r="U13" s="198">
        <v>8927</v>
      </c>
      <c r="V13" s="198">
        <v>3989</v>
      </c>
      <c r="W13" s="198">
        <v>3079.73</v>
      </c>
      <c r="X13" s="198">
        <v>386</v>
      </c>
      <c r="Y13" s="198">
        <v>1619</v>
      </c>
      <c r="Z13" s="197">
        <v>2306</v>
      </c>
      <c r="AA13" s="197">
        <v>1500</v>
      </c>
      <c r="AB13" s="197">
        <v>2740</v>
      </c>
      <c r="AC13" s="196">
        <v>0</v>
      </c>
      <c r="AD13" s="197">
        <v>1220</v>
      </c>
      <c r="AE13" s="197">
        <v>0</v>
      </c>
      <c r="AF13" s="197">
        <v>1809</v>
      </c>
      <c r="AG13" s="196">
        <v>0</v>
      </c>
      <c r="AH13" s="197">
        <v>0</v>
      </c>
      <c r="AI13" s="197">
        <v>1056</v>
      </c>
      <c r="AJ13" s="197">
        <v>752</v>
      </c>
      <c r="AK13" s="196">
        <v>190</v>
      </c>
      <c r="AL13" s="197">
        <v>0</v>
      </c>
      <c r="AM13" s="197">
        <v>1827</v>
      </c>
      <c r="AN13" s="197">
        <v>4531</v>
      </c>
      <c r="AO13" s="196">
        <v>2901</v>
      </c>
      <c r="AP13" s="197">
        <v>0</v>
      </c>
      <c r="AQ13" s="197">
        <v>8287</v>
      </c>
      <c r="AR13" s="197">
        <v>324</v>
      </c>
      <c r="AS13" s="196">
        <v>375</v>
      </c>
    </row>
    <row r="14" spans="1:45" s="112" customFormat="1" ht="23.25" customHeight="1">
      <c r="A14" s="1165" t="s">
        <v>20</v>
      </c>
      <c r="B14" s="1165"/>
      <c r="C14" s="1165"/>
      <c r="D14" s="1165"/>
      <c r="E14" s="1165"/>
      <c r="F14" s="1165"/>
      <c r="G14" s="1165"/>
      <c r="H14" s="1165"/>
      <c r="I14" s="1165"/>
      <c r="J14" s="1165"/>
      <c r="K14" s="1165"/>
      <c r="L14" s="116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F14" s="195"/>
    </row>
    <row r="15" spans="1:45" s="191" customFormat="1" ht="24.95" customHeight="1">
      <c r="A15" s="194" t="s">
        <v>37</v>
      </c>
      <c r="B15" s="192">
        <f>SUM(B17:B22)</f>
        <v>100</v>
      </c>
      <c r="C15" s="192">
        <f>SUM(C17:C22)</f>
        <v>99.999933200268259</v>
      </c>
      <c r="D15" s="192">
        <v>0</v>
      </c>
      <c r="E15" s="192">
        <f>ROUNDDOWN(SUM(E17:E22),1)</f>
        <v>100</v>
      </c>
      <c r="F15" s="192">
        <f>SUM(F17:F22)</f>
        <v>100.00000000000001</v>
      </c>
      <c r="G15" s="192">
        <f>ROUNDUP(SUM(G17:G22),1)</f>
        <v>100</v>
      </c>
      <c r="H15" s="192">
        <f>ROUNDUP(SUM(H17:H22),1)</f>
        <v>100</v>
      </c>
      <c r="I15" s="192">
        <f t="shared" ref="I15:AK15" si="0">SUM(I17:I22)</f>
        <v>99.99999561527963</v>
      </c>
      <c r="J15" s="192">
        <f t="shared" si="0"/>
        <v>100</v>
      </c>
      <c r="K15" s="192">
        <f t="shared" si="0"/>
        <v>100</v>
      </c>
      <c r="L15" s="192">
        <f t="shared" si="0"/>
        <v>100</v>
      </c>
      <c r="M15" s="192">
        <f t="shared" si="0"/>
        <v>100</v>
      </c>
      <c r="N15" s="192">
        <f t="shared" si="0"/>
        <v>100</v>
      </c>
      <c r="O15" s="192">
        <f t="shared" si="0"/>
        <v>99.999999999999986</v>
      </c>
      <c r="P15" s="192">
        <f t="shared" si="0"/>
        <v>99.999999999999986</v>
      </c>
      <c r="Q15" s="192">
        <f t="shared" si="0"/>
        <v>100</v>
      </c>
      <c r="R15" s="192">
        <f t="shared" si="0"/>
        <v>100</v>
      </c>
      <c r="S15" s="192">
        <f t="shared" si="0"/>
        <v>100</v>
      </c>
      <c r="T15" s="192">
        <f t="shared" si="0"/>
        <v>100</v>
      </c>
      <c r="U15" s="192">
        <f t="shared" si="0"/>
        <v>100</v>
      </c>
      <c r="V15" s="192">
        <f t="shared" si="0"/>
        <v>99.999999999999986</v>
      </c>
      <c r="W15" s="192">
        <f t="shared" si="0"/>
        <v>100.00002265498937</v>
      </c>
      <c r="X15" s="192">
        <f t="shared" si="0"/>
        <v>100.00010173822315</v>
      </c>
      <c r="Y15" s="192">
        <f t="shared" si="0"/>
        <v>99.999999999999986</v>
      </c>
      <c r="Z15" s="192">
        <f t="shared" si="0"/>
        <v>100</v>
      </c>
      <c r="AA15" s="192">
        <f t="shared" si="0"/>
        <v>100</v>
      </c>
      <c r="AB15" s="192">
        <f t="shared" si="0"/>
        <v>100</v>
      </c>
      <c r="AC15" s="192">
        <f t="shared" si="0"/>
        <v>100</v>
      </c>
      <c r="AD15" s="192">
        <f t="shared" si="0"/>
        <v>100</v>
      </c>
      <c r="AE15" s="192">
        <f t="shared" si="0"/>
        <v>100</v>
      </c>
      <c r="AF15" s="192">
        <f t="shared" si="0"/>
        <v>100</v>
      </c>
      <c r="AG15" s="192">
        <f t="shared" si="0"/>
        <v>100</v>
      </c>
      <c r="AH15" s="192">
        <f t="shared" si="0"/>
        <v>100</v>
      </c>
      <c r="AI15" s="192">
        <f t="shared" si="0"/>
        <v>99.98</v>
      </c>
      <c r="AJ15" s="192">
        <f t="shared" si="0"/>
        <v>100</v>
      </c>
      <c r="AK15" s="192">
        <f t="shared" si="0"/>
        <v>100</v>
      </c>
      <c r="AL15" s="192">
        <f t="shared" ref="AL15:AO15" si="1">SUM(AL17:AL22)</f>
        <v>100</v>
      </c>
      <c r="AM15" s="192">
        <f t="shared" si="1"/>
        <v>100</v>
      </c>
      <c r="AN15" s="192">
        <f t="shared" si="1"/>
        <v>100.00000000000001</v>
      </c>
      <c r="AO15" s="192">
        <f t="shared" si="1"/>
        <v>100</v>
      </c>
      <c r="AP15" s="192">
        <f t="shared" ref="AP15:AS15" si="2">SUM(AP17:AP22)</f>
        <v>100</v>
      </c>
      <c r="AQ15" s="192">
        <f t="shared" si="2"/>
        <v>100</v>
      </c>
      <c r="AR15" s="192">
        <f t="shared" si="2"/>
        <v>100</v>
      </c>
      <c r="AS15" s="192">
        <f t="shared" si="2"/>
        <v>100</v>
      </c>
    </row>
    <row r="16" spans="1:45" s="191" customFormat="1" ht="4.5" customHeight="1">
      <c r="A16" s="194"/>
      <c r="B16" s="192"/>
      <c r="C16" s="192"/>
      <c r="D16" s="193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</row>
    <row r="17" spans="1:45" ht="24.95" customHeight="1">
      <c r="A17" s="190" t="s">
        <v>88</v>
      </c>
      <c r="B17" s="188">
        <f t="shared" ref="B17:B22" si="3">B8*100/$B$6</f>
        <v>2.0675720735987055</v>
      </c>
      <c r="C17" s="188">
        <f t="shared" ref="C17:C22" si="4">C8*100/$C$6</f>
        <v>1.907666738810377</v>
      </c>
      <c r="D17" s="188">
        <v>0</v>
      </c>
      <c r="E17" s="188">
        <f>E8*100/$E$6</f>
        <v>1.8234876790764598</v>
      </c>
      <c r="F17" s="188">
        <f t="shared" ref="F17:AJ17" si="5">SUM(F8*100/F6)</f>
        <v>2.5672201500158907</v>
      </c>
      <c r="G17" s="188">
        <f t="shared" si="5"/>
        <v>1.9683998820304871</v>
      </c>
      <c r="H17" s="188">
        <f t="shared" si="5"/>
        <v>1.4806527698093963</v>
      </c>
      <c r="I17" s="188">
        <f t="shared" si="5"/>
        <v>1.9273276444718386</v>
      </c>
      <c r="J17" s="188">
        <f t="shared" si="5"/>
        <v>2.7974737343234373</v>
      </c>
      <c r="K17" s="188">
        <f t="shared" si="5"/>
        <v>1.7157577704376814</v>
      </c>
      <c r="L17" s="188">
        <f t="shared" si="5"/>
        <v>1.473042833049222</v>
      </c>
      <c r="M17" s="188">
        <f t="shared" si="5"/>
        <v>1.9920375426029835</v>
      </c>
      <c r="N17" s="188">
        <f t="shared" si="5"/>
        <v>2.1774919331826066</v>
      </c>
      <c r="O17" s="188">
        <f t="shared" si="5"/>
        <v>2.0100094341946613</v>
      </c>
      <c r="P17" s="188">
        <f t="shared" si="5"/>
        <v>1.9957038883811187</v>
      </c>
      <c r="Q17" s="188">
        <f t="shared" si="5"/>
        <v>2.1128436566210369</v>
      </c>
      <c r="R17" s="188">
        <f t="shared" si="5"/>
        <v>2.0600100184659893</v>
      </c>
      <c r="S17" s="188">
        <f t="shared" si="5"/>
        <v>2.1457181890461956</v>
      </c>
      <c r="T17" s="188">
        <f t="shared" si="5"/>
        <v>2.3552545055495617</v>
      </c>
      <c r="U17" s="188">
        <f t="shared" si="5"/>
        <v>2.2778747366577994</v>
      </c>
      <c r="V17" s="188">
        <f t="shared" si="5"/>
        <v>2.5697649158652434</v>
      </c>
      <c r="W17" s="188">
        <f t="shared" si="5"/>
        <v>1.3416387011529196</v>
      </c>
      <c r="X17" s="188">
        <f t="shared" si="5"/>
        <v>1.5415375573238164</v>
      </c>
      <c r="Y17" s="188">
        <f t="shared" si="5"/>
        <v>1.2450736372944995</v>
      </c>
      <c r="Z17" s="188">
        <f t="shared" si="5"/>
        <v>2.75501890706908</v>
      </c>
      <c r="AA17" s="188">
        <f t="shared" si="5"/>
        <v>3.0112769687857628</v>
      </c>
      <c r="AB17" s="188">
        <f t="shared" si="5"/>
        <v>1.8300763457304472</v>
      </c>
      <c r="AC17" s="188">
        <f t="shared" si="5"/>
        <v>1.3915584968552694</v>
      </c>
      <c r="AD17" s="188">
        <f t="shared" si="5"/>
        <v>2.1362696561317005</v>
      </c>
      <c r="AE17" s="188">
        <f t="shared" si="5"/>
        <v>2.6057346252719005</v>
      </c>
      <c r="AF17" s="188">
        <f t="shared" si="5"/>
        <v>2.4660842712846951</v>
      </c>
      <c r="AG17" s="188">
        <f t="shared" si="5"/>
        <v>1.2913761083176527</v>
      </c>
      <c r="AH17" s="188">
        <f t="shared" si="5"/>
        <v>1.9233102386202054</v>
      </c>
      <c r="AI17" s="188">
        <f t="shared" si="5"/>
        <v>2.5103209535115991</v>
      </c>
      <c r="AJ17" s="188">
        <f t="shared" si="5"/>
        <v>1.9288958163917678</v>
      </c>
      <c r="AK17" s="188">
        <f>SUM(AK8*100/AK6)</f>
        <v>1.9843541308910513</v>
      </c>
      <c r="AL17" s="188">
        <f t="shared" ref="AL17:AO17" si="6">SUM(AL8*100/AL6)</f>
        <v>1.7619374556116576</v>
      </c>
      <c r="AM17" s="188">
        <f t="shared" si="6"/>
        <v>0.96986153984091816</v>
      </c>
      <c r="AN17" s="188">
        <f t="shared" si="6"/>
        <v>1.4274132043451075</v>
      </c>
      <c r="AO17" s="188">
        <f t="shared" si="6"/>
        <v>1.1182789599213159</v>
      </c>
      <c r="AP17" s="188">
        <f t="shared" ref="AP17:AS17" si="7">SUM(AP8*100/AP6)</f>
        <v>1.7794652699740168</v>
      </c>
      <c r="AQ17" s="188">
        <f t="shared" si="7"/>
        <v>1.4761438252463344</v>
      </c>
      <c r="AR17" s="188">
        <f t="shared" si="7"/>
        <v>1.7909621215117888</v>
      </c>
      <c r="AS17" s="188">
        <f t="shared" si="7"/>
        <v>1.1607241577106679</v>
      </c>
    </row>
    <row r="18" spans="1:45" ht="24.95" customHeight="1">
      <c r="A18" s="190" t="s">
        <v>87</v>
      </c>
      <c r="B18" s="188">
        <f t="shared" si="3"/>
        <v>10.662970514600575</v>
      </c>
      <c r="C18" s="188">
        <f t="shared" si="4"/>
        <v>8.6939182852241661</v>
      </c>
      <c r="D18" s="188">
        <v>0</v>
      </c>
      <c r="E18" s="188">
        <f>E9*100/$E$6</f>
        <v>8.4176950987095367</v>
      </c>
      <c r="F18" s="188">
        <f>SUM(F9*100/F6)</f>
        <v>9.9414435342431045</v>
      </c>
      <c r="G18" s="188">
        <f>ROUNDDOWN(SUM(G9*100/G6),1)</f>
        <v>9.8000000000000007</v>
      </c>
      <c r="H18" s="188">
        <f t="shared" ref="H18:AJ18" si="8">SUM(H9*100/H6)</f>
        <v>10.059412252183337</v>
      </c>
      <c r="I18" s="188">
        <f t="shared" si="8"/>
        <v>8.4434912897529717</v>
      </c>
      <c r="J18" s="188">
        <f t="shared" si="8"/>
        <v>11.788554259440527</v>
      </c>
      <c r="K18" s="188">
        <f t="shared" si="8"/>
        <v>10.157723828797623</v>
      </c>
      <c r="L18" s="188">
        <f t="shared" si="8"/>
        <v>9.7226122745932457</v>
      </c>
      <c r="M18" s="188">
        <f t="shared" si="8"/>
        <v>10.481509624499717</v>
      </c>
      <c r="N18" s="188">
        <f t="shared" si="8"/>
        <v>8.7868610817883166</v>
      </c>
      <c r="O18" s="188">
        <f t="shared" si="8"/>
        <v>9.3110907380443049</v>
      </c>
      <c r="P18" s="188">
        <f t="shared" si="8"/>
        <v>9.9815827345325605</v>
      </c>
      <c r="Q18" s="188">
        <f t="shared" si="8"/>
        <v>8.444322999762008</v>
      </c>
      <c r="R18" s="188">
        <f t="shared" si="8"/>
        <v>9.6039445486799639</v>
      </c>
      <c r="S18" s="188">
        <f t="shared" si="8"/>
        <v>8.7569891672827183</v>
      </c>
      <c r="T18" s="188">
        <f t="shared" si="8"/>
        <v>8.5790474509591821</v>
      </c>
      <c r="U18" s="188">
        <f t="shared" si="8"/>
        <v>9.5739363234322319</v>
      </c>
      <c r="V18" s="188">
        <f t="shared" si="8"/>
        <v>9.226861474148965</v>
      </c>
      <c r="W18" s="188">
        <f t="shared" si="8"/>
        <v>7.214957116297561</v>
      </c>
      <c r="X18" s="188">
        <f t="shared" si="8"/>
        <v>7.8480587212530049</v>
      </c>
      <c r="Y18" s="188">
        <f t="shared" si="8"/>
        <v>9.0023364469168907</v>
      </c>
      <c r="Z18" s="188">
        <f t="shared" si="8"/>
        <v>9.1259317814513103</v>
      </c>
      <c r="AA18" s="188">
        <f t="shared" si="8"/>
        <v>7.7174559608061717</v>
      </c>
      <c r="AB18" s="188">
        <f t="shared" si="8"/>
        <v>7.7087125981711244</v>
      </c>
      <c r="AC18" s="188">
        <f t="shared" si="8"/>
        <v>9.0937154049220812</v>
      </c>
      <c r="AD18" s="188">
        <f t="shared" si="8"/>
        <v>9.8203315657647217</v>
      </c>
      <c r="AE18" s="188">
        <f t="shared" si="8"/>
        <v>10.188807593434843</v>
      </c>
      <c r="AF18" s="188">
        <f t="shared" si="8"/>
        <v>8.5556736538931926</v>
      </c>
      <c r="AG18" s="188">
        <f t="shared" si="8"/>
        <v>9.0478970755794776</v>
      </c>
      <c r="AH18" s="188">
        <f t="shared" si="8"/>
        <v>8.0162865448357188</v>
      </c>
      <c r="AI18" s="188">
        <f t="shared" si="8"/>
        <v>8.5581482241413305</v>
      </c>
      <c r="AJ18" s="188">
        <f t="shared" si="8"/>
        <v>8.3355195486112983</v>
      </c>
      <c r="AK18" s="188">
        <f>SUM(AK9*100/AK6)</f>
        <v>7.9420876412518275</v>
      </c>
      <c r="AL18" s="188">
        <f t="shared" ref="AL18:AO18" si="9">SUM(AL9*100/AL6)</f>
        <v>8.7265897676901005</v>
      </c>
      <c r="AM18" s="188">
        <f t="shared" si="9"/>
        <v>9.702799516691643</v>
      </c>
      <c r="AN18" s="188">
        <f t="shared" si="9"/>
        <v>10.506345203822924</v>
      </c>
      <c r="AO18" s="188">
        <f t="shared" si="9"/>
        <v>8.3260686217013689</v>
      </c>
      <c r="AP18" s="188">
        <f t="shared" ref="AP18:AS18" si="10">SUM(AP9*100/AP6)</f>
        <v>8.8134464317197878</v>
      </c>
      <c r="AQ18" s="188">
        <f t="shared" si="10"/>
        <v>7.7979289294070977</v>
      </c>
      <c r="AR18" s="188">
        <f t="shared" si="10"/>
        <v>8.7011859859598992</v>
      </c>
      <c r="AS18" s="188">
        <f t="shared" si="10"/>
        <v>8.0460401289099863</v>
      </c>
    </row>
    <row r="19" spans="1:45" ht="24.95" customHeight="1">
      <c r="A19" s="190" t="s">
        <v>86</v>
      </c>
      <c r="B19" s="188">
        <f t="shared" si="3"/>
        <v>42.018880713684418</v>
      </c>
      <c r="C19" s="188">
        <f t="shared" si="4"/>
        <v>41.382300208682359</v>
      </c>
      <c r="D19" s="188">
        <v>0</v>
      </c>
      <c r="E19" s="188">
        <f>ROUNDUP(E10*100/$E$6,1)</f>
        <v>35.700000000000003</v>
      </c>
      <c r="F19" s="188">
        <f t="shared" ref="F19:AH19" si="11">SUM(F10*100/F6)</f>
        <v>43.80358761347609</v>
      </c>
      <c r="G19" s="188">
        <f t="shared" si="11"/>
        <v>39.587492834949863</v>
      </c>
      <c r="H19" s="188">
        <f t="shared" si="11"/>
        <v>34.579843182252823</v>
      </c>
      <c r="I19" s="188">
        <f t="shared" si="11"/>
        <v>35.699076014138846</v>
      </c>
      <c r="J19" s="188">
        <f t="shared" si="11"/>
        <v>40.215835434387294</v>
      </c>
      <c r="K19" s="188">
        <f t="shared" si="11"/>
        <v>35.795719663991733</v>
      </c>
      <c r="L19" s="188">
        <f t="shared" si="11"/>
        <v>36.648166816163382</v>
      </c>
      <c r="M19" s="188">
        <f t="shared" si="11"/>
        <v>34.597273409055468</v>
      </c>
      <c r="N19" s="188">
        <f t="shared" si="11"/>
        <v>46.091044119887108</v>
      </c>
      <c r="O19" s="188">
        <f t="shared" si="11"/>
        <v>41.440282613052212</v>
      </c>
      <c r="P19" s="188">
        <f t="shared" si="11"/>
        <v>34.025116498894086</v>
      </c>
      <c r="Q19" s="188">
        <f t="shared" si="11"/>
        <v>34.923055419489941</v>
      </c>
      <c r="R19" s="188">
        <f t="shared" si="11"/>
        <v>39.887796144965428</v>
      </c>
      <c r="S19" s="188">
        <f t="shared" si="11"/>
        <v>35.780743569393586</v>
      </c>
      <c r="T19" s="188">
        <f t="shared" si="11"/>
        <v>34.468272561907717</v>
      </c>
      <c r="U19" s="188">
        <f t="shared" si="11"/>
        <v>30.692074599974021</v>
      </c>
      <c r="V19" s="188">
        <f t="shared" si="11"/>
        <v>37.79825859254823</v>
      </c>
      <c r="W19" s="188">
        <f t="shared" si="11"/>
        <v>41.670950895675965</v>
      </c>
      <c r="X19" s="188">
        <f t="shared" si="11"/>
        <v>35.259979586481698</v>
      </c>
      <c r="Y19" s="188">
        <f t="shared" si="11"/>
        <v>35.118660849655001</v>
      </c>
      <c r="Z19" s="188">
        <f t="shared" si="11"/>
        <v>42.829803571135649</v>
      </c>
      <c r="AA19" s="188">
        <f t="shared" si="11"/>
        <v>42.617277821232804</v>
      </c>
      <c r="AB19" s="188">
        <f t="shared" si="11"/>
        <v>38.95148061490805</v>
      </c>
      <c r="AC19" s="188">
        <f t="shared" si="11"/>
        <v>36.692299972019804</v>
      </c>
      <c r="AD19" s="188">
        <f t="shared" si="11"/>
        <v>43.951709136259211</v>
      </c>
      <c r="AE19" s="188">
        <f t="shared" si="11"/>
        <v>39.898279612418428</v>
      </c>
      <c r="AF19" s="188">
        <f t="shared" si="11"/>
        <v>39.529039826236293</v>
      </c>
      <c r="AG19" s="188">
        <f t="shared" si="11"/>
        <v>38.490981563685366</v>
      </c>
      <c r="AH19" s="188">
        <f t="shared" si="11"/>
        <v>40.663626554768115</v>
      </c>
      <c r="AI19" s="188">
        <f>SUM(AI10*100/AI6)+0.02</f>
        <v>39.964864432449353</v>
      </c>
      <c r="AJ19" s="188">
        <f>SUM(AJ10*100/AJ6)</f>
        <v>36.62501702170546</v>
      </c>
      <c r="AK19" s="188">
        <f>SUM(AK10*100/AK6)</f>
        <v>39.154812715890749</v>
      </c>
      <c r="AL19" s="188">
        <f t="shared" ref="AL19:AO19" si="12">SUM(AL10*100/AL6)</f>
        <v>43.54596668836998</v>
      </c>
      <c r="AM19" s="188">
        <f t="shared" si="12"/>
        <v>40.875505403062945</v>
      </c>
      <c r="AN19" s="188">
        <f t="shared" si="12"/>
        <v>36.354634025683133</v>
      </c>
      <c r="AO19" s="188">
        <f t="shared" si="12"/>
        <v>38.487149176995068</v>
      </c>
      <c r="AP19" s="188">
        <f t="shared" ref="AP19:AS19" si="13">SUM(AP10*100/AP6)</f>
        <v>43.374644044614854</v>
      </c>
      <c r="AQ19" s="188">
        <f t="shared" si="13"/>
        <v>35.766045129583603</v>
      </c>
      <c r="AR19" s="188">
        <f t="shared" si="13"/>
        <v>34.84670446992066</v>
      </c>
      <c r="AS19" s="188">
        <f t="shared" si="13"/>
        <v>33.868776282699628</v>
      </c>
    </row>
    <row r="20" spans="1:45" ht="24.95" customHeight="1">
      <c r="A20" s="190" t="s">
        <v>85</v>
      </c>
      <c r="B20" s="188">
        <f t="shared" si="3"/>
        <v>30.045220238550765</v>
      </c>
      <c r="C20" s="188">
        <f t="shared" si="4"/>
        <v>29.141783766596394</v>
      </c>
      <c r="D20" s="188">
        <v>0</v>
      </c>
      <c r="E20" s="188">
        <f>E11*100/$E$6</f>
        <v>31.401358321439393</v>
      </c>
      <c r="F20" s="188">
        <f t="shared" ref="F20:AJ20" si="14">SUM(F11*100/F6)</f>
        <v>27.402237982838116</v>
      </c>
      <c r="G20" s="188">
        <f t="shared" si="14"/>
        <v>29.596633474981076</v>
      </c>
      <c r="H20" s="188">
        <f t="shared" si="14"/>
        <v>31.819213361382037</v>
      </c>
      <c r="I20" s="188">
        <f t="shared" si="14"/>
        <v>31.157119564434407</v>
      </c>
      <c r="J20" s="188">
        <f t="shared" si="14"/>
        <v>27.49332651794893</v>
      </c>
      <c r="K20" s="188">
        <f t="shared" si="14"/>
        <v>31.80713709506615</v>
      </c>
      <c r="L20" s="188">
        <f t="shared" si="14"/>
        <v>30.40880664833168</v>
      </c>
      <c r="M20" s="188">
        <f t="shared" si="14"/>
        <v>29.592088035027881</v>
      </c>
      <c r="N20" s="188">
        <f t="shared" si="14"/>
        <v>27.791225244964515</v>
      </c>
      <c r="O20" s="188">
        <f t="shared" si="14"/>
        <v>29.757127743789376</v>
      </c>
      <c r="P20" s="188">
        <f t="shared" si="14"/>
        <v>32.080363294002325</v>
      </c>
      <c r="Q20" s="188">
        <f t="shared" si="14"/>
        <v>32.185639110336552</v>
      </c>
      <c r="R20" s="188">
        <f t="shared" si="14"/>
        <v>31.953200722040922</v>
      </c>
      <c r="S20" s="188">
        <f t="shared" si="14"/>
        <v>33.09700352311998</v>
      </c>
      <c r="T20" s="188">
        <f t="shared" si="14"/>
        <v>35.322412600451479</v>
      </c>
      <c r="U20" s="188">
        <f t="shared" si="14"/>
        <v>34.473117915176985</v>
      </c>
      <c r="V20" s="188">
        <f t="shared" si="14"/>
        <v>33.220312114700391</v>
      </c>
      <c r="W20" s="188">
        <f t="shared" si="14"/>
        <v>33.770838205374055</v>
      </c>
      <c r="X20" s="188">
        <f t="shared" si="14"/>
        <v>35.179032557329307</v>
      </c>
      <c r="Y20" s="188">
        <f t="shared" si="14"/>
        <v>33.694198171282352</v>
      </c>
      <c r="Z20" s="188">
        <f t="shared" si="14"/>
        <v>30.6942850737653</v>
      </c>
      <c r="AA20" s="188">
        <f t="shared" si="14"/>
        <v>31.356233870250065</v>
      </c>
      <c r="AB20" s="188">
        <f t="shared" si="14"/>
        <v>31.588702572822601</v>
      </c>
      <c r="AC20" s="188">
        <f t="shared" si="14"/>
        <v>32.244589481879785</v>
      </c>
      <c r="AD20" s="188">
        <f t="shared" si="14"/>
        <v>31.051645735215061</v>
      </c>
      <c r="AE20" s="188">
        <f t="shared" si="14"/>
        <v>31.517579592643859</v>
      </c>
      <c r="AF20" s="188">
        <f t="shared" si="14"/>
        <v>32.00995453907737</v>
      </c>
      <c r="AG20" s="188">
        <f t="shared" si="14"/>
        <v>33.857607342386842</v>
      </c>
      <c r="AH20" s="188">
        <f t="shared" si="14"/>
        <v>34.568062001459126</v>
      </c>
      <c r="AI20" s="188">
        <f t="shared" si="14"/>
        <v>33.283328636244967</v>
      </c>
      <c r="AJ20" s="188">
        <f t="shared" si="14"/>
        <v>35.515163358365179</v>
      </c>
      <c r="AK20" s="188">
        <f>SUM(AK11*100/AK6)</f>
        <v>34.169780085362696</v>
      </c>
      <c r="AL20" s="188">
        <f t="shared" ref="AL20:AO20" si="15">SUM(AL11*100/AL6)</f>
        <v>32.353475190241788</v>
      </c>
      <c r="AM20" s="188">
        <f t="shared" si="15"/>
        <v>32.365008816534953</v>
      </c>
      <c r="AN20" s="188">
        <f t="shared" si="15"/>
        <v>35.728444514679509</v>
      </c>
      <c r="AO20" s="188">
        <f t="shared" si="15"/>
        <v>34.11222165031446</v>
      </c>
      <c r="AP20" s="188">
        <f t="shared" ref="AP20:AS20" si="16">SUM(AP11*100/AP6)</f>
        <v>30.69613208504818</v>
      </c>
      <c r="AQ20" s="188">
        <f t="shared" si="16"/>
        <v>36.193132595477323</v>
      </c>
      <c r="AR20" s="188">
        <f t="shared" si="16"/>
        <v>36.33385997283812</v>
      </c>
      <c r="AS20" s="188">
        <f t="shared" si="16"/>
        <v>36.957733226378316</v>
      </c>
    </row>
    <row r="21" spans="1:45" ht="24.95" customHeight="1">
      <c r="A21" s="190" t="s">
        <v>84</v>
      </c>
      <c r="B21" s="188">
        <f t="shared" si="3"/>
        <v>14.944065749051591</v>
      </c>
      <c r="C21" s="188">
        <f t="shared" si="4"/>
        <v>18.874264200954968</v>
      </c>
      <c r="D21" s="188">
        <v>0</v>
      </c>
      <c r="E21" s="188">
        <f>E12*100/$E$6</f>
        <v>22.726702613279748</v>
      </c>
      <c r="F21" s="188">
        <f>SUM(F12*100/F$6)</f>
        <v>16.269516225410197</v>
      </c>
      <c r="G21" s="188">
        <f>SUM(G12*100/G$6)</f>
        <v>18.985235835835969</v>
      </c>
      <c r="H21" s="188">
        <f>SUM(H12*100/H$6)</f>
        <v>21.807420156817749</v>
      </c>
      <c r="I21" s="188">
        <f t="shared" ref="I21:AJ21" si="17">SUM(I12*100/I6)</f>
        <v>22.751086314473397</v>
      </c>
      <c r="J21" s="188">
        <f t="shared" si="17"/>
        <v>17.704810053899827</v>
      </c>
      <c r="K21" s="188">
        <f t="shared" si="17"/>
        <v>20.478891265058682</v>
      </c>
      <c r="L21" s="188">
        <f t="shared" si="17"/>
        <v>21.684669948265121</v>
      </c>
      <c r="M21" s="188">
        <f t="shared" si="17"/>
        <v>23.319579922825795</v>
      </c>
      <c r="N21" s="188">
        <f t="shared" si="17"/>
        <v>15.054533747599578</v>
      </c>
      <c r="O21" s="188">
        <f t="shared" si="17"/>
        <v>17.433153371243215</v>
      </c>
      <c r="P21" s="188">
        <f t="shared" si="17"/>
        <v>21.816645056908474</v>
      </c>
      <c r="Q21" s="188">
        <f t="shared" si="17"/>
        <v>22.313676504105683</v>
      </c>
      <c r="R21" s="188">
        <f t="shared" si="17"/>
        <v>16.4950485658477</v>
      </c>
      <c r="S21" s="188">
        <f t="shared" si="17"/>
        <v>20.21954555115752</v>
      </c>
      <c r="T21" s="188">
        <f t="shared" si="17"/>
        <v>19.146770892342204</v>
      </c>
      <c r="U21" s="188">
        <f t="shared" si="17"/>
        <v>22.352740170911208</v>
      </c>
      <c r="V21" s="188">
        <f t="shared" si="17"/>
        <v>16.892048590317163</v>
      </c>
      <c r="W21" s="188">
        <f t="shared" si="17"/>
        <v>15.776569186875891</v>
      </c>
      <c r="X21" s="188">
        <f t="shared" si="17"/>
        <v>20.143240830842636</v>
      </c>
      <c r="Y21" s="188">
        <f t="shared" si="17"/>
        <v>20.823232355940096</v>
      </c>
      <c r="Z21" s="188">
        <f t="shared" si="17"/>
        <v>14.414833827914036</v>
      </c>
      <c r="AA21" s="188">
        <f t="shared" si="17"/>
        <v>15.180661005544028</v>
      </c>
      <c r="AB21" s="188">
        <f t="shared" si="17"/>
        <v>19.715418175596682</v>
      </c>
      <c r="AC21" s="188">
        <f t="shared" si="17"/>
        <v>20.57783664432306</v>
      </c>
      <c r="AD21" s="188">
        <f t="shared" si="17"/>
        <v>12.942009338997909</v>
      </c>
      <c r="AE21" s="188">
        <f t="shared" si="17"/>
        <v>15.789598576230967</v>
      </c>
      <c r="AF21" s="188">
        <f t="shared" si="17"/>
        <v>17.306368716068661</v>
      </c>
      <c r="AG21" s="188">
        <f t="shared" si="17"/>
        <v>17.31213791003066</v>
      </c>
      <c r="AH21" s="188">
        <f t="shared" si="17"/>
        <v>14.828714660316834</v>
      </c>
      <c r="AI21" s="188">
        <f t="shared" si="17"/>
        <v>15.619029674687377</v>
      </c>
      <c r="AJ21" s="188">
        <f t="shared" si="17"/>
        <v>17.537549689916457</v>
      </c>
      <c r="AK21" s="188">
        <f>SUM(AK12*100/AK6)</f>
        <v>16.733922844219808</v>
      </c>
      <c r="AL21" s="188">
        <f t="shared" ref="AL21:AO21" si="18">SUM(AL12*100/AL6)</f>
        <v>13.612030898086477</v>
      </c>
      <c r="AM21" s="188">
        <f t="shared" si="18"/>
        <v>15.930816885052025</v>
      </c>
      <c r="AN21" s="188">
        <f t="shared" si="18"/>
        <v>15.594016888479693</v>
      </c>
      <c r="AO21" s="188">
        <f t="shared" si="18"/>
        <v>17.714272843381714</v>
      </c>
      <c r="AP21" s="188">
        <f t="shared" ref="AP21:AS21" si="19">SUM(AP12*100/AP6)</f>
        <v>15.336312168643158</v>
      </c>
      <c r="AQ21" s="188">
        <f t="shared" si="19"/>
        <v>18.095797135477813</v>
      </c>
      <c r="AR21" s="188">
        <f t="shared" si="19"/>
        <v>18.302157670748706</v>
      </c>
      <c r="AS21" s="188">
        <f t="shared" si="19"/>
        <v>19.938899100405386</v>
      </c>
    </row>
    <row r="22" spans="1:45" ht="24.95" customHeight="1">
      <c r="A22" s="189" t="s">
        <v>83</v>
      </c>
      <c r="B22" s="188">
        <f t="shared" si="3"/>
        <v>0.26129071051394459</v>
      </c>
      <c r="C22" s="188">
        <f t="shared" si="4"/>
        <v>0</v>
      </c>
      <c r="D22" s="188">
        <v>0</v>
      </c>
      <c r="E22" s="188">
        <f>E13*100/$E$6</f>
        <v>0</v>
      </c>
      <c r="F22" s="188">
        <f>SUM(F13*100/F$6)</f>
        <v>1.5994494016605194E-2</v>
      </c>
      <c r="G22" s="188">
        <f>SUM(G13*100/G$6)</f>
        <v>0</v>
      </c>
      <c r="H22" s="188">
        <f>ROUNDDOWN(SUM(H13*100/H$6),1)</f>
        <v>0.2</v>
      </c>
      <c r="I22" s="188">
        <f t="shared" ref="I22:AH22" si="20">SUM(I13*100/I$6)</f>
        <v>2.1894788008165602E-2</v>
      </c>
      <c r="J22" s="188">
        <f t="shared" si="20"/>
        <v>0</v>
      </c>
      <c r="K22" s="188">
        <f t="shared" si="20"/>
        <v>4.4770376648127816E-2</v>
      </c>
      <c r="L22" s="188">
        <f t="shared" si="20"/>
        <v>6.2701479597355461E-2</v>
      </c>
      <c r="M22" s="188">
        <f t="shared" si="20"/>
        <v>1.751146598815408E-2</v>
      </c>
      <c r="N22" s="188">
        <f t="shared" si="20"/>
        <v>9.8843872577876135E-2</v>
      </c>
      <c r="O22" s="188">
        <f t="shared" si="20"/>
        <v>4.8336099676228025E-2</v>
      </c>
      <c r="P22" s="188">
        <f t="shared" si="20"/>
        <v>0.10058852728143407</v>
      </c>
      <c r="Q22" s="188">
        <f t="shared" si="20"/>
        <v>2.0462309684779693E-2</v>
      </c>
      <c r="R22" s="188">
        <f t="shared" si="20"/>
        <v>0</v>
      </c>
      <c r="S22" s="188">
        <f t="shared" si="20"/>
        <v>0</v>
      </c>
      <c r="T22" s="188">
        <f t="shared" si="20"/>
        <v>0.12824198878985679</v>
      </c>
      <c r="U22" s="188">
        <f t="shared" si="20"/>
        <v>0.63025625384776141</v>
      </c>
      <c r="V22" s="188">
        <f t="shared" si="20"/>
        <v>0.29275431242000444</v>
      </c>
      <c r="W22" s="188">
        <f t="shared" si="20"/>
        <v>0.22506854961296507</v>
      </c>
      <c r="X22" s="188">
        <f t="shared" si="20"/>
        <v>2.8252484992697172E-2</v>
      </c>
      <c r="Y22" s="188">
        <f t="shared" si="20"/>
        <v>0.1164985389111596</v>
      </c>
      <c r="Z22" s="188">
        <f t="shared" si="20"/>
        <v>0.18012683866462428</v>
      </c>
      <c r="AA22" s="188">
        <f t="shared" si="20"/>
        <v>0.11709437338117029</v>
      </c>
      <c r="AB22" s="188">
        <f t="shared" si="20"/>
        <v>0.20560969277109337</v>
      </c>
      <c r="AC22" s="188">
        <f t="shared" si="20"/>
        <v>0</v>
      </c>
      <c r="AD22" s="188">
        <f t="shared" si="20"/>
        <v>9.8034567631396452E-2</v>
      </c>
      <c r="AE22" s="188">
        <f t="shared" si="20"/>
        <v>0</v>
      </c>
      <c r="AF22" s="188">
        <f t="shared" si="20"/>
        <v>0.13287899343978835</v>
      </c>
      <c r="AG22" s="188">
        <f t="shared" si="20"/>
        <v>0</v>
      </c>
      <c r="AH22" s="188">
        <f t="shared" si="20"/>
        <v>0</v>
      </c>
      <c r="AI22" s="188">
        <f>SUM(AI13*100/AI$6)-0.04</f>
        <v>4.4308078965373802E-2</v>
      </c>
      <c r="AJ22" s="188">
        <f>SUM(AJ13*100/AJ$6)</f>
        <v>5.7854565009836045E-2</v>
      </c>
      <c r="AK22" s="188">
        <f>SUM(AK13*100/AK$6)</f>
        <v>1.5042582383869284E-2</v>
      </c>
      <c r="AL22" s="188">
        <f t="shared" ref="AL22:AO22" si="21">SUM(AL13*100/AL$6)</f>
        <v>0</v>
      </c>
      <c r="AM22" s="188">
        <f t="shared" si="21"/>
        <v>0.15600783881751695</v>
      </c>
      <c r="AN22" s="188">
        <f t="shared" si="21"/>
        <v>0.38914616298963195</v>
      </c>
      <c r="AO22" s="188">
        <f t="shared" si="21"/>
        <v>0.2420087476860677</v>
      </c>
      <c r="AP22" s="1148">
        <f>SUM(AP13*100/AP6)</f>
        <v>0</v>
      </c>
      <c r="AQ22" s="188">
        <f t="shared" ref="AQ22:AS22" si="22">SUM(AQ13*100/AQ$6)</f>
        <v>0.67095238480783093</v>
      </c>
      <c r="AR22" s="188">
        <f t="shared" si="22"/>
        <v>2.5129779020822814E-2</v>
      </c>
      <c r="AS22" s="188">
        <f t="shared" si="22"/>
        <v>2.7827103896017162E-2</v>
      </c>
    </row>
    <row r="23" spans="1:45" ht="19.5" customHeight="1">
      <c r="A23" s="187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5" spans="1:45" ht="30.75" customHeight="1">
      <c r="P25" s="185"/>
    </row>
    <row r="26" spans="1:45" ht="30.75" customHeight="1">
      <c r="P26" s="185"/>
    </row>
    <row r="27" spans="1:45" ht="30.75" customHeight="1">
      <c r="P27" s="185"/>
    </row>
    <row r="28" spans="1:45" ht="30.75" customHeight="1">
      <c r="P28" s="185"/>
    </row>
    <row r="29" spans="1:45" ht="30.75" customHeight="1">
      <c r="P29" s="185"/>
    </row>
    <row r="30" spans="1:45" ht="30.75" customHeight="1">
      <c r="P30" s="185"/>
    </row>
    <row r="31" spans="1:45" ht="30.75" customHeight="1">
      <c r="P31" s="185"/>
    </row>
  </sheetData>
  <sheetProtection selectLockedCells="1" selectUnlockedCells="1"/>
  <mergeCells count="14">
    <mergeCell ref="AP3:AS3"/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zoomScale="90" zoomScaleNormal="90" workbookViewId="0">
      <pane xSplit="1" ySplit="5" topLeftCell="AF6" activePane="bottomRight" state="frozen"/>
      <selection pane="topRight" activeCell="B1" sqref="B1"/>
      <selection pane="bottomLeft" activeCell="A6" sqref="A6"/>
      <selection pane="bottomRight" activeCell="AP6" sqref="AP6"/>
    </sheetView>
  </sheetViews>
  <sheetFormatPr defaultColWidth="8.140625" defaultRowHeight="30.75" customHeight="1"/>
  <cols>
    <col min="1" max="1" width="18.42578125" style="184" customWidth="1"/>
    <col min="2" max="3" width="12.7109375" style="184" customWidth="1"/>
    <col min="4" max="4" width="11.85546875" style="184" customWidth="1"/>
    <col min="5" max="6" width="12.7109375" style="184" customWidth="1"/>
    <col min="7" max="7" width="12.7109375" style="90" customWidth="1"/>
    <col min="8" max="8" width="11.85546875" style="90" customWidth="1"/>
    <col min="9" max="9" width="11.85546875" style="184" customWidth="1"/>
    <col min="10" max="10" width="13.140625" style="184" customWidth="1"/>
    <col min="11" max="11" width="13.140625" style="90" customWidth="1"/>
    <col min="12" max="15" width="13.140625" style="184" customWidth="1"/>
    <col min="16" max="16" width="13.140625" style="93" customWidth="1"/>
    <col min="17" max="17" width="13.140625" style="184" customWidth="1"/>
    <col min="18" max="29" width="13.140625" style="90" customWidth="1"/>
    <col min="30" max="37" width="13.140625" style="184" customWidth="1"/>
    <col min="38" max="45" width="13.28515625" style="184" customWidth="1"/>
    <col min="46" max="16384" width="8.140625" style="184"/>
  </cols>
  <sheetData>
    <row r="1" spans="1:45" s="231" customFormat="1" ht="36.75" customHeight="1">
      <c r="A1" s="231" t="s">
        <v>164</v>
      </c>
      <c r="N1" s="191"/>
      <c r="P1" s="142"/>
      <c r="Q1" s="191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45" ht="16.149999999999999" customHeight="1">
      <c r="B2" s="230"/>
      <c r="F2" s="230"/>
      <c r="J2" s="230"/>
      <c r="P2" s="207"/>
    </row>
    <row r="3" spans="1:45" s="218" customFormat="1" ht="30.75" customHeight="1">
      <c r="A3" s="1175" t="s">
        <v>163</v>
      </c>
      <c r="B3" s="1168" t="s">
        <v>141</v>
      </c>
      <c r="C3" s="1168"/>
      <c r="D3" s="1168"/>
      <c r="E3" s="1168"/>
      <c r="F3" s="1168" t="s">
        <v>137</v>
      </c>
      <c r="G3" s="1168"/>
      <c r="H3" s="1168"/>
      <c r="I3" s="1168"/>
      <c r="J3" s="1163" t="s">
        <v>140</v>
      </c>
      <c r="K3" s="1163"/>
      <c r="L3" s="1163"/>
      <c r="M3" s="1163"/>
      <c r="N3" s="1163" t="s">
        <v>135</v>
      </c>
      <c r="O3" s="1163"/>
      <c r="P3" s="1163"/>
      <c r="Q3" s="1163"/>
      <c r="R3" s="1163" t="s">
        <v>134</v>
      </c>
      <c r="S3" s="1163"/>
      <c r="T3" s="1163"/>
      <c r="U3" s="1163"/>
      <c r="V3" s="1163" t="s">
        <v>133</v>
      </c>
      <c r="W3" s="1163"/>
      <c r="X3" s="1163"/>
      <c r="Y3" s="1163"/>
      <c r="Z3" s="1163" t="s">
        <v>132</v>
      </c>
      <c r="AA3" s="1163"/>
      <c r="AB3" s="1163"/>
      <c r="AC3" s="1163"/>
      <c r="AD3" s="1163" t="s">
        <v>131</v>
      </c>
      <c r="AE3" s="1163"/>
      <c r="AF3" s="1163"/>
      <c r="AG3" s="1163"/>
      <c r="AH3" s="1163" t="s">
        <v>130</v>
      </c>
      <c r="AI3" s="1163"/>
      <c r="AJ3" s="1163"/>
      <c r="AK3" s="1163"/>
      <c r="AL3" s="1163" t="s">
        <v>169</v>
      </c>
      <c r="AM3" s="1163"/>
      <c r="AN3" s="1163"/>
      <c r="AO3" s="1163"/>
      <c r="AP3" s="1163" t="s">
        <v>205</v>
      </c>
      <c r="AQ3" s="1163"/>
      <c r="AR3" s="1163"/>
      <c r="AS3" s="1163"/>
    </row>
    <row r="4" spans="1:45" s="218" customFormat="1" ht="30.75" customHeight="1">
      <c r="A4" s="1176"/>
      <c r="B4" s="228" t="s">
        <v>129</v>
      </c>
      <c r="C4" s="228" t="s">
        <v>128</v>
      </c>
      <c r="D4" s="228" t="s">
        <v>127</v>
      </c>
      <c r="E4" s="228" t="s">
        <v>126</v>
      </c>
      <c r="F4" s="228" t="s">
        <v>129</v>
      </c>
      <c r="G4" s="228" t="s">
        <v>128</v>
      </c>
      <c r="H4" s="228" t="s">
        <v>127</v>
      </c>
      <c r="I4" s="228" t="s">
        <v>126</v>
      </c>
      <c r="J4" s="228" t="s">
        <v>129</v>
      </c>
      <c r="K4" s="228" t="s">
        <v>128</v>
      </c>
      <c r="L4" s="228" t="s">
        <v>127</v>
      </c>
      <c r="M4" s="228" t="s">
        <v>126</v>
      </c>
      <c r="N4" s="229" t="s">
        <v>129</v>
      </c>
      <c r="O4" s="229" t="s">
        <v>128</v>
      </c>
      <c r="P4" s="229" t="s">
        <v>127</v>
      </c>
      <c r="Q4" s="228" t="s">
        <v>126</v>
      </c>
      <c r="R4" s="227" t="s">
        <v>129</v>
      </c>
      <c r="S4" s="227" t="s">
        <v>128</v>
      </c>
      <c r="T4" s="227" t="s">
        <v>127</v>
      </c>
      <c r="U4" s="227" t="s">
        <v>126</v>
      </c>
      <c r="V4" s="227" t="s">
        <v>129</v>
      </c>
      <c r="W4" s="227" t="s">
        <v>128</v>
      </c>
      <c r="X4" s="227" t="s">
        <v>127</v>
      </c>
      <c r="Y4" s="227" t="s">
        <v>126</v>
      </c>
      <c r="Z4" s="227" t="s">
        <v>129</v>
      </c>
      <c r="AA4" s="227" t="s">
        <v>128</v>
      </c>
      <c r="AB4" s="227" t="s">
        <v>127</v>
      </c>
      <c r="AC4" s="227" t="s">
        <v>126</v>
      </c>
      <c r="AD4" s="227" t="s">
        <v>129</v>
      </c>
      <c r="AE4" s="227" t="s">
        <v>128</v>
      </c>
      <c r="AF4" s="227" t="s">
        <v>127</v>
      </c>
      <c r="AG4" s="227" t="s">
        <v>126</v>
      </c>
      <c r="AH4" s="227" t="s">
        <v>129</v>
      </c>
      <c r="AI4" s="227" t="s">
        <v>128</v>
      </c>
      <c r="AJ4" s="227" t="s">
        <v>127</v>
      </c>
      <c r="AK4" s="227" t="s">
        <v>126</v>
      </c>
      <c r="AL4" s="227" t="s">
        <v>129</v>
      </c>
      <c r="AM4" s="227" t="s">
        <v>128</v>
      </c>
      <c r="AN4" s="227" t="s">
        <v>127</v>
      </c>
      <c r="AO4" s="227" t="s">
        <v>126</v>
      </c>
      <c r="AP4" s="227" t="s">
        <v>129</v>
      </c>
      <c r="AQ4" s="227" t="s">
        <v>128</v>
      </c>
      <c r="AR4" s="227" t="s">
        <v>127</v>
      </c>
      <c r="AS4" s="227" t="s">
        <v>126</v>
      </c>
    </row>
    <row r="5" spans="1:45" s="112" customFormat="1" ht="18.75" customHeight="1">
      <c r="A5" s="1164" t="s">
        <v>21</v>
      </c>
      <c r="B5" s="1164"/>
      <c r="C5" s="1164"/>
      <c r="D5" s="1164"/>
      <c r="E5" s="1164"/>
      <c r="F5" s="1164"/>
      <c r="G5" s="1164"/>
      <c r="H5" s="1164"/>
      <c r="I5" s="1164"/>
      <c r="J5" s="1164"/>
      <c r="K5" s="1164"/>
      <c r="L5" s="1164"/>
      <c r="N5" s="218"/>
      <c r="P5" s="128"/>
      <c r="Q5" s="218"/>
    </row>
    <row r="6" spans="1:45" s="218" customFormat="1" ht="26.25" customHeight="1">
      <c r="A6" s="194" t="s">
        <v>37</v>
      </c>
      <c r="B6" s="222">
        <v>1463504</v>
      </c>
      <c r="C6" s="222">
        <v>1497012</v>
      </c>
      <c r="D6" s="222" t="s">
        <v>125</v>
      </c>
      <c r="E6" s="222">
        <v>1554713</v>
      </c>
      <c r="F6" s="222">
        <v>1444247</v>
      </c>
      <c r="G6" s="222">
        <v>1502083</v>
      </c>
      <c r="H6" s="226">
        <v>1568700</v>
      </c>
      <c r="I6" s="226">
        <v>1596453</v>
      </c>
      <c r="J6" s="222">
        <v>1473724.65</v>
      </c>
      <c r="K6" s="222">
        <v>1558329.53</v>
      </c>
      <c r="L6" s="222">
        <v>1603167.91</v>
      </c>
      <c r="M6" s="222">
        <v>1616084</v>
      </c>
      <c r="N6" s="222">
        <v>1503381</v>
      </c>
      <c r="O6" s="222">
        <v>1501983</v>
      </c>
      <c r="P6" s="222">
        <v>1599586</v>
      </c>
      <c r="Q6" s="222">
        <v>1588286</v>
      </c>
      <c r="R6" s="222">
        <v>1349508</v>
      </c>
      <c r="S6" s="222">
        <v>1397341</v>
      </c>
      <c r="T6" s="222">
        <v>1405156.22</v>
      </c>
      <c r="U6" s="222">
        <v>1416408</v>
      </c>
      <c r="V6" s="222">
        <v>1362575.88</v>
      </c>
      <c r="W6" s="222">
        <v>1368352</v>
      </c>
      <c r="X6" s="222">
        <v>1366251.5</v>
      </c>
      <c r="Y6" s="222">
        <v>1389717</v>
      </c>
      <c r="Z6" s="222">
        <v>1280208.7</v>
      </c>
      <c r="AA6" s="222">
        <v>1281018</v>
      </c>
      <c r="AB6" s="222">
        <v>1332622</v>
      </c>
      <c r="AC6" s="222">
        <v>1315216</v>
      </c>
      <c r="AD6" s="222">
        <v>1244459</v>
      </c>
      <c r="AE6" s="222">
        <v>1264250</v>
      </c>
      <c r="AF6" s="222">
        <v>1361389</v>
      </c>
      <c r="AG6" s="222">
        <v>1306823</v>
      </c>
      <c r="AH6" s="222">
        <v>1236358</v>
      </c>
      <c r="AI6" s="222">
        <v>1252549</v>
      </c>
      <c r="AJ6" s="222">
        <v>1299811</v>
      </c>
      <c r="AK6" s="222">
        <v>1263081</v>
      </c>
      <c r="AL6" s="222">
        <v>1184151</v>
      </c>
      <c r="AM6" s="222">
        <v>1171095</v>
      </c>
      <c r="AN6" s="222">
        <v>1164344</v>
      </c>
      <c r="AO6" s="222">
        <v>1198717</v>
      </c>
      <c r="AP6" s="222">
        <v>1123034</v>
      </c>
      <c r="AQ6" s="222">
        <v>1235110</v>
      </c>
      <c r="AR6" s="222">
        <v>1289307</v>
      </c>
      <c r="AS6" s="222">
        <v>1347607</v>
      </c>
    </row>
    <row r="7" spans="1:45" s="218" customFormat="1" ht="16.149999999999999" customHeight="1">
      <c r="A7" s="194"/>
      <c r="B7" s="225"/>
      <c r="C7" s="225"/>
      <c r="D7" s="225"/>
      <c r="E7" s="225"/>
      <c r="F7" s="225"/>
      <c r="G7" s="225"/>
      <c r="J7" s="225"/>
      <c r="K7" s="225"/>
      <c r="L7" s="225"/>
      <c r="N7" s="225"/>
      <c r="O7" s="225"/>
      <c r="P7" s="225"/>
      <c r="R7" s="225"/>
      <c r="S7" s="225"/>
      <c r="T7" s="225"/>
      <c r="U7" s="90"/>
      <c r="V7" s="225"/>
      <c r="W7" s="225"/>
      <c r="X7" s="225"/>
      <c r="Y7" s="90"/>
      <c r="Z7" s="225"/>
      <c r="AA7" s="225"/>
      <c r="AB7" s="225"/>
      <c r="AC7" s="90"/>
      <c r="AD7" s="225"/>
      <c r="AE7" s="225"/>
      <c r="AF7" s="225"/>
      <c r="AG7" s="90"/>
      <c r="AH7" s="225"/>
      <c r="AI7" s="225"/>
      <c r="AJ7" s="225"/>
      <c r="AK7" s="90"/>
      <c r="AL7" s="225"/>
      <c r="AM7" s="225"/>
      <c r="AN7" s="225"/>
      <c r="AO7" s="90"/>
      <c r="AP7" s="225"/>
      <c r="AQ7" s="225"/>
      <c r="AR7" s="225"/>
      <c r="AS7" s="90"/>
    </row>
    <row r="8" spans="1:45" s="211" customFormat="1" ht="26.25" customHeight="1">
      <c r="A8" s="217" t="s">
        <v>162</v>
      </c>
      <c r="B8" s="213">
        <v>57859</v>
      </c>
      <c r="C8" s="213">
        <v>49688</v>
      </c>
      <c r="D8" s="213" t="s">
        <v>125</v>
      </c>
      <c r="E8" s="213">
        <v>15297</v>
      </c>
      <c r="F8" s="213">
        <v>39589</v>
      </c>
      <c r="G8" s="213">
        <v>35502</v>
      </c>
      <c r="H8" s="118">
        <v>6229</v>
      </c>
      <c r="I8" s="118">
        <v>6833</v>
      </c>
      <c r="J8" s="213">
        <v>22002.12</v>
      </c>
      <c r="K8" s="213">
        <v>30684.51</v>
      </c>
      <c r="L8" s="213">
        <v>4500.68</v>
      </c>
      <c r="M8" s="213">
        <v>1957</v>
      </c>
      <c r="N8" s="213">
        <v>55366</v>
      </c>
      <c r="O8" s="213">
        <v>51298</v>
      </c>
      <c r="P8" s="213">
        <v>9257</v>
      </c>
      <c r="Q8" s="213">
        <v>8568</v>
      </c>
      <c r="R8" s="213">
        <v>30430</v>
      </c>
      <c r="S8" s="213">
        <v>7114</v>
      </c>
      <c r="T8" s="213">
        <v>12729</v>
      </c>
      <c r="U8" s="224">
        <v>5282</v>
      </c>
      <c r="V8" s="213">
        <v>41519.410000000003</v>
      </c>
      <c r="W8" s="213">
        <v>23443.54</v>
      </c>
      <c r="X8" s="213">
        <v>5327.89</v>
      </c>
      <c r="Y8" s="224">
        <v>2055</v>
      </c>
      <c r="Z8" s="213">
        <v>28726</v>
      </c>
      <c r="AA8" s="213">
        <v>20773</v>
      </c>
      <c r="AB8" s="213">
        <v>1541</v>
      </c>
      <c r="AC8" s="223">
        <v>2019</v>
      </c>
      <c r="AD8" s="213">
        <v>36245</v>
      </c>
      <c r="AE8" s="213">
        <v>31608</v>
      </c>
      <c r="AF8" s="213">
        <v>1433</v>
      </c>
      <c r="AG8" s="223">
        <v>5849</v>
      </c>
      <c r="AH8" s="213">
        <v>19869</v>
      </c>
      <c r="AI8" s="213">
        <v>12423</v>
      </c>
      <c r="AJ8" s="213">
        <v>4090</v>
      </c>
      <c r="AK8" s="223">
        <v>8077</v>
      </c>
      <c r="AL8" s="213">
        <v>30317</v>
      </c>
      <c r="AM8" s="213">
        <v>19002</v>
      </c>
      <c r="AN8" s="213">
        <v>8908</v>
      </c>
      <c r="AO8" s="223">
        <v>9183</v>
      </c>
      <c r="AP8" s="213">
        <v>51770</v>
      </c>
      <c r="AQ8" s="213">
        <v>51334</v>
      </c>
      <c r="AR8" s="213">
        <v>12621</v>
      </c>
      <c r="AS8" s="223">
        <v>274</v>
      </c>
    </row>
    <row r="9" spans="1:45" s="211" customFormat="1" ht="26.25" customHeight="1">
      <c r="A9" s="215" t="s">
        <v>96</v>
      </c>
      <c r="B9" s="213">
        <v>18044</v>
      </c>
      <c r="C9" s="213">
        <v>8203</v>
      </c>
      <c r="D9" s="213" t="s">
        <v>125</v>
      </c>
      <c r="E9" s="213">
        <v>6010</v>
      </c>
      <c r="F9" s="213">
        <v>7902</v>
      </c>
      <c r="G9" s="213">
        <v>5202</v>
      </c>
      <c r="H9" s="118">
        <v>2949</v>
      </c>
      <c r="I9" s="118">
        <v>4503</v>
      </c>
      <c r="J9" s="213">
        <v>27230.34</v>
      </c>
      <c r="K9" s="213">
        <v>8825.19</v>
      </c>
      <c r="L9" s="213">
        <v>986.34</v>
      </c>
      <c r="M9" s="213">
        <v>15318</v>
      </c>
      <c r="N9" s="213">
        <v>15302</v>
      </c>
      <c r="O9" s="213">
        <v>17662</v>
      </c>
      <c r="P9" s="213">
        <v>9075</v>
      </c>
      <c r="Q9" s="213">
        <v>8939</v>
      </c>
      <c r="R9" s="213">
        <v>6938</v>
      </c>
      <c r="S9" s="213">
        <v>2488</v>
      </c>
      <c r="T9" s="213">
        <v>4963</v>
      </c>
      <c r="U9" s="224">
        <v>12882</v>
      </c>
      <c r="V9" s="213">
        <v>29633.77</v>
      </c>
      <c r="W9" s="213">
        <v>5873.79</v>
      </c>
      <c r="X9" s="213">
        <v>5228.24</v>
      </c>
      <c r="Y9" s="224">
        <v>247</v>
      </c>
      <c r="Z9" s="213">
        <v>5613</v>
      </c>
      <c r="AA9" s="213">
        <v>6012</v>
      </c>
      <c r="AB9" s="213">
        <v>1274</v>
      </c>
      <c r="AC9" s="223">
        <v>2530</v>
      </c>
      <c r="AD9" s="213">
        <v>10045</v>
      </c>
      <c r="AE9" s="213">
        <v>4630</v>
      </c>
      <c r="AF9" s="213">
        <v>3158</v>
      </c>
      <c r="AG9" s="223">
        <v>275</v>
      </c>
      <c r="AH9" s="213">
        <v>8595</v>
      </c>
      <c r="AI9" s="213">
        <v>4727</v>
      </c>
      <c r="AJ9" s="213">
        <v>14204</v>
      </c>
      <c r="AK9" s="223">
        <v>31287</v>
      </c>
      <c r="AL9" s="213">
        <v>8458</v>
      </c>
      <c r="AM9" s="213">
        <v>388</v>
      </c>
      <c r="AN9" s="213">
        <v>4980</v>
      </c>
      <c r="AO9" s="223">
        <v>5577</v>
      </c>
      <c r="AP9" s="213">
        <v>19961</v>
      </c>
      <c r="AQ9" s="213">
        <v>8650</v>
      </c>
      <c r="AR9" s="213">
        <v>7915</v>
      </c>
      <c r="AS9" s="223">
        <v>9352</v>
      </c>
    </row>
    <row r="10" spans="1:45" s="211" customFormat="1" ht="26.25" customHeight="1">
      <c r="A10" s="216" t="s">
        <v>95</v>
      </c>
      <c r="B10" s="213">
        <v>75342</v>
      </c>
      <c r="C10" s="213">
        <v>66268</v>
      </c>
      <c r="D10" s="213" t="s">
        <v>125</v>
      </c>
      <c r="E10" s="213">
        <v>73864</v>
      </c>
      <c r="F10" s="213">
        <v>76540</v>
      </c>
      <c r="G10" s="213">
        <v>54387</v>
      </c>
      <c r="H10" s="118">
        <v>56016</v>
      </c>
      <c r="I10" s="118">
        <v>43152</v>
      </c>
      <c r="J10" s="213">
        <v>78718.53</v>
      </c>
      <c r="K10" s="213">
        <v>45147.8</v>
      </c>
      <c r="L10" s="213">
        <v>39946.65</v>
      </c>
      <c r="M10" s="213">
        <v>74110</v>
      </c>
      <c r="N10" s="213">
        <v>69699</v>
      </c>
      <c r="O10" s="213">
        <v>33891</v>
      </c>
      <c r="P10" s="213">
        <v>29399</v>
      </c>
      <c r="Q10" s="213">
        <v>54699</v>
      </c>
      <c r="R10" s="213">
        <v>87607</v>
      </c>
      <c r="S10" s="213">
        <v>37229</v>
      </c>
      <c r="T10" s="213">
        <v>32754</v>
      </c>
      <c r="U10" s="224">
        <v>31616</v>
      </c>
      <c r="V10" s="213">
        <v>49353.01</v>
      </c>
      <c r="W10" s="213">
        <v>32063</v>
      </c>
      <c r="X10" s="213">
        <v>41718.04</v>
      </c>
      <c r="Y10" s="224">
        <v>24655</v>
      </c>
      <c r="Z10" s="213">
        <v>35903</v>
      </c>
      <c r="AA10" s="213">
        <v>27744</v>
      </c>
      <c r="AB10" s="213">
        <v>19208</v>
      </c>
      <c r="AC10" s="223">
        <v>25745</v>
      </c>
      <c r="AD10" s="213">
        <v>42929</v>
      </c>
      <c r="AE10" s="213">
        <v>54940</v>
      </c>
      <c r="AF10" s="213">
        <v>41573</v>
      </c>
      <c r="AG10" s="223">
        <v>31201</v>
      </c>
      <c r="AH10" s="213">
        <v>40914</v>
      </c>
      <c r="AI10" s="213">
        <v>53738</v>
      </c>
      <c r="AJ10" s="213">
        <v>52331</v>
      </c>
      <c r="AK10" s="223">
        <v>48649</v>
      </c>
      <c r="AL10" s="213">
        <v>45124</v>
      </c>
      <c r="AM10" s="213">
        <v>46686</v>
      </c>
      <c r="AN10" s="213">
        <v>85610</v>
      </c>
      <c r="AO10" s="223">
        <v>53659</v>
      </c>
      <c r="AP10" s="213">
        <v>44065</v>
      </c>
      <c r="AQ10" s="213">
        <v>77694</v>
      </c>
      <c r="AR10" s="213">
        <v>70279</v>
      </c>
      <c r="AS10" s="223">
        <v>80988</v>
      </c>
    </row>
    <row r="11" spans="1:45" s="211" customFormat="1" ht="26.25" customHeight="1">
      <c r="A11" s="215" t="s">
        <v>94</v>
      </c>
      <c r="B11" s="213">
        <v>161851</v>
      </c>
      <c r="C11" s="213">
        <v>122944</v>
      </c>
      <c r="D11" s="213" t="s">
        <v>125</v>
      </c>
      <c r="E11" s="213">
        <v>123268</v>
      </c>
      <c r="F11" s="213">
        <v>186816</v>
      </c>
      <c r="G11" s="213">
        <v>108063</v>
      </c>
      <c r="H11" s="118">
        <v>123582</v>
      </c>
      <c r="I11" s="118">
        <v>119451</v>
      </c>
      <c r="J11" s="213">
        <v>160667.60999999999</v>
      </c>
      <c r="K11" s="213">
        <v>128487.36</v>
      </c>
      <c r="L11" s="213">
        <v>138272.25</v>
      </c>
      <c r="M11" s="213">
        <v>141766</v>
      </c>
      <c r="N11" s="213">
        <v>138085</v>
      </c>
      <c r="O11" s="213">
        <v>105816</v>
      </c>
      <c r="P11" s="213">
        <v>117107</v>
      </c>
      <c r="Q11" s="213">
        <v>107476</v>
      </c>
      <c r="R11" s="213">
        <v>128110</v>
      </c>
      <c r="S11" s="213">
        <v>84873</v>
      </c>
      <c r="T11" s="213">
        <v>79898</v>
      </c>
      <c r="U11" s="224">
        <v>73199</v>
      </c>
      <c r="V11" s="213">
        <v>172330</v>
      </c>
      <c r="W11" s="213">
        <v>102201.33</v>
      </c>
      <c r="X11" s="213">
        <v>95275.520000000004</v>
      </c>
      <c r="Y11" s="224">
        <v>84456</v>
      </c>
      <c r="Z11" s="213">
        <v>81640</v>
      </c>
      <c r="AA11" s="213">
        <v>67871</v>
      </c>
      <c r="AB11" s="213">
        <v>73042</v>
      </c>
      <c r="AC11" s="223">
        <v>89109</v>
      </c>
      <c r="AD11" s="213">
        <v>134880</v>
      </c>
      <c r="AE11" s="213">
        <v>106873</v>
      </c>
      <c r="AF11" s="213">
        <v>71220</v>
      </c>
      <c r="AG11" s="223">
        <v>48466</v>
      </c>
      <c r="AH11" s="213">
        <v>105339</v>
      </c>
      <c r="AI11" s="213">
        <v>97401</v>
      </c>
      <c r="AJ11" s="213">
        <v>118269</v>
      </c>
      <c r="AK11" s="223">
        <v>88566</v>
      </c>
      <c r="AL11" s="213">
        <v>107197</v>
      </c>
      <c r="AM11" s="213">
        <v>122244</v>
      </c>
      <c r="AN11" s="213">
        <v>71948</v>
      </c>
      <c r="AO11" s="223">
        <v>90521</v>
      </c>
      <c r="AP11" s="213">
        <v>76024</v>
      </c>
      <c r="AQ11" s="213">
        <v>163009</v>
      </c>
      <c r="AR11" s="213">
        <v>165137</v>
      </c>
      <c r="AS11" s="223">
        <v>125358</v>
      </c>
    </row>
    <row r="12" spans="1:45" s="211" customFormat="1" ht="26.25" customHeight="1">
      <c r="A12" s="215" t="s">
        <v>93</v>
      </c>
      <c r="B12" s="213">
        <v>171159</v>
      </c>
      <c r="C12" s="213">
        <v>90922</v>
      </c>
      <c r="D12" s="213" t="s">
        <v>125</v>
      </c>
      <c r="E12" s="213">
        <v>115250</v>
      </c>
      <c r="F12" s="213">
        <v>151642</v>
      </c>
      <c r="G12" s="213">
        <v>74515</v>
      </c>
      <c r="H12" s="118">
        <v>111492</v>
      </c>
      <c r="I12" s="118">
        <v>88550</v>
      </c>
      <c r="J12" s="213">
        <v>152293.79</v>
      </c>
      <c r="K12" s="213">
        <v>122238.53</v>
      </c>
      <c r="L12" s="213">
        <v>88703.92</v>
      </c>
      <c r="M12" s="213">
        <v>103447</v>
      </c>
      <c r="N12" s="213">
        <v>113525</v>
      </c>
      <c r="O12" s="213">
        <v>64819</v>
      </c>
      <c r="P12" s="213">
        <v>98128</v>
      </c>
      <c r="Q12" s="213">
        <v>122064</v>
      </c>
      <c r="R12" s="213">
        <v>137219</v>
      </c>
      <c r="S12" s="213">
        <v>88177</v>
      </c>
      <c r="T12" s="213">
        <v>117306</v>
      </c>
      <c r="U12" s="224">
        <v>125913</v>
      </c>
      <c r="V12" s="213">
        <v>124878.5</v>
      </c>
      <c r="W12" s="213">
        <v>115081.81</v>
      </c>
      <c r="X12" s="213">
        <v>108324.23</v>
      </c>
      <c r="Y12" s="224">
        <v>86132</v>
      </c>
      <c r="Z12" s="213">
        <v>104703</v>
      </c>
      <c r="AA12" s="213">
        <v>116561</v>
      </c>
      <c r="AB12" s="213">
        <v>141895</v>
      </c>
      <c r="AC12" s="223">
        <v>93980</v>
      </c>
      <c r="AD12" s="213">
        <v>96859</v>
      </c>
      <c r="AE12" s="213">
        <v>67936</v>
      </c>
      <c r="AF12" s="213">
        <v>115966</v>
      </c>
      <c r="AG12" s="223">
        <v>63174</v>
      </c>
      <c r="AH12" s="213">
        <v>88868</v>
      </c>
      <c r="AI12" s="213">
        <v>129834</v>
      </c>
      <c r="AJ12" s="213">
        <v>121433</v>
      </c>
      <c r="AK12" s="223">
        <v>108215</v>
      </c>
      <c r="AL12" s="213">
        <v>71752</v>
      </c>
      <c r="AM12" s="213">
        <v>73411</v>
      </c>
      <c r="AN12" s="213">
        <v>89647</v>
      </c>
      <c r="AO12" s="223">
        <v>140691</v>
      </c>
      <c r="AP12" s="213">
        <v>99803</v>
      </c>
      <c r="AQ12" s="213">
        <v>134723</v>
      </c>
      <c r="AR12" s="213">
        <v>161082</v>
      </c>
      <c r="AS12" s="223">
        <v>102947</v>
      </c>
    </row>
    <row r="13" spans="1:45" s="211" customFormat="1" ht="26.25" customHeight="1">
      <c r="A13" s="215" t="s">
        <v>92</v>
      </c>
      <c r="B13" s="213">
        <v>152222</v>
      </c>
      <c r="C13" s="213">
        <v>148849</v>
      </c>
      <c r="D13" s="213" t="s">
        <v>125</v>
      </c>
      <c r="E13" s="213">
        <v>149497</v>
      </c>
      <c r="F13" s="213">
        <v>110817</v>
      </c>
      <c r="G13" s="213">
        <v>174789</v>
      </c>
      <c r="H13" s="118">
        <v>183949</v>
      </c>
      <c r="I13" s="118">
        <v>197695</v>
      </c>
      <c r="J13" s="213">
        <v>143021.01</v>
      </c>
      <c r="K13" s="213">
        <v>190896.07</v>
      </c>
      <c r="L13" s="213">
        <v>207588.67</v>
      </c>
      <c r="M13" s="213">
        <v>218281</v>
      </c>
      <c r="N13" s="213">
        <v>160695</v>
      </c>
      <c r="O13" s="213">
        <v>170225</v>
      </c>
      <c r="P13" s="213">
        <v>235464</v>
      </c>
      <c r="Q13" s="213">
        <v>234253</v>
      </c>
      <c r="R13" s="213">
        <v>185920</v>
      </c>
      <c r="S13" s="213">
        <v>201044</v>
      </c>
      <c r="T13" s="213">
        <v>270037</v>
      </c>
      <c r="U13" s="224">
        <v>207196</v>
      </c>
      <c r="V13" s="213">
        <v>158796</v>
      </c>
      <c r="W13" s="213">
        <v>185788</v>
      </c>
      <c r="X13" s="213">
        <v>176922.62</v>
      </c>
      <c r="Y13" s="224">
        <v>239109</v>
      </c>
      <c r="Z13" s="213">
        <v>213637</v>
      </c>
      <c r="AA13" s="213">
        <v>172002</v>
      </c>
      <c r="AB13" s="213">
        <v>188457</v>
      </c>
      <c r="AC13" s="223">
        <v>173588</v>
      </c>
      <c r="AD13" s="213">
        <v>134734</v>
      </c>
      <c r="AE13" s="213">
        <v>168725</v>
      </c>
      <c r="AF13" s="213">
        <v>200473</v>
      </c>
      <c r="AG13" s="223">
        <v>174361</v>
      </c>
      <c r="AH13" s="213">
        <v>181147</v>
      </c>
      <c r="AI13" s="213">
        <v>180068</v>
      </c>
      <c r="AJ13" s="213">
        <v>187213</v>
      </c>
      <c r="AK13" s="223">
        <v>170948</v>
      </c>
      <c r="AL13" s="213">
        <v>155320</v>
      </c>
      <c r="AM13" s="213">
        <v>133850</v>
      </c>
      <c r="AN13" s="213">
        <v>185993</v>
      </c>
      <c r="AO13" s="223">
        <v>183179</v>
      </c>
      <c r="AP13" s="213">
        <v>152441</v>
      </c>
      <c r="AQ13" s="213">
        <v>175137</v>
      </c>
      <c r="AR13" s="213">
        <v>188048</v>
      </c>
      <c r="AS13" s="223">
        <v>237796</v>
      </c>
    </row>
    <row r="14" spans="1:45" s="211" customFormat="1" ht="26.25" customHeight="1">
      <c r="A14" s="215" t="s">
        <v>91</v>
      </c>
      <c r="B14" s="213">
        <v>524465</v>
      </c>
      <c r="C14" s="213">
        <v>704710</v>
      </c>
      <c r="D14" s="213" t="s">
        <v>125</v>
      </c>
      <c r="E14" s="213">
        <v>684265</v>
      </c>
      <c r="F14" s="213">
        <v>518904</v>
      </c>
      <c r="G14" s="213">
        <v>643640</v>
      </c>
      <c r="H14" s="118">
        <v>688640</v>
      </c>
      <c r="I14" s="118">
        <v>802754</v>
      </c>
      <c r="J14" s="213">
        <v>627257.48</v>
      </c>
      <c r="K14" s="213">
        <v>708862.45</v>
      </c>
      <c r="L14" s="213">
        <v>686919.43</v>
      </c>
      <c r="M14" s="213">
        <v>672191</v>
      </c>
      <c r="N14" s="213">
        <v>685769</v>
      </c>
      <c r="O14" s="213">
        <v>710247</v>
      </c>
      <c r="P14" s="213">
        <v>713056</v>
      </c>
      <c r="Q14" s="213">
        <v>732584</v>
      </c>
      <c r="R14" s="213">
        <v>556129</v>
      </c>
      <c r="S14" s="213">
        <v>725228</v>
      </c>
      <c r="T14" s="213">
        <v>594880</v>
      </c>
      <c r="U14" s="224">
        <v>633565</v>
      </c>
      <c r="V14" s="213">
        <v>508543.23</v>
      </c>
      <c r="W14" s="213">
        <v>609880.24</v>
      </c>
      <c r="X14" s="213">
        <v>675640.09</v>
      </c>
      <c r="Y14" s="224">
        <v>689713</v>
      </c>
      <c r="Z14" s="213">
        <v>608163</v>
      </c>
      <c r="AA14" s="213">
        <v>633097</v>
      </c>
      <c r="AB14" s="213">
        <v>657295</v>
      </c>
      <c r="AC14" s="223">
        <v>656748</v>
      </c>
      <c r="AD14" s="213">
        <v>532256</v>
      </c>
      <c r="AE14" s="213">
        <v>600712</v>
      </c>
      <c r="AF14" s="213">
        <v>696493</v>
      </c>
      <c r="AG14" s="223">
        <v>698203</v>
      </c>
      <c r="AH14" s="213">
        <v>574826</v>
      </c>
      <c r="AI14" s="213">
        <v>601685</v>
      </c>
      <c r="AJ14" s="213">
        <v>584498</v>
      </c>
      <c r="AK14" s="223">
        <v>629982</v>
      </c>
      <c r="AL14" s="213">
        <v>579512</v>
      </c>
      <c r="AM14" s="213">
        <v>555670</v>
      </c>
      <c r="AN14" s="213">
        <v>542246</v>
      </c>
      <c r="AO14" s="223">
        <v>551226</v>
      </c>
      <c r="AP14" s="213">
        <v>526749</v>
      </c>
      <c r="AQ14" s="213">
        <v>425387</v>
      </c>
      <c r="AR14" s="213">
        <v>505718</v>
      </c>
      <c r="AS14" s="223">
        <v>612099</v>
      </c>
    </row>
    <row r="15" spans="1:45" s="211" customFormat="1" ht="26.25" customHeight="1">
      <c r="A15" s="214" t="s">
        <v>90</v>
      </c>
      <c r="B15" s="213">
        <v>302561</v>
      </c>
      <c r="C15" s="213">
        <v>305427</v>
      </c>
      <c r="D15" s="213" t="s">
        <v>125</v>
      </c>
      <c r="E15" s="213">
        <v>387262</v>
      </c>
      <c r="F15" s="213">
        <v>352037</v>
      </c>
      <c r="G15" s="213">
        <v>405985</v>
      </c>
      <c r="H15" s="118">
        <v>395843</v>
      </c>
      <c r="I15" s="118">
        <v>333514</v>
      </c>
      <c r="J15" s="213">
        <v>262533.78999999998</v>
      </c>
      <c r="K15" s="213">
        <v>323187.62</v>
      </c>
      <c r="L15" s="213">
        <v>436249.97</v>
      </c>
      <c r="M15" s="213">
        <v>389014</v>
      </c>
      <c r="N15" s="213">
        <v>264940</v>
      </c>
      <c r="O15" s="213">
        <v>348025</v>
      </c>
      <c r="P15" s="213">
        <v>388100</v>
      </c>
      <c r="Q15" s="213">
        <v>319703</v>
      </c>
      <c r="R15" s="213">
        <v>217155</v>
      </c>
      <c r="S15" s="213">
        <v>251188</v>
      </c>
      <c r="T15" s="213">
        <v>292589</v>
      </c>
      <c r="U15" s="224">
        <v>326755</v>
      </c>
      <c r="V15" s="213">
        <v>277522.12</v>
      </c>
      <c r="W15" s="213">
        <v>294019.71999999997</v>
      </c>
      <c r="X15" s="213">
        <v>257814.86</v>
      </c>
      <c r="Y15" s="224">
        <v>263350</v>
      </c>
      <c r="Z15" s="213">
        <v>201824</v>
      </c>
      <c r="AA15" s="213">
        <v>236958</v>
      </c>
      <c r="AB15" s="213">
        <v>249910</v>
      </c>
      <c r="AC15" s="223">
        <v>271497</v>
      </c>
      <c r="AD15" s="213">
        <v>256511</v>
      </c>
      <c r="AE15" s="213">
        <v>228826</v>
      </c>
      <c r="AF15" s="213">
        <v>231073</v>
      </c>
      <c r="AG15" s="223">
        <v>285294</v>
      </c>
      <c r="AH15" s="213">
        <v>216800</v>
      </c>
      <c r="AI15" s="213">
        <v>172673</v>
      </c>
      <c r="AJ15" s="213">
        <v>217773</v>
      </c>
      <c r="AK15" s="223">
        <v>177357</v>
      </c>
      <c r="AL15" s="213">
        <v>186471</v>
      </c>
      <c r="AM15" s="213">
        <v>219844</v>
      </c>
      <c r="AN15" s="213">
        <v>175012</v>
      </c>
      <c r="AO15" s="223">
        <v>164681</v>
      </c>
      <c r="AP15" s="213">
        <v>152221</v>
      </c>
      <c r="AQ15" s="213">
        <v>199176</v>
      </c>
      <c r="AR15" s="213">
        <v>178507</v>
      </c>
      <c r="AS15" s="223">
        <v>178793</v>
      </c>
    </row>
    <row r="16" spans="1:45" s="112" customFormat="1" ht="23.25" customHeight="1">
      <c r="A16" s="1165" t="s">
        <v>20</v>
      </c>
      <c r="B16" s="1165"/>
      <c r="C16" s="1165"/>
      <c r="D16" s="1165"/>
      <c r="E16" s="1165"/>
      <c r="F16" s="1165"/>
      <c r="G16" s="1165"/>
      <c r="H16" s="1165"/>
      <c r="I16" s="1165"/>
      <c r="J16" s="1165"/>
      <c r="K16" s="1165"/>
      <c r="L16" s="1165"/>
      <c r="M16" s="218"/>
      <c r="N16" s="218"/>
      <c r="O16" s="218"/>
      <c r="P16" s="218"/>
      <c r="Q16" s="218"/>
      <c r="R16" s="218"/>
      <c r="S16" s="218"/>
      <c r="T16" s="218"/>
      <c r="U16" s="90"/>
      <c r="V16" s="218"/>
      <c r="W16" s="218"/>
      <c r="X16" s="218"/>
      <c r="Y16" s="90"/>
      <c r="Z16" s="218"/>
      <c r="AA16" s="218"/>
      <c r="AB16" s="218"/>
      <c r="AC16" s="90"/>
      <c r="AD16" s="211"/>
      <c r="AE16" s="211"/>
      <c r="AF16" s="211"/>
      <c r="AG16" s="211"/>
      <c r="AH16" s="211"/>
      <c r="AI16" s="211"/>
      <c r="AJ16" s="211"/>
      <c r="AK16" s="211"/>
    </row>
    <row r="17" spans="1:45" s="218" customFormat="1" ht="26.25" customHeight="1">
      <c r="A17" s="194" t="s">
        <v>37</v>
      </c>
      <c r="B17" s="221">
        <v>100</v>
      </c>
      <c r="C17" s="221">
        <v>100</v>
      </c>
      <c r="D17" s="222" t="s">
        <v>125</v>
      </c>
      <c r="E17" s="221">
        <v>100</v>
      </c>
      <c r="F17" s="221">
        <v>100</v>
      </c>
      <c r="G17" s="221">
        <v>100</v>
      </c>
      <c r="H17" s="221">
        <v>100</v>
      </c>
      <c r="I17" s="221">
        <v>100</v>
      </c>
      <c r="J17" s="221">
        <v>100</v>
      </c>
      <c r="K17" s="221">
        <v>100</v>
      </c>
      <c r="L17" s="221">
        <v>100</v>
      </c>
      <c r="M17" s="221">
        <v>100</v>
      </c>
      <c r="N17" s="221">
        <v>100</v>
      </c>
      <c r="O17" s="221">
        <v>100</v>
      </c>
      <c r="P17" s="221">
        <v>100</v>
      </c>
      <c r="Q17" s="221">
        <v>100</v>
      </c>
      <c r="R17" s="221">
        <v>100</v>
      </c>
      <c r="S17" s="221">
        <v>100</v>
      </c>
      <c r="T17" s="221">
        <v>100</v>
      </c>
      <c r="U17" s="221">
        <v>100</v>
      </c>
      <c r="V17" s="221">
        <v>100</v>
      </c>
      <c r="W17" s="221">
        <v>100</v>
      </c>
      <c r="X17" s="221">
        <v>100</v>
      </c>
      <c r="Y17" s="221">
        <v>100</v>
      </c>
      <c r="Z17" s="221">
        <v>100</v>
      </c>
      <c r="AA17" s="221">
        <v>100</v>
      </c>
      <c r="AB17" s="221">
        <v>100</v>
      </c>
      <c r="AC17" s="221">
        <v>100</v>
      </c>
      <c r="AD17" s="221">
        <v>100</v>
      </c>
      <c r="AE17" s="221">
        <v>100</v>
      </c>
      <c r="AF17" s="221">
        <v>100</v>
      </c>
      <c r="AG17" s="221">
        <v>100</v>
      </c>
      <c r="AH17" s="221">
        <v>100</v>
      </c>
      <c r="AI17" s="221">
        <v>100</v>
      </c>
      <c r="AJ17" s="221">
        <v>100</v>
      </c>
      <c r="AK17" s="221">
        <v>100</v>
      </c>
      <c r="AL17" s="221">
        <v>100</v>
      </c>
      <c r="AM17" s="221">
        <v>100</v>
      </c>
      <c r="AN17" s="221">
        <v>100</v>
      </c>
      <c r="AO17" s="221">
        <v>100</v>
      </c>
      <c r="AP17" s="221">
        <v>100</v>
      </c>
      <c r="AQ17" s="221">
        <v>100</v>
      </c>
      <c r="AR17" s="221">
        <v>100</v>
      </c>
      <c r="AS17" s="221">
        <v>100</v>
      </c>
    </row>
    <row r="18" spans="1:45" s="218" customFormat="1" ht="6" customHeight="1">
      <c r="A18" s="194"/>
      <c r="B18" s="221"/>
      <c r="C18" s="221"/>
      <c r="D18" s="222"/>
      <c r="E18" s="221"/>
      <c r="F18" s="220"/>
      <c r="G18" s="112"/>
      <c r="H18" s="112"/>
      <c r="I18" s="112"/>
      <c r="J18" s="220"/>
      <c r="K18" s="112"/>
      <c r="L18" s="112"/>
      <c r="M18" s="112"/>
      <c r="N18" s="219"/>
      <c r="O18" s="219"/>
      <c r="P18" s="219"/>
      <c r="Q18" s="112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</row>
    <row r="19" spans="1:45" s="211" customFormat="1" ht="26.25" customHeight="1">
      <c r="A19" s="217" t="s">
        <v>161</v>
      </c>
      <c r="B19" s="212">
        <f t="shared" ref="B19:B26" si="0">B8*100/$B$6</f>
        <v>3.9534569088980964</v>
      </c>
      <c r="C19" s="212">
        <f>C8*100/$C$6</f>
        <v>3.3191450703133976</v>
      </c>
      <c r="D19" s="213" t="s">
        <v>125</v>
      </c>
      <c r="E19" s="212">
        <f t="shared" ref="E19:E26" si="1">E8*100/$E$6</f>
        <v>0.98391150006464212</v>
      </c>
      <c r="F19" s="212">
        <f t="shared" ref="F19:AK19" si="2">SUM(F8*100/F6)</f>
        <v>2.7411516174172426</v>
      </c>
      <c r="G19" s="212">
        <f t="shared" si="2"/>
        <v>2.3635178615296226</v>
      </c>
      <c r="H19" s="212">
        <f t="shared" si="2"/>
        <v>0.39708038503219228</v>
      </c>
      <c r="I19" s="212">
        <f t="shared" si="2"/>
        <v>0.42801134765633564</v>
      </c>
      <c r="J19" s="212">
        <f t="shared" si="2"/>
        <v>1.4929600315771336</v>
      </c>
      <c r="K19" s="212">
        <f t="shared" si="2"/>
        <v>1.9690642710210335</v>
      </c>
      <c r="L19" s="212">
        <f t="shared" si="2"/>
        <v>0.28073665721016089</v>
      </c>
      <c r="M19" s="212">
        <f t="shared" si="2"/>
        <v>0.1210951905965284</v>
      </c>
      <c r="N19" s="212">
        <f t="shared" si="2"/>
        <v>3.6827657127501281</v>
      </c>
      <c r="O19" s="212">
        <f t="shared" si="2"/>
        <v>3.41535157188863</v>
      </c>
      <c r="P19" s="212">
        <f t="shared" si="2"/>
        <v>0.57871224179256386</v>
      </c>
      <c r="Q19" s="212">
        <f t="shared" si="2"/>
        <v>0.53944944424366892</v>
      </c>
      <c r="R19" s="212">
        <f t="shared" si="2"/>
        <v>2.2548958583424477</v>
      </c>
      <c r="S19" s="212">
        <f t="shared" si="2"/>
        <v>0.50910980211702084</v>
      </c>
      <c r="T19" s="212">
        <f t="shared" si="2"/>
        <v>0.90587792437768955</v>
      </c>
      <c r="U19" s="212">
        <f t="shared" si="2"/>
        <v>0.37291514874245274</v>
      </c>
      <c r="V19" s="212">
        <f t="shared" si="2"/>
        <v>3.0471264470056529</v>
      </c>
      <c r="W19" s="212">
        <f t="shared" si="2"/>
        <v>1.7132682233811183</v>
      </c>
      <c r="X19" s="212">
        <f t="shared" si="2"/>
        <v>0.38996407323249049</v>
      </c>
      <c r="Y19" s="212">
        <f t="shared" si="2"/>
        <v>0.14787183289835268</v>
      </c>
      <c r="Z19" s="212">
        <f t="shared" si="2"/>
        <v>2.2438528967972178</v>
      </c>
      <c r="AA19" s="212">
        <f t="shared" si="2"/>
        <v>1.6216009454980336</v>
      </c>
      <c r="AB19" s="212">
        <f t="shared" si="2"/>
        <v>0.11563669217527552</v>
      </c>
      <c r="AC19" s="212">
        <f t="shared" si="2"/>
        <v>0.15351090619335531</v>
      </c>
      <c r="AD19" s="212">
        <f t="shared" si="2"/>
        <v>2.9125105768852166</v>
      </c>
      <c r="AE19" s="212">
        <f t="shared" si="2"/>
        <v>2.5001384219893219</v>
      </c>
      <c r="AF19" s="212">
        <f t="shared" si="2"/>
        <v>0.10526014239868252</v>
      </c>
      <c r="AG19" s="212">
        <f t="shared" si="2"/>
        <v>0.44757400198802744</v>
      </c>
      <c r="AH19" s="212">
        <f t="shared" si="2"/>
        <v>1.6070587968856918</v>
      </c>
      <c r="AI19" s="212">
        <f t="shared" si="2"/>
        <v>0.99181748578299134</v>
      </c>
      <c r="AJ19" s="212">
        <f t="shared" si="2"/>
        <v>0.31466113150296465</v>
      </c>
      <c r="AK19" s="212">
        <f t="shared" si="2"/>
        <v>0.63946809428690643</v>
      </c>
      <c r="AL19" s="212">
        <f t="shared" ref="AL19:AO19" si="3">SUM(AL8*100/AL6)</f>
        <v>2.5602309164962915</v>
      </c>
      <c r="AM19" s="212">
        <f t="shared" si="3"/>
        <v>1.622583991905012</v>
      </c>
      <c r="AN19" s="212">
        <f t="shared" si="3"/>
        <v>0.76506599424225141</v>
      </c>
      <c r="AO19" s="212">
        <f t="shared" si="3"/>
        <v>0.76606905549850379</v>
      </c>
      <c r="AP19" s="212">
        <f t="shared" ref="AP19:AS19" si="4">SUM(AP8*100/AP6)</f>
        <v>4.6098337183023848</v>
      </c>
      <c r="AQ19" s="212">
        <f t="shared" si="4"/>
        <v>4.1562289998461672</v>
      </c>
      <c r="AR19" s="212">
        <f t="shared" si="4"/>
        <v>0.97889796611668134</v>
      </c>
      <c r="AS19" s="212">
        <f t="shared" si="4"/>
        <v>2.0332337246689872E-2</v>
      </c>
    </row>
    <row r="20" spans="1:45" s="211" customFormat="1" ht="26.25" customHeight="1">
      <c r="A20" s="215" t="s">
        <v>96</v>
      </c>
      <c r="B20" s="212">
        <f t="shared" si="0"/>
        <v>1.2329313756573266</v>
      </c>
      <c r="C20" s="212">
        <v>0.6</v>
      </c>
      <c r="D20" s="213" t="s">
        <v>125</v>
      </c>
      <c r="E20" s="212">
        <f t="shared" si="1"/>
        <v>0.38656652385359869</v>
      </c>
      <c r="F20" s="212">
        <v>0.6</v>
      </c>
      <c r="G20" s="212">
        <v>0.4</v>
      </c>
      <c r="H20" s="212">
        <f t="shared" ref="H20:AK20" si="5">SUM(H9*100/H6)</f>
        <v>0.18799005545993497</v>
      </c>
      <c r="I20" s="212">
        <f t="shared" si="5"/>
        <v>0.2820627979652392</v>
      </c>
      <c r="J20" s="212">
        <f t="shared" si="5"/>
        <v>1.8477223679470924</v>
      </c>
      <c r="K20" s="212">
        <f t="shared" si="5"/>
        <v>0.56632373513450651</v>
      </c>
      <c r="L20" s="212">
        <f t="shared" si="5"/>
        <v>6.1524435079292478E-2</v>
      </c>
      <c r="M20" s="212">
        <f t="shared" si="5"/>
        <v>0.94784677034114562</v>
      </c>
      <c r="N20" s="212">
        <f t="shared" si="5"/>
        <v>1.0178391239479547</v>
      </c>
      <c r="O20" s="212">
        <f t="shared" si="5"/>
        <v>1.1759121108561148</v>
      </c>
      <c r="P20" s="212">
        <f t="shared" si="5"/>
        <v>0.56733429774954269</v>
      </c>
      <c r="Q20" s="212">
        <f t="shared" si="5"/>
        <v>0.56280795776075598</v>
      </c>
      <c r="R20" s="212">
        <f t="shared" si="5"/>
        <v>0.51411329165888608</v>
      </c>
      <c r="S20" s="212">
        <f t="shared" si="5"/>
        <v>0.17805245820454707</v>
      </c>
      <c r="T20" s="212">
        <f t="shared" si="5"/>
        <v>0.35319916243903471</v>
      </c>
      <c r="U20" s="212">
        <f t="shared" si="5"/>
        <v>0.90948370808411139</v>
      </c>
      <c r="V20" s="212">
        <f t="shared" si="5"/>
        <v>2.1748344760073106</v>
      </c>
      <c r="W20" s="212">
        <f t="shared" si="5"/>
        <v>0.42926016112813076</v>
      </c>
      <c r="X20" s="212">
        <f t="shared" si="5"/>
        <v>0.38267039414046389</v>
      </c>
      <c r="Y20" s="212">
        <f t="shared" si="5"/>
        <v>1.7773402786322685E-2</v>
      </c>
      <c r="Z20" s="212">
        <f t="shared" si="5"/>
        <v>0.43844413805342836</v>
      </c>
      <c r="AA20" s="212">
        <f t="shared" si="5"/>
        <v>0.46931424851173054</v>
      </c>
      <c r="AB20" s="212">
        <f t="shared" si="5"/>
        <v>9.5601003135172613E-2</v>
      </c>
      <c r="AC20" s="212">
        <f t="shared" si="5"/>
        <v>0.19236383985596281</v>
      </c>
      <c r="AD20" s="212">
        <f t="shared" si="5"/>
        <v>0.80717805889948968</v>
      </c>
      <c r="AE20" s="212">
        <f t="shared" si="5"/>
        <v>0.36622503460549732</v>
      </c>
      <c r="AF20" s="212">
        <f t="shared" si="5"/>
        <v>0.2319689669888621</v>
      </c>
      <c r="AG20" s="212">
        <f t="shared" si="5"/>
        <v>2.1043400674766208E-2</v>
      </c>
      <c r="AH20" s="212">
        <f t="shared" si="5"/>
        <v>0.69518699276423168</v>
      </c>
      <c r="AI20" s="212">
        <f t="shared" si="5"/>
        <v>0.37739042544443369</v>
      </c>
      <c r="AJ20" s="212">
        <f t="shared" si="5"/>
        <v>1.0927742571804671</v>
      </c>
      <c r="AK20" s="212">
        <f t="shared" si="5"/>
        <v>2.4770382897058858</v>
      </c>
      <c r="AL20" s="212">
        <f t="shared" ref="AL20:AO20" si="6">SUM(AL9*100/AL6)</f>
        <v>0.71426701493306177</v>
      </c>
      <c r="AM20" s="212">
        <f t="shared" si="6"/>
        <v>3.3131385583577762E-2</v>
      </c>
      <c r="AN20" s="212">
        <f t="shared" si="6"/>
        <v>0.4277086496774149</v>
      </c>
      <c r="AO20" s="212">
        <f t="shared" si="6"/>
        <v>0.4652474270407444</v>
      </c>
      <c r="AP20" s="212">
        <f t="shared" ref="AP20:AS20" si="7">SUM(AP9*100/AP6)</f>
        <v>1.7774172464947633</v>
      </c>
      <c r="AQ20" s="212">
        <f t="shared" si="7"/>
        <v>0.70034247961720009</v>
      </c>
      <c r="AR20" s="212">
        <f t="shared" si="7"/>
        <v>0.61389568194386601</v>
      </c>
      <c r="AS20" s="212">
        <f t="shared" si="7"/>
        <v>0.69397086836147337</v>
      </c>
    </row>
    <row r="21" spans="1:45" s="211" customFormat="1" ht="26.25" customHeight="1">
      <c r="A21" s="216" t="s">
        <v>95</v>
      </c>
      <c r="B21" s="212">
        <f t="shared" si="0"/>
        <v>5.148055625403142</v>
      </c>
      <c r="C21" s="212">
        <f t="shared" ref="C21:C26" si="8">C10*100/$C$6</f>
        <v>4.4266846224345562</v>
      </c>
      <c r="D21" s="213" t="s">
        <v>125</v>
      </c>
      <c r="E21" s="212">
        <f t="shared" si="1"/>
        <v>4.7509733307690869</v>
      </c>
      <c r="F21" s="212">
        <f t="shared" ref="F21:AK21" si="9">SUM(F10*100/F6)</f>
        <v>5.2996474979695298</v>
      </c>
      <c r="G21" s="212">
        <f t="shared" si="9"/>
        <v>3.6207719546789359</v>
      </c>
      <c r="H21" s="212">
        <f t="shared" si="9"/>
        <v>3.5708548479632816</v>
      </c>
      <c r="I21" s="212">
        <f t="shared" si="9"/>
        <v>2.7029921958241174</v>
      </c>
      <c r="J21" s="212">
        <f t="shared" si="9"/>
        <v>5.3414679601104593</v>
      </c>
      <c r="K21" s="212">
        <f t="shared" si="9"/>
        <v>2.897192097745847</v>
      </c>
      <c r="L21" s="212">
        <f t="shared" si="9"/>
        <v>2.49173213553158</v>
      </c>
      <c r="M21" s="212">
        <f t="shared" si="9"/>
        <v>4.585776481915544</v>
      </c>
      <c r="N21" s="212">
        <f t="shared" si="9"/>
        <v>4.636150117634851</v>
      </c>
      <c r="O21" s="212">
        <f t="shared" si="9"/>
        <v>2.2564170167039173</v>
      </c>
      <c r="P21" s="212">
        <f t="shared" si="9"/>
        <v>1.8379130600042761</v>
      </c>
      <c r="Q21" s="212">
        <f t="shared" si="9"/>
        <v>3.4439011613777368</v>
      </c>
      <c r="R21" s="212">
        <f t="shared" si="9"/>
        <v>6.4917732981205001</v>
      </c>
      <c r="S21" s="212">
        <f t="shared" si="9"/>
        <v>2.6642745042190845</v>
      </c>
      <c r="T21" s="212">
        <f t="shared" si="9"/>
        <v>2.3309863724618465</v>
      </c>
      <c r="U21" s="212">
        <f t="shared" si="9"/>
        <v>2.2321252068613</v>
      </c>
      <c r="V21" s="212">
        <f t="shared" si="9"/>
        <v>3.6220375484703284</v>
      </c>
      <c r="W21" s="212">
        <f t="shared" si="9"/>
        <v>2.3431836252660134</v>
      </c>
      <c r="X21" s="212">
        <f t="shared" si="9"/>
        <v>3.0534670959190162</v>
      </c>
      <c r="Y21" s="212">
        <f t="shared" si="9"/>
        <v>1.7741022092987278</v>
      </c>
      <c r="Z21" s="212">
        <f t="shared" si="9"/>
        <v>2.8044646158083446</v>
      </c>
      <c r="AA21" s="212">
        <f t="shared" si="9"/>
        <v>2.1657775300581257</v>
      </c>
      <c r="AB21" s="212">
        <f t="shared" si="9"/>
        <v>1.4413689703456793</v>
      </c>
      <c r="AC21" s="212">
        <f t="shared" si="9"/>
        <v>1.9574731450955585</v>
      </c>
      <c r="AD21" s="212">
        <f t="shared" si="9"/>
        <v>3.4496114375805069</v>
      </c>
      <c r="AE21" s="212">
        <f t="shared" si="9"/>
        <v>4.3456594819062682</v>
      </c>
      <c r="AF21" s="212">
        <f t="shared" si="9"/>
        <v>3.0537193998188616</v>
      </c>
      <c r="AG21" s="212">
        <f t="shared" si="9"/>
        <v>2.3875459798304743</v>
      </c>
      <c r="AH21" s="212">
        <f t="shared" si="9"/>
        <v>3.309235674456751</v>
      </c>
      <c r="AI21" s="212">
        <f t="shared" si="9"/>
        <v>4.290291238107252</v>
      </c>
      <c r="AJ21" s="212">
        <f t="shared" si="9"/>
        <v>4.0260468637363429</v>
      </c>
      <c r="AK21" s="212">
        <f t="shared" si="9"/>
        <v>3.8516136336466147</v>
      </c>
      <c r="AL21" s="212">
        <f t="shared" ref="AL21:AO21" si="10">SUM(AL10*100/AL6)</f>
        <v>3.8106626604208418</v>
      </c>
      <c r="AM21" s="212">
        <f t="shared" si="10"/>
        <v>3.9865254313270913</v>
      </c>
      <c r="AN21" s="212">
        <f t="shared" si="10"/>
        <v>7.3526380519846368</v>
      </c>
      <c r="AO21" s="212">
        <f t="shared" si="10"/>
        <v>4.4763693181960376</v>
      </c>
      <c r="AP21" s="212">
        <f t="shared" ref="AP21:AS21" si="11">SUM(AP10*100/AP6)</f>
        <v>3.9237458527524547</v>
      </c>
      <c r="AQ21" s="212">
        <f t="shared" si="11"/>
        <v>6.2904518625871377</v>
      </c>
      <c r="AR21" s="212">
        <f t="shared" si="11"/>
        <v>5.4509127771740946</v>
      </c>
      <c r="AS21" s="212">
        <f t="shared" si="11"/>
        <v>6.0097639742150344</v>
      </c>
    </row>
    <row r="22" spans="1:45" s="211" customFormat="1" ht="26.25" customHeight="1">
      <c r="A22" s="215" t="s">
        <v>94</v>
      </c>
      <c r="B22" s="212">
        <f t="shared" si="0"/>
        <v>11.059142988334846</v>
      </c>
      <c r="C22" s="212">
        <f t="shared" si="8"/>
        <v>8.2126262180931082</v>
      </c>
      <c r="D22" s="213" t="s">
        <v>125</v>
      </c>
      <c r="E22" s="212">
        <f t="shared" si="1"/>
        <v>7.9286659338411658</v>
      </c>
      <c r="F22" s="212">
        <f t="shared" ref="F22:AK22" si="12">SUM(F11*100/F6)</f>
        <v>12.935183524701799</v>
      </c>
      <c r="G22" s="212">
        <f t="shared" si="12"/>
        <v>7.1942096408787002</v>
      </c>
      <c r="H22" s="212">
        <f t="shared" si="12"/>
        <v>7.877988143048384</v>
      </c>
      <c r="I22" s="212">
        <f t="shared" si="12"/>
        <v>7.4822747678760351</v>
      </c>
      <c r="J22" s="212">
        <f t="shared" si="12"/>
        <v>10.902145797724154</v>
      </c>
      <c r="K22" s="212">
        <f t="shared" si="12"/>
        <v>8.2451983053930835</v>
      </c>
      <c r="L22" s="212">
        <f t="shared" si="12"/>
        <v>8.6249387314645052</v>
      </c>
      <c r="M22" s="212">
        <f t="shared" si="12"/>
        <v>8.7721925345464715</v>
      </c>
      <c r="N22" s="212">
        <f t="shared" si="12"/>
        <v>9.1849637583553339</v>
      </c>
      <c r="O22" s="212">
        <f t="shared" si="12"/>
        <v>7.0450863957847725</v>
      </c>
      <c r="P22" s="212">
        <f t="shared" si="12"/>
        <v>7.321081829923493</v>
      </c>
      <c r="Q22" s="212">
        <f t="shared" si="12"/>
        <v>6.7667913713273302</v>
      </c>
      <c r="R22" s="212">
        <f t="shared" si="12"/>
        <v>9.4930893332977639</v>
      </c>
      <c r="S22" s="212">
        <f t="shared" si="12"/>
        <v>6.0738932014447435</v>
      </c>
      <c r="T22" s="212">
        <f t="shared" si="12"/>
        <v>5.6860581665432193</v>
      </c>
      <c r="U22" s="212">
        <f t="shared" si="12"/>
        <v>5.167931838848693</v>
      </c>
      <c r="V22" s="212">
        <f t="shared" si="12"/>
        <v>12.647369040467678</v>
      </c>
      <c r="W22" s="212">
        <f t="shared" si="12"/>
        <v>7.4689356247515262</v>
      </c>
      <c r="X22" s="212">
        <f t="shared" si="12"/>
        <v>6.9734979247964226</v>
      </c>
      <c r="Y22" s="212">
        <f t="shared" si="12"/>
        <v>6.0772085251889409</v>
      </c>
      <c r="Z22" s="212">
        <f t="shared" si="12"/>
        <v>6.3770852361806325</v>
      </c>
      <c r="AA22" s="212">
        <f t="shared" si="12"/>
        <v>5.2982081438356055</v>
      </c>
      <c r="AB22" s="212">
        <f t="shared" si="12"/>
        <v>5.4810741530606579</v>
      </c>
      <c r="AC22" s="212">
        <f t="shared" si="12"/>
        <v>6.7752369192588899</v>
      </c>
      <c r="AD22" s="212">
        <f t="shared" si="12"/>
        <v>10.838444657477668</v>
      </c>
      <c r="AE22" s="212">
        <f t="shared" si="12"/>
        <v>8.4534704370179945</v>
      </c>
      <c r="AF22" s="212">
        <f t="shared" si="12"/>
        <v>5.2314217317754146</v>
      </c>
      <c r="AG22" s="212">
        <f t="shared" si="12"/>
        <v>3.7086889349207963</v>
      </c>
      <c r="AH22" s="212">
        <f t="shared" si="12"/>
        <v>8.5201050181258182</v>
      </c>
      <c r="AI22" s="212">
        <f t="shared" si="12"/>
        <v>7.7762227266158845</v>
      </c>
      <c r="AJ22" s="212">
        <f t="shared" si="12"/>
        <v>9.0989382302503987</v>
      </c>
      <c r="AK22" s="212">
        <f t="shared" si="12"/>
        <v>7.0119018495250902</v>
      </c>
      <c r="AL22" s="212">
        <f t="shared" ref="AL22:AO22" si="13">SUM(AL11*100/AL6)</f>
        <v>9.0526461574579589</v>
      </c>
      <c r="AM22" s="212">
        <f t="shared" si="13"/>
        <v>10.438435822883712</v>
      </c>
      <c r="AN22" s="212">
        <f t="shared" si="13"/>
        <v>6.1792734793153912</v>
      </c>
      <c r="AO22" s="212">
        <f t="shared" si="13"/>
        <v>7.551490468559301</v>
      </c>
      <c r="AP22" s="212">
        <f t="shared" ref="AP22:AS22" si="14">SUM(AP11*100/AP6)</f>
        <v>6.7695189994247729</v>
      </c>
      <c r="AQ22" s="212">
        <f t="shared" si="14"/>
        <v>13.197933787274009</v>
      </c>
      <c r="AR22" s="212">
        <f t="shared" si="14"/>
        <v>12.808198512844497</v>
      </c>
      <c r="AS22" s="212">
        <f t="shared" si="14"/>
        <v>9.3022669071917843</v>
      </c>
    </row>
    <row r="23" spans="1:45" s="211" customFormat="1" ht="26.25" customHeight="1">
      <c r="A23" s="215" t="s">
        <v>93</v>
      </c>
      <c r="B23" s="212">
        <f t="shared" si="0"/>
        <v>11.695150816123496</v>
      </c>
      <c r="C23" s="212">
        <f t="shared" si="8"/>
        <v>6.0735652085621226</v>
      </c>
      <c r="D23" s="213" t="s">
        <v>125</v>
      </c>
      <c r="E23" s="212">
        <f t="shared" si="1"/>
        <v>7.4129437394554492</v>
      </c>
      <c r="F23" s="212">
        <f t="shared" ref="F23:AH23" si="15">SUM(F12*100/F6)</f>
        <v>10.499727539679848</v>
      </c>
      <c r="G23" s="212">
        <f t="shared" si="15"/>
        <v>4.9607777998952125</v>
      </c>
      <c r="H23" s="212">
        <f t="shared" si="15"/>
        <v>7.1072862880091794</v>
      </c>
      <c r="I23" s="212">
        <f t="shared" si="15"/>
        <v>5.5466712768869488</v>
      </c>
      <c r="J23" s="212">
        <f t="shared" si="15"/>
        <v>10.333937889957939</v>
      </c>
      <c r="K23" s="212">
        <f t="shared" si="15"/>
        <v>7.8442028882042685</v>
      </c>
      <c r="L23" s="212">
        <f t="shared" si="15"/>
        <v>5.5330398922468458</v>
      </c>
      <c r="M23" s="212">
        <f t="shared" si="15"/>
        <v>6.4010905373730571</v>
      </c>
      <c r="N23" s="212">
        <f t="shared" si="15"/>
        <v>7.5513126745648638</v>
      </c>
      <c r="O23" s="212">
        <f t="shared" si="15"/>
        <v>4.3155614943711083</v>
      </c>
      <c r="P23" s="212">
        <f t="shared" si="15"/>
        <v>6.1345873244702069</v>
      </c>
      <c r="Q23" s="212">
        <f t="shared" si="15"/>
        <v>7.6852657518859955</v>
      </c>
      <c r="R23" s="212">
        <f t="shared" si="15"/>
        <v>10.16807606920448</v>
      </c>
      <c r="S23" s="212">
        <f t="shared" si="15"/>
        <v>6.3103422858128404</v>
      </c>
      <c r="T23" s="212">
        <f t="shared" si="15"/>
        <v>8.3482532639680453</v>
      </c>
      <c r="U23" s="212">
        <f t="shared" si="15"/>
        <v>8.8895996068929293</v>
      </c>
      <c r="V23" s="212">
        <f t="shared" si="15"/>
        <v>9.1648840870425516</v>
      </c>
      <c r="W23" s="212">
        <f t="shared" si="15"/>
        <v>8.4102489710250001</v>
      </c>
      <c r="X23" s="212">
        <f t="shared" si="15"/>
        <v>7.9285717161152247</v>
      </c>
      <c r="Y23" s="212">
        <f t="shared" si="15"/>
        <v>6.197808618589252</v>
      </c>
      <c r="Z23" s="212">
        <f t="shared" si="15"/>
        <v>8.1785883817224487</v>
      </c>
      <c r="AA23" s="212">
        <f t="shared" si="15"/>
        <v>9.0990915037883937</v>
      </c>
      <c r="AB23" s="212">
        <f t="shared" si="15"/>
        <v>10.647805604289889</v>
      </c>
      <c r="AC23" s="212">
        <f t="shared" si="15"/>
        <v>7.1455943358353302</v>
      </c>
      <c r="AD23" s="212">
        <f t="shared" si="15"/>
        <v>7.7832214641060897</v>
      </c>
      <c r="AE23" s="212">
        <f t="shared" si="15"/>
        <v>5.3736207237492586</v>
      </c>
      <c r="AF23" s="212">
        <f t="shared" si="15"/>
        <v>8.5182119144491395</v>
      </c>
      <c r="AG23" s="212">
        <f t="shared" si="15"/>
        <v>4.8341665244642922</v>
      </c>
      <c r="AH23" s="212">
        <f t="shared" si="15"/>
        <v>7.1878857094789694</v>
      </c>
      <c r="AI23" s="212">
        <f>SUM(AI12*100/AI6)-0.02</f>
        <v>10.345582504157523</v>
      </c>
      <c r="AJ23" s="212">
        <f>SUM(AJ12*100/AJ6)</f>
        <v>9.3423582351588035</v>
      </c>
      <c r="AK23" s="212">
        <f>SUM(AK12*100/AK6)</f>
        <v>8.5675423824758674</v>
      </c>
      <c r="AL23" s="212">
        <f t="shared" ref="AL23:AO23" si="16">SUM(AL12*100/AL6)</f>
        <v>6.0593623617258272</v>
      </c>
      <c r="AM23" s="212">
        <f t="shared" si="16"/>
        <v>6.2685776986495547</v>
      </c>
      <c r="AN23" s="212">
        <f t="shared" si="16"/>
        <v>7.6993568910906056</v>
      </c>
      <c r="AO23" s="212">
        <f t="shared" si="16"/>
        <v>11.736798593829903</v>
      </c>
      <c r="AP23" s="212">
        <f t="shared" ref="AP23:AS23" si="17">SUM(AP12*100/AP6)</f>
        <v>8.8869081434756207</v>
      </c>
      <c r="AQ23" s="212">
        <f t="shared" si="17"/>
        <v>10.907773396701508</v>
      </c>
      <c r="AR23" s="212">
        <f t="shared" si="17"/>
        <v>12.493688469852408</v>
      </c>
      <c r="AS23" s="212">
        <f t="shared" si="17"/>
        <v>7.6392449727554101</v>
      </c>
    </row>
    <row r="24" spans="1:45" s="211" customFormat="1" ht="26.25" customHeight="1">
      <c r="A24" s="215" t="s">
        <v>92</v>
      </c>
      <c r="B24" s="212">
        <f t="shared" si="0"/>
        <v>10.401201499961736</v>
      </c>
      <c r="C24" s="212">
        <f t="shared" si="8"/>
        <v>9.9430732686177539</v>
      </c>
      <c r="D24" s="213" t="s">
        <v>125</v>
      </c>
      <c r="E24" s="212">
        <f t="shared" si="1"/>
        <v>9.6157297198904228</v>
      </c>
      <c r="F24" s="212">
        <f t="shared" ref="F24:AK24" si="18">SUM(F13*100/F6)</f>
        <v>7.6729949932386914</v>
      </c>
      <c r="G24" s="212">
        <f t="shared" si="18"/>
        <v>11.63644086245567</v>
      </c>
      <c r="H24" s="212">
        <f t="shared" si="18"/>
        <v>11.726206412953401</v>
      </c>
      <c r="I24" s="212">
        <f t="shared" si="18"/>
        <v>12.383389927545627</v>
      </c>
      <c r="J24" s="212">
        <f t="shared" si="18"/>
        <v>9.7047307989318092</v>
      </c>
      <c r="K24" s="212">
        <f t="shared" si="18"/>
        <v>12.250045085136774</v>
      </c>
      <c r="L24" s="212">
        <f t="shared" si="18"/>
        <v>12.948654267911339</v>
      </c>
      <c r="M24" s="212">
        <f t="shared" si="18"/>
        <v>13.50678553837548</v>
      </c>
      <c r="N24" s="212">
        <f t="shared" si="18"/>
        <v>10.688907203164069</v>
      </c>
      <c r="O24" s="212">
        <f t="shared" si="18"/>
        <v>11.333350643782254</v>
      </c>
      <c r="P24" s="212">
        <f t="shared" si="18"/>
        <v>14.72030887992268</v>
      </c>
      <c r="Q24" s="212">
        <f t="shared" si="18"/>
        <v>14.74879209411907</v>
      </c>
      <c r="R24" s="212">
        <f t="shared" si="18"/>
        <v>13.776872756589809</v>
      </c>
      <c r="S24" s="212">
        <f t="shared" si="18"/>
        <v>14.387611900030128</v>
      </c>
      <c r="T24" s="212">
        <f t="shared" si="18"/>
        <v>19.217578526606815</v>
      </c>
      <c r="U24" s="212">
        <f t="shared" si="18"/>
        <v>14.628270950178198</v>
      </c>
      <c r="V24" s="212">
        <f t="shared" si="18"/>
        <v>11.654103256253149</v>
      </c>
      <c r="W24" s="212">
        <f t="shared" si="18"/>
        <v>13.577500526180398</v>
      </c>
      <c r="X24" s="212">
        <f t="shared" si="18"/>
        <v>12.949491363778924</v>
      </c>
      <c r="Y24" s="212">
        <f t="shared" si="18"/>
        <v>17.205589339412271</v>
      </c>
      <c r="Z24" s="212">
        <f t="shared" si="18"/>
        <v>16.687669752595809</v>
      </c>
      <c r="AA24" s="212">
        <f t="shared" si="18"/>
        <v>13.426977606872034</v>
      </c>
      <c r="AB24" s="212">
        <f t="shared" si="18"/>
        <v>14.141819660789031</v>
      </c>
      <c r="AC24" s="212">
        <f t="shared" si="18"/>
        <v>13.198440408267539</v>
      </c>
      <c r="AD24" s="212">
        <f t="shared" si="18"/>
        <v>10.82671265184309</v>
      </c>
      <c r="AE24" s="212">
        <f t="shared" si="18"/>
        <v>13.3458572276053</v>
      </c>
      <c r="AF24" s="212">
        <f t="shared" si="18"/>
        <v>14.725622140328738</v>
      </c>
      <c r="AG24" s="212">
        <f t="shared" si="18"/>
        <v>13.342357763828767</v>
      </c>
      <c r="AH24" s="212">
        <f t="shared" si="18"/>
        <v>14.651662382578509</v>
      </c>
      <c r="AI24" s="212">
        <f t="shared" si="18"/>
        <v>14.376124207516034</v>
      </c>
      <c r="AJ24" s="212">
        <f t="shared" si="18"/>
        <v>14.403093988279835</v>
      </c>
      <c r="AK24" s="212">
        <f t="shared" si="18"/>
        <v>13.534207228198349</v>
      </c>
      <c r="AL24" s="212">
        <f t="shared" ref="AL24:AO24" si="19">SUM(AL13*100/AL6)</f>
        <v>13.116570437385096</v>
      </c>
      <c r="AM24" s="212">
        <f t="shared" si="19"/>
        <v>11.429474124644029</v>
      </c>
      <c r="AN24" s="212">
        <f t="shared" si="19"/>
        <v>15.974059212741251</v>
      </c>
      <c r="AO24" s="212">
        <f t="shared" si="19"/>
        <v>15.281254875003858</v>
      </c>
      <c r="AP24" s="212">
        <f t="shared" ref="AP24:AS24" si="20">SUM(AP13*100/AP6)</f>
        <v>13.574032486995051</v>
      </c>
      <c r="AQ24" s="212">
        <f t="shared" si="20"/>
        <v>14.179870618811281</v>
      </c>
      <c r="AR24" s="212">
        <f t="shared" si="20"/>
        <v>14.585199646011384</v>
      </c>
      <c r="AS24" s="212">
        <f t="shared" si="20"/>
        <v>17.645797328152792</v>
      </c>
    </row>
    <row r="25" spans="1:45" s="211" customFormat="1" ht="26.25" customHeight="1">
      <c r="A25" s="215" t="s">
        <v>91</v>
      </c>
      <c r="B25" s="212">
        <f t="shared" si="0"/>
        <v>35.83625326613388</v>
      </c>
      <c r="C25" s="212">
        <f t="shared" si="8"/>
        <v>47.074438949053182</v>
      </c>
      <c r="D25" s="213" t="s">
        <v>125</v>
      </c>
      <c r="E25" s="212">
        <f t="shared" si="1"/>
        <v>44.012303235388138</v>
      </c>
      <c r="F25" s="212">
        <f t="shared" ref="F25:AK25" si="21">SUM(F14*100/F6)</f>
        <v>35.929034299534635</v>
      </c>
      <c r="G25" s="212">
        <f t="shared" si="21"/>
        <v>42.849829203845594</v>
      </c>
      <c r="H25" s="212">
        <f t="shared" si="21"/>
        <v>43.898769681902209</v>
      </c>
      <c r="I25" s="212">
        <f t="shared" si="21"/>
        <v>50.283597450097183</v>
      </c>
      <c r="J25" s="212">
        <f t="shared" si="21"/>
        <v>42.562732461589761</v>
      </c>
      <c r="K25" s="212">
        <f t="shared" si="21"/>
        <v>45.488610486640781</v>
      </c>
      <c r="L25" s="212">
        <f t="shared" si="21"/>
        <v>42.847628480787144</v>
      </c>
      <c r="M25" s="212">
        <f t="shared" si="21"/>
        <v>41.593815667997454</v>
      </c>
      <c r="N25" s="212">
        <f t="shared" si="21"/>
        <v>45.615116859931049</v>
      </c>
      <c r="O25" s="212">
        <f t="shared" si="21"/>
        <v>47.287286207633507</v>
      </c>
      <c r="P25" s="212">
        <f t="shared" si="21"/>
        <v>44.577534437035581</v>
      </c>
      <c r="Q25" s="212">
        <f t="shared" si="21"/>
        <v>46.124186701891219</v>
      </c>
      <c r="R25" s="212">
        <f t="shared" si="21"/>
        <v>41.209759408614104</v>
      </c>
      <c r="S25" s="212">
        <f t="shared" si="21"/>
        <v>51.90057401879713</v>
      </c>
      <c r="T25" s="212">
        <f t="shared" si="21"/>
        <v>42.335506296943983</v>
      </c>
      <c r="U25" s="212">
        <f t="shared" si="21"/>
        <v>44.730402539381309</v>
      </c>
      <c r="V25" s="212">
        <f t="shared" si="21"/>
        <v>37.322195223358868</v>
      </c>
      <c r="W25" s="212">
        <f t="shared" si="21"/>
        <v>44.570420476602514</v>
      </c>
      <c r="X25" s="212">
        <f t="shared" si="21"/>
        <v>49.452102339869342</v>
      </c>
      <c r="Y25" s="212">
        <f t="shared" si="21"/>
        <v>49.629744760983712</v>
      </c>
      <c r="Z25" s="212">
        <f t="shared" si="21"/>
        <v>47.504988835023539</v>
      </c>
      <c r="AA25" s="212">
        <f t="shared" si="21"/>
        <v>49.421397669665843</v>
      </c>
      <c r="AB25" s="212">
        <f t="shared" si="21"/>
        <v>49.323439054735701</v>
      </c>
      <c r="AC25" s="212">
        <f t="shared" si="21"/>
        <v>49.934611501076631</v>
      </c>
      <c r="AD25" s="212">
        <f t="shared" si="21"/>
        <v>42.770071171488979</v>
      </c>
      <c r="AE25" s="212">
        <f t="shared" si="21"/>
        <v>47.515285742535099</v>
      </c>
      <c r="AF25" s="212">
        <f t="shared" si="21"/>
        <v>51.160469197268377</v>
      </c>
      <c r="AG25" s="212">
        <f t="shared" si="21"/>
        <v>53.427510841177423</v>
      </c>
      <c r="AH25" s="212">
        <f t="shared" si="21"/>
        <v>46.493491367387115</v>
      </c>
      <c r="AI25" s="212">
        <f t="shared" si="21"/>
        <v>48.036843269205434</v>
      </c>
      <c r="AJ25" s="212">
        <f t="shared" si="21"/>
        <v>44.967922259466953</v>
      </c>
      <c r="AK25" s="212">
        <f t="shared" si="21"/>
        <v>49.87661123870916</v>
      </c>
      <c r="AL25" s="212">
        <f t="shared" ref="AL25:AO25" si="22">SUM(AL14*100/AL6)</f>
        <v>48.939028890741127</v>
      </c>
      <c r="AM25" s="212">
        <f t="shared" si="22"/>
        <v>47.448755224810967</v>
      </c>
      <c r="AN25" s="212">
        <f t="shared" si="22"/>
        <v>46.570944669272997</v>
      </c>
      <c r="AO25" s="212">
        <f t="shared" si="22"/>
        <v>45.984665271285884</v>
      </c>
      <c r="AP25" s="212">
        <f t="shared" ref="AP25:AS25" si="23">SUM(AP14*100/AP6)</f>
        <v>46.904100855361456</v>
      </c>
      <c r="AQ25" s="212">
        <f t="shared" si="23"/>
        <v>34.441223858603685</v>
      </c>
      <c r="AR25" s="212">
        <f t="shared" si="23"/>
        <v>39.224017243371826</v>
      </c>
      <c r="AS25" s="212">
        <f t="shared" si="23"/>
        <v>45.421179913728558</v>
      </c>
    </row>
    <row r="26" spans="1:45" s="211" customFormat="1" ht="26.25" customHeight="1">
      <c r="A26" s="214" t="s">
        <v>90</v>
      </c>
      <c r="B26" s="212">
        <f t="shared" si="0"/>
        <v>20.673739190326778</v>
      </c>
      <c r="C26" s="212">
        <f t="shared" si="8"/>
        <v>20.402441663794278</v>
      </c>
      <c r="D26" s="213" t="s">
        <v>125</v>
      </c>
      <c r="E26" s="212">
        <f t="shared" si="1"/>
        <v>24.908906016737493</v>
      </c>
      <c r="F26" s="212">
        <f t="shared" ref="F26:AK26" si="24">SUM(F15*100/F6)</f>
        <v>24.375124199669447</v>
      </c>
      <c r="G26" s="212">
        <f t="shared" si="24"/>
        <v>27.028133598476249</v>
      </c>
      <c r="H26" s="212">
        <f t="shared" si="24"/>
        <v>25.233824185631416</v>
      </c>
      <c r="I26" s="212">
        <f t="shared" si="24"/>
        <v>20.890937597285983</v>
      </c>
      <c r="J26" s="212">
        <f t="shared" si="24"/>
        <v>17.814304049267275</v>
      </c>
      <c r="K26" s="212">
        <f t="shared" si="24"/>
        <v>20.739363130723707</v>
      </c>
      <c r="L26" s="212">
        <f t="shared" si="24"/>
        <v>27.211745399769136</v>
      </c>
      <c r="M26" s="212">
        <f t="shared" si="24"/>
        <v>24.071397278854317</v>
      </c>
      <c r="N26" s="212">
        <f t="shared" si="24"/>
        <v>17.622944549651752</v>
      </c>
      <c r="O26" s="212">
        <f t="shared" si="24"/>
        <v>23.171034558979695</v>
      </c>
      <c r="P26" s="212">
        <f t="shared" si="24"/>
        <v>24.262527929101655</v>
      </c>
      <c r="Q26" s="212">
        <f t="shared" si="24"/>
        <v>20.128805517394223</v>
      </c>
      <c r="R26" s="212">
        <f t="shared" si="24"/>
        <v>16.09141998417201</v>
      </c>
      <c r="S26" s="212">
        <f t="shared" si="24"/>
        <v>17.976141829374505</v>
      </c>
      <c r="T26" s="212">
        <f t="shared" si="24"/>
        <v>20.822524630037222</v>
      </c>
      <c r="U26" s="212">
        <f t="shared" si="24"/>
        <v>23.069271001011007</v>
      </c>
      <c r="V26" s="212">
        <f t="shared" si="24"/>
        <v>20.367461663859778</v>
      </c>
      <c r="W26" s="212">
        <f t="shared" si="24"/>
        <v>21.487140735717123</v>
      </c>
      <c r="X26" s="212">
        <f t="shared" si="24"/>
        <v>18.870234360218451</v>
      </c>
      <c r="Y26" s="212">
        <f t="shared" si="24"/>
        <v>18.949901310842424</v>
      </c>
      <c r="Z26" s="212">
        <f t="shared" si="24"/>
        <v>15.764929577497794</v>
      </c>
      <c r="AA26" s="212">
        <f t="shared" si="24"/>
        <v>18.497632351770232</v>
      </c>
      <c r="AB26" s="212">
        <f t="shared" si="24"/>
        <v>18.753254861468594</v>
      </c>
      <c r="AC26" s="212">
        <f t="shared" si="24"/>
        <v>20.642768944416733</v>
      </c>
      <c r="AD26" s="212">
        <f t="shared" si="24"/>
        <v>20.612249981718964</v>
      </c>
      <c r="AE26" s="212">
        <f t="shared" si="24"/>
        <v>18.099742930591258</v>
      </c>
      <c r="AF26" s="212">
        <f t="shared" si="24"/>
        <v>16.973326506971922</v>
      </c>
      <c r="AG26" s="212">
        <f t="shared" si="24"/>
        <v>21.831112553115457</v>
      </c>
      <c r="AH26" s="212">
        <f t="shared" si="24"/>
        <v>17.535374058322912</v>
      </c>
      <c r="AI26" s="212">
        <f t="shared" si="24"/>
        <v>13.785728143170447</v>
      </c>
      <c r="AJ26" s="212">
        <f t="shared" si="24"/>
        <v>16.754205034424235</v>
      </c>
      <c r="AK26" s="212">
        <f t="shared" si="24"/>
        <v>14.04161728345213</v>
      </c>
      <c r="AL26" s="212">
        <f t="shared" ref="AL26:AO26" si="25">SUM(AL15*100/AL6)</f>
        <v>15.747231560839792</v>
      </c>
      <c r="AM26" s="212">
        <f t="shared" si="25"/>
        <v>18.772516320196054</v>
      </c>
      <c r="AN26" s="212">
        <f t="shared" si="25"/>
        <v>15.03095305167545</v>
      </c>
      <c r="AO26" s="212">
        <f t="shared" si="25"/>
        <v>13.738104990585768</v>
      </c>
      <c r="AP26" s="212">
        <f t="shared" ref="AP26:AS26" si="26">SUM(AP15*100/AP6)</f>
        <v>13.554442697193496</v>
      </c>
      <c r="AQ26" s="212">
        <f t="shared" si="26"/>
        <v>16.126174996559012</v>
      </c>
      <c r="AR26" s="212">
        <f t="shared" si="26"/>
        <v>13.845189702685241</v>
      </c>
      <c r="AS26" s="212">
        <f t="shared" si="26"/>
        <v>13.267443698348258</v>
      </c>
    </row>
    <row r="27" spans="1:45" ht="9.75" customHeight="1">
      <c r="A27" s="186"/>
      <c r="B27" s="186"/>
      <c r="C27" s="186"/>
      <c r="D27" s="186"/>
      <c r="E27" s="186"/>
      <c r="F27" s="186"/>
      <c r="G27" s="101"/>
      <c r="H27" s="101"/>
      <c r="I27" s="101"/>
      <c r="J27" s="186"/>
      <c r="K27" s="101"/>
      <c r="L27" s="101"/>
      <c r="M27" s="101"/>
      <c r="N27" s="210"/>
      <c r="O27" s="210"/>
      <c r="P27" s="210"/>
      <c r="Q27" s="101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</row>
    <row r="28" spans="1:45" ht="30.75" customHeight="1">
      <c r="A28" s="209" t="s">
        <v>160</v>
      </c>
      <c r="P28" s="208"/>
    </row>
    <row r="29" spans="1:45" ht="30.75" customHeight="1">
      <c r="A29" s="184" t="s">
        <v>22</v>
      </c>
      <c r="P29" s="185"/>
    </row>
    <row r="30" spans="1:45" ht="30.75" customHeight="1">
      <c r="P30" s="185"/>
    </row>
    <row r="31" spans="1:45" ht="30.75" customHeight="1">
      <c r="P31" s="185"/>
    </row>
    <row r="32" spans="1:45" ht="30.75" customHeight="1">
      <c r="P32" s="185"/>
    </row>
    <row r="33" spans="16:16" s="184" customFormat="1" ht="30.75" customHeight="1">
      <c r="P33" s="185"/>
    </row>
    <row r="34" spans="16:16" s="184" customFormat="1" ht="30.75" customHeight="1">
      <c r="P34" s="185"/>
    </row>
    <row r="35" spans="16:16" s="184" customFormat="1" ht="30.75" customHeight="1">
      <c r="P35" s="185"/>
    </row>
    <row r="36" spans="16:16" s="184" customFormat="1" ht="30.75" customHeight="1">
      <c r="P36" s="185"/>
    </row>
    <row r="37" spans="16:16" s="184" customFormat="1" ht="30.75" customHeight="1">
      <c r="P37" s="185"/>
    </row>
    <row r="38" spans="16:16" s="184" customFormat="1" ht="30.75" customHeight="1">
      <c r="P38" s="185"/>
    </row>
    <row r="39" spans="16:16" s="184" customFormat="1" ht="30.75" customHeight="1">
      <c r="P39" s="185"/>
    </row>
    <row r="40" spans="16:16" s="184" customFormat="1" ht="30.75" customHeight="1">
      <c r="P40" s="185"/>
    </row>
    <row r="41" spans="16:16" s="184" customFormat="1" ht="30.75" customHeight="1">
      <c r="P41" s="185"/>
    </row>
  </sheetData>
  <sheetProtection selectLockedCells="1" selectUnlockedCells="1"/>
  <mergeCells count="14">
    <mergeCell ref="AP3:AS3"/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5"/>
  <sheetViews>
    <sheetView tabSelected="1" zoomScale="90" zoomScaleNormal="9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26.25" customHeight="1"/>
  <cols>
    <col min="1" max="1" width="20.42578125" style="1188" customWidth="1"/>
    <col min="2" max="6" width="11.140625" style="1185" customWidth="1"/>
    <col min="7" max="8" width="11.140625" style="1186" customWidth="1"/>
    <col min="9" max="10" width="11.140625" style="1185" customWidth="1"/>
    <col min="11" max="11" width="11.140625" style="1186" customWidth="1"/>
    <col min="12" max="15" width="11.140625" style="1185" customWidth="1"/>
    <col min="16" max="16" width="11.140625" style="1187" customWidth="1"/>
    <col min="17" max="28" width="11.140625" style="1186" customWidth="1"/>
    <col min="29" max="29" width="11.28515625" style="1186" customWidth="1"/>
    <col min="30" max="45" width="11.28515625" style="1185" customWidth="1"/>
    <col min="46" max="16384" width="9.140625" style="1185"/>
  </cols>
  <sheetData>
    <row r="1" spans="1:45" s="1188" customFormat="1" ht="26.25" customHeight="1">
      <c r="A1" s="1188" t="s">
        <v>207</v>
      </c>
      <c r="P1" s="1230"/>
      <c r="Q1" s="1186"/>
      <c r="R1" s="1186"/>
      <c r="S1" s="1186"/>
      <c r="T1" s="1186"/>
      <c r="U1" s="1186"/>
      <c r="V1" s="1186"/>
      <c r="W1" s="1186"/>
      <c r="X1" s="1186"/>
      <c r="Y1" s="1186"/>
      <c r="Z1" s="1186"/>
      <c r="AA1" s="1186"/>
      <c r="AB1" s="1186"/>
      <c r="AC1" s="1186"/>
    </row>
    <row r="2" spans="1:45" ht="10.5" customHeight="1">
      <c r="B2" s="1190"/>
      <c r="F2" s="1190"/>
      <c r="J2" s="1190"/>
      <c r="P2" s="1229"/>
    </row>
    <row r="3" spans="1:45" s="1210" customFormat="1" ht="26.25" customHeight="1">
      <c r="A3" s="1228" t="s">
        <v>6</v>
      </c>
      <c r="B3" s="1227" t="s">
        <v>141</v>
      </c>
      <c r="C3" s="1227"/>
      <c r="D3" s="1227"/>
      <c r="E3" s="1227"/>
      <c r="F3" s="1227" t="s">
        <v>137</v>
      </c>
      <c r="G3" s="1227"/>
      <c r="H3" s="1227"/>
      <c r="I3" s="1224"/>
      <c r="J3" s="1226" t="s">
        <v>140</v>
      </c>
      <c r="K3" s="1226"/>
      <c r="L3" s="1226"/>
      <c r="M3" s="1226"/>
      <c r="N3" s="1226" t="s">
        <v>135</v>
      </c>
      <c r="O3" s="1226"/>
      <c r="P3" s="1226"/>
      <c r="Q3" s="1226"/>
      <c r="R3" s="1226" t="s">
        <v>134</v>
      </c>
      <c r="S3" s="1226"/>
      <c r="T3" s="1226"/>
      <c r="U3" s="1226"/>
      <c r="V3" s="1226" t="s">
        <v>133</v>
      </c>
      <c r="W3" s="1226"/>
      <c r="X3" s="1226"/>
      <c r="Y3" s="1226"/>
      <c r="Z3" s="1226" t="s">
        <v>132</v>
      </c>
      <c r="AA3" s="1226"/>
      <c r="AB3" s="1226"/>
      <c r="AC3" s="1226"/>
      <c r="AD3" s="1226" t="s">
        <v>131</v>
      </c>
      <c r="AE3" s="1226"/>
      <c r="AF3" s="1226"/>
      <c r="AG3" s="1226"/>
      <c r="AH3" s="1226" t="s">
        <v>130</v>
      </c>
      <c r="AI3" s="1226"/>
      <c r="AJ3" s="1226"/>
      <c r="AK3" s="1226"/>
      <c r="AL3" s="1226" t="s">
        <v>169</v>
      </c>
      <c r="AM3" s="1226"/>
      <c r="AN3" s="1226"/>
      <c r="AO3" s="1226"/>
      <c r="AP3" s="1226" t="s">
        <v>205</v>
      </c>
      <c r="AQ3" s="1226"/>
      <c r="AR3" s="1226"/>
      <c r="AS3" s="1226"/>
    </row>
    <row r="4" spans="1:45" s="1210" customFormat="1" ht="24" customHeight="1">
      <c r="A4" s="1225"/>
      <c r="B4" s="1224" t="s">
        <v>129</v>
      </c>
      <c r="C4" s="1224" t="s">
        <v>128</v>
      </c>
      <c r="D4" s="1224" t="s">
        <v>127</v>
      </c>
      <c r="E4" s="1224" t="s">
        <v>126</v>
      </c>
      <c r="F4" s="1224" t="s">
        <v>129</v>
      </c>
      <c r="G4" s="1224" t="s">
        <v>128</v>
      </c>
      <c r="H4" s="1224" t="s">
        <v>127</v>
      </c>
      <c r="I4" s="1224" t="s">
        <v>126</v>
      </c>
      <c r="J4" s="1223" t="s">
        <v>129</v>
      </c>
      <c r="K4" s="1223" t="s">
        <v>128</v>
      </c>
      <c r="L4" s="1223" t="s">
        <v>127</v>
      </c>
      <c r="M4" s="1223" t="s">
        <v>126</v>
      </c>
      <c r="N4" s="1222" t="s">
        <v>129</v>
      </c>
      <c r="O4" s="1222" t="s">
        <v>128</v>
      </c>
      <c r="P4" s="1222" t="s">
        <v>127</v>
      </c>
      <c r="Q4" s="1222" t="s">
        <v>126</v>
      </c>
      <c r="R4" s="1222" t="s">
        <v>129</v>
      </c>
      <c r="S4" s="1222" t="s">
        <v>128</v>
      </c>
      <c r="T4" s="1222" t="s">
        <v>127</v>
      </c>
      <c r="U4" s="1222" t="s">
        <v>126</v>
      </c>
      <c r="V4" s="1222" t="s">
        <v>129</v>
      </c>
      <c r="W4" s="1222" t="s">
        <v>128</v>
      </c>
      <c r="X4" s="1222" t="s">
        <v>127</v>
      </c>
      <c r="Y4" s="1222" t="s">
        <v>126</v>
      </c>
      <c r="Z4" s="1222" t="s">
        <v>129</v>
      </c>
      <c r="AA4" s="1222" t="s">
        <v>128</v>
      </c>
      <c r="AB4" s="1222" t="s">
        <v>127</v>
      </c>
      <c r="AC4" s="1222" t="s">
        <v>126</v>
      </c>
      <c r="AD4" s="1222" t="s">
        <v>129</v>
      </c>
      <c r="AE4" s="1222" t="s">
        <v>128</v>
      </c>
      <c r="AF4" s="1222" t="s">
        <v>127</v>
      </c>
      <c r="AG4" s="1222" t="s">
        <v>126</v>
      </c>
      <c r="AH4" s="1222" t="s">
        <v>129</v>
      </c>
      <c r="AI4" s="1222" t="s">
        <v>128</v>
      </c>
      <c r="AJ4" s="1222" t="s">
        <v>127</v>
      </c>
      <c r="AK4" s="1222" t="s">
        <v>126</v>
      </c>
      <c r="AL4" s="1222" t="s">
        <v>129</v>
      </c>
      <c r="AM4" s="1222" t="s">
        <v>128</v>
      </c>
      <c r="AN4" s="1222" t="s">
        <v>127</v>
      </c>
      <c r="AO4" s="1222" t="s">
        <v>126</v>
      </c>
      <c r="AP4" s="1222" t="s">
        <v>129</v>
      </c>
      <c r="AQ4" s="1222" t="s">
        <v>128</v>
      </c>
      <c r="AR4" s="1222" t="s">
        <v>127</v>
      </c>
      <c r="AS4" s="1222" t="s">
        <v>126</v>
      </c>
    </row>
    <row r="5" spans="1:45" s="1210" customFormat="1" ht="18.75" customHeight="1">
      <c r="A5" s="1221" t="s">
        <v>21</v>
      </c>
      <c r="B5" s="1221"/>
      <c r="C5" s="1221"/>
      <c r="D5" s="1221"/>
      <c r="E5" s="1221"/>
      <c r="F5" s="1221"/>
      <c r="G5" s="1221"/>
      <c r="H5" s="1221"/>
      <c r="I5" s="1221"/>
      <c r="J5" s="1221"/>
      <c r="K5" s="1221"/>
      <c r="L5" s="1221"/>
      <c r="P5" s="1220"/>
      <c r="Z5" s="1204"/>
    </row>
    <row r="6" spans="1:45" s="1186" customFormat="1" ht="21.75" customHeight="1">
      <c r="A6" s="1217" t="s">
        <v>37</v>
      </c>
      <c r="B6" s="1206">
        <v>1463504</v>
      </c>
      <c r="C6" s="1206">
        <v>1496074</v>
      </c>
      <c r="D6" s="1206" t="s">
        <v>206</v>
      </c>
      <c r="E6" s="1206">
        <v>1554713</v>
      </c>
      <c r="F6" s="1206">
        <v>1444247</v>
      </c>
      <c r="G6" s="1206">
        <v>1502083</v>
      </c>
      <c r="H6" s="1219">
        <v>1568700</v>
      </c>
      <c r="I6" s="1218">
        <v>1596453</v>
      </c>
      <c r="J6" s="1206">
        <v>1473724.65</v>
      </c>
      <c r="K6" s="1206">
        <v>1558329.53</v>
      </c>
      <c r="L6" s="1206">
        <v>1603167.91</v>
      </c>
      <c r="M6" s="1206">
        <v>1616084.41</v>
      </c>
      <c r="N6" s="1206">
        <v>1503381</v>
      </c>
      <c r="O6" s="1206">
        <v>1501983</v>
      </c>
      <c r="P6" s="1206">
        <v>1599586</v>
      </c>
      <c r="Q6" s="1206">
        <v>1588286</v>
      </c>
      <c r="R6" s="1206">
        <v>1349508.06</v>
      </c>
      <c r="S6" s="1206">
        <v>1397340.87</v>
      </c>
      <c r="T6" s="1206">
        <v>1405156</v>
      </c>
      <c r="U6" s="1206">
        <v>1416408</v>
      </c>
      <c r="V6" s="1206">
        <v>1362576</v>
      </c>
      <c r="W6" s="1206">
        <v>1368351.78</v>
      </c>
      <c r="X6" s="1206">
        <v>1366251.5</v>
      </c>
      <c r="Y6" s="1206">
        <v>1389717</v>
      </c>
      <c r="Z6" s="1206">
        <v>1280208</v>
      </c>
      <c r="AA6" s="1206">
        <v>1315215.74</v>
      </c>
      <c r="AB6" s="1206">
        <v>1332622.46</v>
      </c>
      <c r="AC6" s="1206">
        <v>1315215.74</v>
      </c>
      <c r="AD6" s="1206">
        <v>1244459</v>
      </c>
      <c r="AE6" s="1206">
        <v>1264250</v>
      </c>
      <c r="AF6" s="1206">
        <v>1361389</v>
      </c>
      <c r="AG6" s="1206">
        <v>1306823</v>
      </c>
      <c r="AH6" s="1206">
        <v>1236358</v>
      </c>
      <c r="AI6" s="1206">
        <v>1252549</v>
      </c>
      <c r="AJ6" s="1206">
        <v>1299811</v>
      </c>
      <c r="AK6" s="1206">
        <v>1263081</v>
      </c>
      <c r="AL6" s="1206">
        <v>1184151</v>
      </c>
      <c r="AM6" s="1206">
        <v>1171095</v>
      </c>
      <c r="AN6" s="1206">
        <v>1164344</v>
      </c>
      <c r="AO6" s="1206">
        <v>1198717</v>
      </c>
      <c r="AP6" s="1206">
        <v>1123034</v>
      </c>
      <c r="AQ6" s="1206">
        <v>1235110.23</v>
      </c>
      <c r="AR6" s="1206">
        <v>1289307</v>
      </c>
      <c r="AS6" s="1206">
        <v>1347607</v>
      </c>
    </row>
    <row r="7" spans="1:45" s="1186" customFormat="1" ht="21" customHeight="1">
      <c r="A7" s="1217"/>
      <c r="B7" s="1206"/>
      <c r="C7" s="1206"/>
      <c r="D7" s="1196"/>
      <c r="E7" s="1206"/>
      <c r="F7" s="1216"/>
      <c r="G7" s="1206"/>
      <c r="H7" s="1215"/>
      <c r="I7" s="1215"/>
      <c r="J7" s="1206"/>
      <c r="K7" s="1206"/>
      <c r="L7" s="1206"/>
      <c r="M7" s="1214"/>
      <c r="N7" s="1206"/>
      <c r="O7" s="1206"/>
      <c r="P7" s="1206"/>
      <c r="Q7" s="1214"/>
      <c r="R7" s="1206"/>
      <c r="S7" s="1206"/>
      <c r="T7" s="1206"/>
      <c r="U7" s="1206"/>
      <c r="V7" s="1206"/>
      <c r="W7" s="1206"/>
      <c r="X7" s="1206"/>
      <c r="Y7" s="1206"/>
      <c r="Z7" s="1206"/>
      <c r="AA7" s="1206"/>
      <c r="AB7" s="1206"/>
      <c r="AC7" s="1206"/>
      <c r="AD7" s="1206"/>
      <c r="AE7" s="1206"/>
      <c r="AF7" s="1206"/>
      <c r="AG7" s="1206"/>
      <c r="AH7" s="1206"/>
      <c r="AI7" s="1206"/>
      <c r="AJ7" s="1206"/>
      <c r="AK7" s="1206"/>
      <c r="AL7" s="1206"/>
      <c r="AM7" s="1206"/>
      <c r="AN7" s="1206"/>
      <c r="AO7" s="1206"/>
      <c r="AP7" s="1206"/>
      <c r="AQ7" s="1206"/>
      <c r="AR7" s="1206"/>
      <c r="AS7" s="1206"/>
    </row>
    <row r="8" spans="1:45" s="1186" customFormat="1" ht="21" customHeight="1">
      <c r="A8" s="1200" t="s">
        <v>36</v>
      </c>
      <c r="B8" s="1196">
        <v>44706</v>
      </c>
      <c r="C8" s="1196">
        <v>28861</v>
      </c>
      <c r="D8" s="1196" t="s">
        <v>206</v>
      </c>
      <c r="E8" s="1196">
        <v>25629</v>
      </c>
      <c r="F8" s="1213">
        <v>22250</v>
      </c>
      <c r="G8" s="1196">
        <v>24912</v>
      </c>
      <c r="H8" s="1212">
        <v>33272.730000000003</v>
      </c>
      <c r="I8" s="1212">
        <v>24978</v>
      </c>
      <c r="J8" s="1196">
        <v>32032.67</v>
      </c>
      <c r="K8" s="1196">
        <v>31257.7</v>
      </c>
      <c r="L8" s="1196">
        <v>27461</v>
      </c>
      <c r="M8" s="1196">
        <v>26709.11</v>
      </c>
      <c r="N8" s="1196">
        <v>21672</v>
      </c>
      <c r="O8" s="1196">
        <v>29505</v>
      </c>
      <c r="P8" s="1196">
        <v>12589</v>
      </c>
      <c r="Q8" s="1196">
        <v>24784</v>
      </c>
      <c r="R8" s="1196">
        <v>13702</v>
      </c>
      <c r="S8" s="1196">
        <v>18722.509999999998</v>
      </c>
      <c r="T8" s="1196">
        <v>14479</v>
      </c>
      <c r="U8" s="1196">
        <v>15792</v>
      </c>
      <c r="V8" s="1196">
        <v>22971</v>
      </c>
      <c r="W8" s="1196">
        <v>16917.419999999998</v>
      </c>
      <c r="X8" s="1196">
        <v>26460.560000000001</v>
      </c>
      <c r="Y8" s="1196">
        <v>20212</v>
      </c>
      <c r="Z8" s="1196">
        <v>20173</v>
      </c>
      <c r="AA8" s="1196">
        <v>24992.99</v>
      </c>
      <c r="AB8" s="1196">
        <v>25526.560000000001</v>
      </c>
      <c r="AC8" s="1196">
        <v>24992.99</v>
      </c>
      <c r="AD8" s="1196">
        <v>15949</v>
      </c>
      <c r="AE8" s="1196">
        <v>18939</v>
      </c>
      <c r="AF8" s="1196">
        <v>19244</v>
      </c>
      <c r="AG8" s="1196">
        <v>12867</v>
      </c>
      <c r="AH8" s="1196">
        <v>11120</v>
      </c>
      <c r="AI8" s="1196">
        <v>12897</v>
      </c>
      <c r="AJ8" s="1196">
        <v>16720</v>
      </c>
      <c r="AK8" s="1196">
        <v>8922</v>
      </c>
      <c r="AL8" s="1196">
        <v>11735</v>
      </c>
      <c r="AM8" s="1196">
        <v>11739</v>
      </c>
      <c r="AN8" s="1196">
        <v>10350</v>
      </c>
      <c r="AO8" s="1196">
        <v>7961</v>
      </c>
      <c r="AP8" s="1196">
        <v>7462</v>
      </c>
      <c r="AQ8" s="1196">
        <v>9185</v>
      </c>
      <c r="AR8" s="1196">
        <v>14006</v>
      </c>
      <c r="AS8" s="1196">
        <v>9863</v>
      </c>
    </row>
    <row r="9" spans="1:45" s="1186" customFormat="1" ht="21" customHeight="1">
      <c r="A9" s="1186" t="s">
        <v>35</v>
      </c>
      <c r="B9" s="1196">
        <v>453805</v>
      </c>
      <c r="C9" s="1196">
        <v>469178</v>
      </c>
      <c r="D9" s="1196" t="s">
        <v>206</v>
      </c>
      <c r="E9" s="1196">
        <v>521526</v>
      </c>
      <c r="F9" s="1213">
        <v>398086</v>
      </c>
      <c r="G9" s="1196">
        <v>417224</v>
      </c>
      <c r="H9" s="1212">
        <v>489010.57</v>
      </c>
      <c r="I9" s="1212">
        <v>509873</v>
      </c>
      <c r="J9" s="1196">
        <v>391658.95</v>
      </c>
      <c r="K9" s="1196">
        <v>454137.73</v>
      </c>
      <c r="L9" s="1196">
        <v>455709</v>
      </c>
      <c r="M9" s="1196">
        <v>432298.27</v>
      </c>
      <c r="N9" s="1196">
        <v>386495</v>
      </c>
      <c r="O9" s="1196">
        <v>376589</v>
      </c>
      <c r="P9" s="1196">
        <v>480175</v>
      </c>
      <c r="Q9" s="1196">
        <v>397883</v>
      </c>
      <c r="R9" s="1196">
        <v>361537</v>
      </c>
      <c r="S9" s="1196">
        <v>377783.69</v>
      </c>
      <c r="T9" s="1196">
        <v>379919</v>
      </c>
      <c r="U9" s="1196">
        <v>386459</v>
      </c>
      <c r="V9" s="1196">
        <v>423842</v>
      </c>
      <c r="W9" s="1196">
        <v>420027.93</v>
      </c>
      <c r="X9" s="1196">
        <v>413031.04</v>
      </c>
      <c r="Y9" s="1196">
        <v>408283</v>
      </c>
      <c r="Z9" s="1196">
        <v>354825</v>
      </c>
      <c r="AA9" s="1196">
        <v>355314.84</v>
      </c>
      <c r="AB9" s="1196">
        <v>363625.45</v>
      </c>
      <c r="AC9" s="1196">
        <v>355314.84</v>
      </c>
      <c r="AD9" s="1196">
        <v>295103</v>
      </c>
      <c r="AE9" s="1196">
        <v>324126</v>
      </c>
      <c r="AF9" s="1196">
        <v>366565</v>
      </c>
      <c r="AG9" s="1196">
        <v>343970</v>
      </c>
      <c r="AH9" s="1196">
        <v>305680</v>
      </c>
      <c r="AI9" s="1196">
        <v>319736</v>
      </c>
      <c r="AJ9" s="1196">
        <v>344400</v>
      </c>
      <c r="AK9" s="1196">
        <v>351279</v>
      </c>
      <c r="AL9" s="1196">
        <v>243023</v>
      </c>
      <c r="AM9" s="1196">
        <v>260043</v>
      </c>
      <c r="AN9" s="1196">
        <v>248051</v>
      </c>
      <c r="AO9" s="1196">
        <v>273701</v>
      </c>
      <c r="AP9" s="1196">
        <v>215597</v>
      </c>
      <c r="AQ9" s="1196">
        <v>301576</v>
      </c>
      <c r="AR9" s="1196">
        <v>317207</v>
      </c>
      <c r="AS9" s="1196">
        <v>316074</v>
      </c>
    </row>
    <row r="10" spans="1:45" s="1186" customFormat="1" ht="21" customHeight="1">
      <c r="A10" s="1199" t="s">
        <v>34</v>
      </c>
      <c r="B10" s="1196">
        <v>305095</v>
      </c>
      <c r="C10" s="1196">
        <v>319050</v>
      </c>
      <c r="D10" s="1196" t="s">
        <v>206</v>
      </c>
      <c r="E10" s="1196">
        <v>346634</v>
      </c>
      <c r="F10" s="1213">
        <v>326078</v>
      </c>
      <c r="G10" s="1196">
        <v>339927</v>
      </c>
      <c r="H10" s="1212">
        <v>361150.71999999997</v>
      </c>
      <c r="I10" s="1212">
        <v>380816</v>
      </c>
      <c r="J10" s="1196">
        <v>309383.31</v>
      </c>
      <c r="K10" s="1196">
        <v>341352.69</v>
      </c>
      <c r="L10" s="1196">
        <v>347092</v>
      </c>
      <c r="M10" s="1196">
        <v>345955.89</v>
      </c>
      <c r="N10" s="1196">
        <v>334184</v>
      </c>
      <c r="O10" s="1196">
        <v>323091</v>
      </c>
      <c r="P10" s="1196">
        <v>286467</v>
      </c>
      <c r="Q10" s="1196">
        <v>391683</v>
      </c>
      <c r="R10" s="1196">
        <v>319814</v>
      </c>
      <c r="S10" s="1196">
        <v>334375.58</v>
      </c>
      <c r="T10" s="1196">
        <v>355026</v>
      </c>
      <c r="U10" s="1196">
        <v>347138</v>
      </c>
      <c r="V10" s="1196">
        <v>280261</v>
      </c>
      <c r="W10" s="1196">
        <v>295427.62</v>
      </c>
      <c r="X10" s="1196">
        <v>320143.35999999999</v>
      </c>
      <c r="Y10" s="1196">
        <v>324001</v>
      </c>
      <c r="Z10" s="1196">
        <v>287564.07</v>
      </c>
      <c r="AA10" s="1196">
        <v>317249.58</v>
      </c>
      <c r="AB10" s="1196">
        <v>317982.59000000003</v>
      </c>
      <c r="AC10" s="1196">
        <v>317249.58</v>
      </c>
      <c r="AD10" s="1196">
        <v>308019</v>
      </c>
      <c r="AE10" s="1196">
        <v>302229</v>
      </c>
      <c r="AF10" s="1196">
        <v>330202</v>
      </c>
      <c r="AG10" s="1196">
        <v>315207</v>
      </c>
      <c r="AH10" s="1196">
        <v>294491</v>
      </c>
      <c r="AI10" s="1196">
        <v>303736</v>
      </c>
      <c r="AJ10" s="1196">
        <v>304835</v>
      </c>
      <c r="AK10" s="1196">
        <v>259513</v>
      </c>
      <c r="AL10" s="1196">
        <v>266160</v>
      </c>
      <c r="AM10" s="1196">
        <v>258295</v>
      </c>
      <c r="AN10" s="1196">
        <v>245963</v>
      </c>
      <c r="AO10" s="1196">
        <v>291203</v>
      </c>
      <c r="AP10" s="1196">
        <v>263776</v>
      </c>
      <c r="AQ10" s="1196">
        <v>262949.71000000002</v>
      </c>
      <c r="AR10" s="1196">
        <v>294414</v>
      </c>
      <c r="AS10" s="1196">
        <v>312398</v>
      </c>
    </row>
    <row r="11" spans="1:45" s="1186" customFormat="1" ht="21" customHeight="1">
      <c r="A11" s="1199" t="s">
        <v>33</v>
      </c>
      <c r="B11" s="1196">
        <v>225254</v>
      </c>
      <c r="C11" s="1196">
        <v>286358</v>
      </c>
      <c r="D11" s="1196" t="s">
        <v>206</v>
      </c>
      <c r="E11" s="1196">
        <v>260481</v>
      </c>
      <c r="F11" s="1213">
        <v>248108</v>
      </c>
      <c r="G11" s="1196">
        <v>270739</v>
      </c>
      <c r="H11" s="1212">
        <v>235984.36</v>
      </c>
      <c r="I11" s="1212">
        <v>242670</v>
      </c>
      <c r="J11" s="1196">
        <v>244609.41</v>
      </c>
      <c r="K11" s="1196">
        <v>267954.65999999997</v>
      </c>
      <c r="L11" s="1196">
        <v>280055</v>
      </c>
      <c r="M11" s="1196">
        <v>283460.28000000003</v>
      </c>
      <c r="N11" s="1196">
        <v>299458</v>
      </c>
      <c r="O11" s="1196">
        <v>301930</v>
      </c>
      <c r="P11" s="1196">
        <v>304410</v>
      </c>
      <c r="Q11" s="1196">
        <v>310660</v>
      </c>
      <c r="R11" s="1196">
        <v>228345</v>
      </c>
      <c r="S11" s="1196">
        <v>243252.58</v>
      </c>
      <c r="T11" s="1196">
        <v>246806</v>
      </c>
      <c r="U11" s="1196">
        <v>220463</v>
      </c>
      <c r="V11" s="1196">
        <v>216665</v>
      </c>
      <c r="W11" s="1196">
        <v>227393.65</v>
      </c>
      <c r="X11" s="1196">
        <v>243407.12</v>
      </c>
      <c r="Y11" s="1196">
        <v>244444</v>
      </c>
      <c r="Z11" s="1196">
        <v>230308</v>
      </c>
      <c r="AA11" s="1196">
        <v>223382.42</v>
      </c>
      <c r="AB11" s="1196">
        <v>224404.25</v>
      </c>
      <c r="AC11" s="1196">
        <v>223382.42</v>
      </c>
      <c r="AD11" s="1196">
        <v>215109</v>
      </c>
      <c r="AE11" s="1196">
        <v>205328</v>
      </c>
      <c r="AF11" s="1196">
        <v>213970</v>
      </c>
      <c r="AG11" s="1196">
        <v>239444</v>
      </c>
      <c r="AH11" s="1196">
        <v>217480</v>
      </c>
      <c r="AI11" s="1196">
        <v>182053</v>
      </c>
      <c r="AJ11" s="1196">
        <v>213650</v>
      </c>
      <c r="AK11" s="1196">
        <v>218730</v>
      </c>
      <c r="AL11" s="1196">
        <v>211010</v>
      </c>
      <c r="AM11" s="1196">
        <v>207521</v>
      </c>
      <c r="AN11" s="1196">
        <v>227964</v>
      </c>
      <c r="AO11" s="1196">
        <v>198107</v>
      </c>
      <c r="AP11" s="1196">
        <v>174376</v>
      </c>
      <c r="AQ11" s="1196">
        <v>206624</v>
      </c>
      <c r="AR11" s="1196">
        <v>229342</v>
      </c>
      <c r="AS11" s="1196">
        <v>259745</v>
      </c>
    </row>
    <row r="12" spans="1:45" s="1186" customFormat="1" ht="21" customHeight="1">
      <c r="A12" s="1186" t="s">
        <v>32</v>
      </c>
      <c r="B12" s="1196">
        <v>247863</v>
      </c>
      <c r="C12" s="1196">
        <v>206367</v>
      </c>
      <c r="D12" s="1196" t="s">
        <v>206</v>
      </c>
      <c r="E12" s="1196">
        <v>199002</v>
      </c>
      <c r="F12" s="1213">
        <v>226873</v>
      </c>
      <c r="G12" s="1196">
        <v>238024</v>
      </c>
      <c r="H12" s="1212">
        <v>230959.09</v>
      </c>
      <c r="I12" s="1212">
        <v>221781</v>
      </c>
      <c r="J12" s="1196">
        <v>246912.47</v>
      </c>
      <c r="K12" s="1196">
        <v>258770.34</v>
      </c>
      <c r="L12" s="1196">
        <v>269130</v>
      </c>
      <c r="M12" s="1196">
        <v>276527.94</v>
      </c>
      <c r="N12" s="1196">
        <v>242934</v>
      </c>
      <c r="O12" s="1196">
        <v>236969</v>
      </c>
      <c r="P12" s="1196">
        <v>287036</v>
      </c>
      <c r="Q12" s="1196">
        <v>246114</v>
      </c>
      <c r="R12" s="1196">
        <v>226162</v>
      </c>
      <c r="S12" s="1196">
        <v>234933.38999999998</v>
      </c>
      <c r="T12" s="1196">
        <v>217842</v>
      </c>
      <c r="U12" s="1196">
        <v>249638</v>
      </c>
      <c r="V12" s="1196">
        <v>222088</v>
      </c>
      <c r="W12" s="1196">
        <v>229620.31</v>
      </c>
      <c r="X12" s="1196">
        <v>210215.87</v>
      </c>
      <c r="Y12" s="1196">
        <v>222009</v>
      </c>
      <c r="Z12" s="1196">
        <v>206323.66</v>
      </c>
      <c r="AA12" s="1196">
        <v>210273.71</v>
      </c>
      <c r="AB12" s="1196">
        <v>212113.49</v>
      </c>
      <c r="AC12" s="1196">
        <v>210273.71</v>
      </c>
      <c r="AD12" s="1196">
        <v>211704</v>
      </c>
      <c r="AE12" s="1196">
        <v>219194</v>
      </c>
      <c r="AF12" s="1196">
        <v>230011</v>
      </c>
      <c r="AG12" s="1196">
        <v>197358</v>
      </c>
      <c r="AH12" s="1196">
        <v>228554</v>
      </c>
      <c r="AI12" s="1196">
        <v>253329</v>
      </c>
      <c r="AJ12" s="1196">
        <v>222959</v>
      </c>
      <c r="AK12" s="1196">
        <v>234961</v>
      </c>
      <c r="AL12" s="1196">
        <v>240819</v>
      </c>
      <c r="AM12" s="1196">
        <v>242008</v>
      </c>
      <c r="AN12" s="1196">
        <v>230896</v>
      </c>
      <c r="AO12" s="1196">
        <v>241262</v>
      </c>
      <c r="AP12" s="1196">
        <v>253252</v>
      </c>
      <c r="AQ12" s="1196">
        <v>252638.52</v>
      </c>
      <c r="AR12" s="1196">
        <v>248601</v>
      </c>
      <c r="AS12" s="1196">
        <v>259169</v>
      </c>
    </row>
    <row r="13" spans="1:45" s="1186" customFormat="1" ht="21" customHeight="1">
      <c r="A13" s="1197" t="s">
        <v>31</v>
      </c>
      <c r="B13" s="1196">
        <v>189018</v>
      </c>
      <c r="C13" s="1196">
        <v>172923</v>
      </c>
      <c r="D13" s="1196" t="s">
        <v>206</v>
      </c>
      <c r="E13" s="1196">
        <v>165175</v>
      </c>
      <c r="F13" s="1213">
        <v>184857</v>
      </c>
      <c r="G13" s="1196">
        <v>194957</v>
      </c>
      <c r="H13" s="1212">
        <v>203592.63</v>
      </c>
      <c r="I13" s="1212">
        <v>190850</v>
      </c>
      <c r="J13" s="1196">
        <v>199634.53</v>
      </c>
      <c r="K13" s="1196">
        <v>219949.76</v>
      </c>
      <c r="L13" s="1196">
        <v>219190</v>
      </c>
      <c r="M13" s="1196">
        <v>223623.28</v>
      </c>
      <c r="N13" s="1196">
        <v>196864</v>
      </c>
      <c r="O13" s="1196">
        <v>190220</v>
      </c>
      <c r="P13" s="1196">
        <v>230788</v>
      </c>
      <c r="Q13" s="1196">
        <v>213368</v>
      </c>
      <c r="R13" s="1196">
        <v>192312</v>
      </c>
      <c r="S13" s="1196">
        <v>185925.61</v>
      </c>
      <c r="T13" s="1196">
        <v>181209</v>
      </c>
      <c r="U13" s="1196">
        <v>203231</v>
      </c>
      <c r="V13" s="1196">
        <v>185858</v>
      </c>
      <c r="W13" s="1196">
        <v>196383.03</v>
      </c>
      <c r="X13" s="1196">
        <v>171123.37</v>
      </c>
      <c r="Y13" s="1196">
        <v>192756</v>
      </c>
      <c r="Z13" s="1196">
        <v>172931.66</v>
      </c>
      <c r="AA13" s="1196">
        <v>177691.71</v>
      </c>
      <c r="AB13" s="1196">
        <v>176852.05</v>
      </c>
      <c r="AC13" s="1196">
        <v>177691.71</v>
      </c>
      <c r="AD13" s="1196">
        <v>172000</v>
      </c>
      <c r="AE13" s="1196">
        <v>181675</v>
      </c>
      <c r="AF13" s="1196">
        <v>192081</v>
      </c>
      <c r="AG13" s="1196">
        <v>156689</v>
      </c>
      <c r="AH13" s="1196">
        <v>191501</v>
      </c>
      <c r="AI13" s="1196">
        <v>206670</v>
      </c>
      <c r="AJ13" s="1196">
        <v>173647</v>
      </c>
      <c r="AK13" s="1196">
        <v>206166</v>
      </c>
      <c r="AL13" s="1196">
        <v>193584</v>
      </c>
      <c r="AM13" s="1196">
        <v>170334</v>
      </c>
      <c r="AN13" s="1196">
        <v>186238</v>
      </c>
      <c r="AO13" s="1196">
        <v>208608</v>
      </c>
      <c r="AP13" s="1196">
        <v>211811</v>
      </c>
      <c r="AQ13" s="1196">
        <v>215319</v>
      </c>
      <c r="AR13" s="1196">
        <v>205190</v>
      </c>
      <c r="AS13" s="1196">
        <v>228525</v>
      </c>
    </row>
    <row r="14" spans="1:45" s="1186" customFormat="1" ht="21" customHeight="1">
      <c r="A14" s="1197" t="s">
        <v>30</v>
      </c>
      <c r="B14" s="1196">
        <v>58845</v>
      </c>
      <c r="C14" s="1196">
        <v>33444</v>
      </c>
      <c r="D14" s="1196" t="s">
        <v>206</v>
      </c>
      <c r="E14" s="1196">
        <v>33827</v>
      </c>
      <c r="F14" s="1213">
        <v>42016</v>
      </c>
      <c r="G14" s="1196">
        <v>43067</v>
      </c>
      <c r="H14" s="1212">
        <v>27148.5</v>
      </c>
      <c r="I14" s="1212">
        <v>30242</v>
      </c>
      <c r="J14" s="1196">
        <v>47277.94</v>
      </c>
      <c r="K14" s="1196">
        <v>38409.08</v>
      </c>
      <c r="L14" s="1196">
        <v>49940</v>
      </c>
      <c r="M14" s="1196">
        <v>52904.66</v>
      </c>
      <c r="N14" s="1196">
        <v>46070</v>
      </c>
      <c r="O14" s="1196">
        <v>46749</v>
      </c>
      <c r="P14" s="1196">
        <v>49679</v>
      </c>
      <c r="Q14" s="1196">
        <v>32048</v>
      </c>
      <c r="R14" s="1196">
        <v>33850</v>
      </c>
      <c r="S14" s="1196">
        <v>49007.78</v>
      </c>
      <c r="T14" s="1196">
        <v>36633</v>
      </c>
      <c r="U14" s="1196">
        <v>46407</v>
      </c>
      <c r="V14" s="1196">
        <v>36230</v>
      </c>
      <c r="W14" s="1196">
        <v>33237.279999999999</v>
      </c>
      <c r="X14" s="1196">
        <v>39092.5</v>
      </c>
      <c r="Y14" s="1196">
        <v>29253</v>
      </c>
      <c r="Z14" s="1196">
        <v>33392</v>
      </c>
      <c r="AA14" s="1196">
        <v>32582</v>
      </c>
      <c r="AB14" s="1196">
        <v>35261.440000000002</v>
      </c>
      <c r="AC14" s="1196">
        <v>32582</v>
      </c>
      <c r="AD14" s="1196">
        <v>39704</v>
      </c>
      <c r="AE14" s="1196">
        <v>37519</v>
      </c>
      <c r="AF14" s="1196">
        <v>37930</v>
      </c>
      <c r="AG14" s="1196">
        <v>40669</v>
      </c>
      <c r="AH14" s="1196">
        <v>36840</v>
      </c>
      <c r="AI14" s="1196">
        <v>46659</v>
      </c>
      <c r="AJ14" s="1196">
        <v>49312</v>
      </c>
      <c r="AK14" s="1196">
        <v>28795</v>
      </c>
      <c r="AL14" s="1196">
        <v>46793</v>
      </c>
      <c r="AM14" s="1196">
        <v>71674</v>
      </c>
      <c r="AN14" s="1196">
        <v>44658</v>
      </c>
      <c r="AO14" s="1196">
        <v>32654</v>
      </c>
      <c r="AP14" s="1196">
        <v>41441</v>
      </c>
      <c r="AQ14" s="1196">
        <v>37319.519999999997</v>
      </c>
      <c r="AR14" s="1196">
        <v>43411</v>
      </c>
      <c r="AS14" s="1196">
        <v>30644</v>
      </c>
    </row>
    <row r="15" spans="1:45" s="1186" customFormat="1" ht="21" customHeight="1">
      <c r="A15" s="1198" t="s">
        <v>100</v>
      </c>
      <c r="B15" s="1195">
        <v>0</v>
      </c>
      <c r="C15" s="1195">
        <v>0</v>
      </c>
      <c r="D15" s="1196" t="s">
        <v>206</v>
      </c>
      <c r="E15" s="1195">
        <v>0</v>
      </c>
      <c r="F15" s="1195">
        <v>0</v>
      </c>
      <c r="G15" s="1195">
        <v>0</v>
      </c>
      <c r="H15" s="1212">
        <v>217.96</v>
      </c>
      <c r="I15" s="1212">
        <v>690</v>
      </c>
      <c r="J15" s="1195">
        <v>0</v>
      </c>
      <c r="K15" s="1196">
        <v>411.5</v>
      </c>
      <c r="L15" s="1195">
        <v>0</v>
      </c>
      <c r="M15" s="1195">
        <v>0</v>
      </c>
      <c r="N15" s="1195">
        <v>0</v>
      </c>
      <c r="O15" s="1195">
        <v>0</v>
      </c>
      <c r="P15" s="1195">
        <v>6569</v>
      </c>
      <c r="Q15" s="1195">
        <v>698</v>
      </c>
      <c r="R15" s="1195">
        <v>0</v>
      </c>
      <c r="S15" s="1195">
        <v>0</v>
      </c>
      <c r="T15" s="1195">
        <v>0</v>
      </c>
      <c r="U15" s="1195">
        <v>0</v>
      </c>
      <c r="V15" s="1195" t="s">
        <v>7</v>
      </c>
      <c r="W15" s="1195" t="s">
        <v>8</v>
      </c>
      <c r="X15" s="1195" t="s">
        <v>8</v>
      </c>
      <c r="Y15" s="1195" t="s">
        <v>8</v>
      </c>
      <c r="Z15" s="1195" t="s">
        <v>8</v>
      </c>
      <c r="AA15" s="1195" t="s">
        <v>8</v>
      </c>
      <c r="AB15" s="1195" t="s">
        <v>8</v>
      </c>
      <c r="AC15" s="1195" t="s">
        <v>8</v>
      </c>
      <c r="AD15" s="1195" t="s">
        <v>8</v>
      </c>
      <c r="AE15" s="1195" t="s">
        <v>8</v>
      </c>
      <c r="AF15" s="1195" t="s">
        <v>7</v>
      </c>
      <c r="AG15" s="1195" t="s">
        <v>7</v>
      </c>
      <c r="AH15" s="1195">
        <v>213</v>
      </c>
      <c r="AI15" s="1195" t="s">
        <v>8</v>
      </c>
      <c r="AJ15" s="1195" t="s">
        <v>8</v>
      </c>
      <c r="AK15" s="1195" t="s">
        <v>7</v>
      </c>
      <c r="AL15" s="1195">
        <v>442</v>
      </c>
      <c r="AM15" s="1195">
        <v>0</v>
      </c>
      <c r="AN15" s="1195">
        <v>0</v>
      </c>
      <c r="AO15" s="1195">
        <v>0</v>
      </c>
      <c r="AP15" s="1195">
        <v>0</v>
      </c>
      <c r="AQ15" s="1195">
        <v>0</v>
      </c>
      <c r="AR15" s="1195">
        <v>0</v>
      </c>
      <c r="AS15" s="1195">
        <v>0</v>
      </c>
    </row>
    <row r="16" spans="1:45" s="1186" customFormat="1" ht="21" customHeight="1">
      <c r="A16" s="1186" t="s">
        <v>28</v>
      </c>
      <c r="B16" s="1196">
        <v>186438</v>
      </c>
      <c r="C16" s="1196">
        <v>186260</v>
      </c>
      <c r="D16" s="1196" t="s">
        <v>206</v>
      </c>
      <c r="E16" s="1196">
        <v>201441</v>
      </c>
      <c r="F16" s="1213">
        <v>222852</v>
      </c>
      <c r="G16" s="1196">
        <v>211257</v>
      </c>
      <c r="H16" s="1212">
        <v>218322.75</v>
      </c>
      <c r="I16" s="1212">
        <v>216335</v>
      </c>
      <c r="J16" s="1196">
        <v>249127.84</v>
      </c>
      <c r="K16" s="1196">
        <v>203538</v>
      </c>
      <c r="L16" s="1196">
        <v>222444</v>
      </c>
      <c r="M16" s="1196">
        <v>251132.93</v>
      </c>
      <c r="N16" s="1196">
        <v>218638</v>
      </c>
      <c r="O16" s="1196">
        <v>233899</v>
      </c>
      <c r="P16" s="1196">
        <v>228324</v>
      </c>
      <c r="Q16" s="1196">
        <v>214972</v>
      </c>
      <c r="R16" s="1196">
        <v>198907</v>
      </c>
      <c r="S16" s="1196">
        <v>187939.07</v>
      </c>
      <c r="T16" s="1196">
        <v>191084</v>
      </c>
      <c r="U16" s="1196">
        <v>196918</v>
      </c>
      <c r="V16" s="1196">
        <v>194625</v>
      </c>
      <c r="W16" s="1196">
        <v>176092.84000000003</v>
      </c>
      <c r="X16" s="1196">
        <v>152546.79</v>
      </c>
      <c r="Y16" s="1196">
        <v>170768</v>
      </c>
      <c r="Z16" s="1196">
        <v>179820.34</v>
      </c>
      <c r="AA16" s="1196">
        <v>183273.80000000002</v>
      </c>
      <c r="AB16" s="1196">
        <f>SUM(AB17:AB19)</f>
        <v>187103.02</v>
      </c>
      <c r="AC16" s="1196">
        <f>SUM(AC17:AC19)</f>
        <v>183273.80000000002</v>
      </c>
      <c r="AD16" s="1196">
        <v>198001</v>
      </c>
      <c r="AE16" s="1196">
        <v>193332</v>
      </c>
      <c r="AF16" s="1196">
        <v>201397</v>
      </c>
      <c r="AG16" s="1196">
        <v>197977</v>
      </c>
      <c r="AH16" s="1196">
        <v>179033</v>
      </c>
      <c r="AI16" s="1196">
        <v>180798</v>
      </c>
      <c r="AJ16" s="1196">
        <v>195756</v>
      </c>
      <c r="AK16" s="1196">
        <v>188842</v>
      </c>
      <c r="AL16" s="1196">
        <v>210217</v>
      </c>
      <c r="AM16" s="1196">
        <v>188750</v>
      </c>
      <c r="AN16" s="1196">
        <v>200619</v>
      </c>
      <c r="AO16" s="1196">
        <v>185117</v>
      </c>
      <c r="AP16" s="1196">
        <v>206461</v>
      </c>
      <c r="AQ16" s="1196">
        <v>202137</v>
      </c>
      <c r="AR16" s="1196">
        <v>185737</v>
      </c>
      <c r="AS16" s="1196">
        <v>189119</v>
      </c>
    </row>
    <row r="17" spans="1:45" s="1186" customFormat="1" ht="21" customHeight="1">
      <c r="A17" s="1198" t="s">
        <v>27</v>
      </c>
      <c r="B17" s="1196">
        <v>80213</v>
      </c>
      <c r="C17" s="1196">
        <v>96697</v>
      </c>
      <c r="D17" s="1196" t="s">
        <v>206</v>
      </c>
      <c r="E17" s="1196">
        <v>99277</v>
      </c>
      <c r="F17" s="1213">
        <v>106641</v>
      </c>
      <c r="G17" s="1196">
        <v>101212</v>
      </c>
      <c r="H17" s="1212">
        <v>92958.99</v>
      </c>
      <c r="I17" s="1212">
        <v>106789</v>
      </c>
      <c r="J17" s="1196">
        <v>153706.38</v>
      </c>
      <c r="K17" s="1196">
        <v>131509.93</v>
      </c>
      <c r="L17" s="1196">
        <v>116235</v>
      </c>
      <c r="M17" s="1196">
        <v>138477.91</v>
      </c>
      <c r="N17" s="1196">
        <v>121640</v>
      </c>
      <c r="O17" s="1196">
        <v>115947</v>
      </c>
      <c r="P17" s="1196">
        <v>124376</v>
      </c>
      <c r="Q17" s="1196">
        <v>135500</v>
      </c>
      <c r="R17" s="1196">
        <v>115083</v>
      </c>
      <c r="S17" s="1196">
        <v>109300.03</v>
      </c>
      <c r="T17" s="1196">
        <v>107615</v>
      </c>
      <c r="U17" s="1196">
        <v>110272</v>
      </c>
      <c r="V17" s="1196">
        <v>117793</v>
      </c>
      <c r="W17" s="1196">
        <v>106870.85</v>
      </c>
      <c r="X17" s="1196">
        <v>91138.92</v>
      </c>
      <c r="Y17" s="1196">
        <v>95705</v>
      </c>
      <c r="Z17" s="1196">
        <v>103063</v>
      </c>
      <c r="AA17" s="1196">
        <v>118923.85</v>
      </c>
      <c r="AB17" s="1196">
        <v>115641.29</v>
      </c>
      <c r="AC17" s="1196">
        <v>118923.85</v>
      </c>
      <c r="AD17" s="1196">
        <v>126942</v>
      </c>
      <c r="AE17" s="1196">
        <v>110173</v>
      </c>
      <c r="AF17" s="1196">
        <v>118977</v>
      </c>
      <c r="AG17" s="1196">
        <v>107941</v>
      </c>
      <c r="AH17" s="1196">
        <v>98872</v>
      </c>
      <c r="AI17" s="1196">
        <v>101535</v>
      </c>
      <c r="AJ17" s="1196">
        <v>120023</v>
      </c>
      <c r="AK17" s="1196">
        <v>111223</v>
      </c>
      <c r="AL17" s="1196">
        <v>105060</v>
      </c>
      <c r="AM17" s="1196">
        <v>108589</v>
      </c>
      <c r="AN17" s="1196">
        <v>104029</v>
      </c>
      <c r="AO17" s="1196">
        <v>104506</v>
      </c>
      <c r="AP17" s="1196">
        <v>94955</v>
      </c>
      <c r="AQ17" s="1196">
        <v>100830</v>
      </c>
      <c r="AR17" s="1196">
        <v>92332</v>
      </c>
      <c r="AS17" s="1196">
        <v>89055</v>
      </c>
    </row>
    <row r="18" spans="1:45" s="1186" customFormat="1" ht="21" customHeight="1">
      <c r="A18" s="1198" t="s">
        <v>26</v>
      </c>
      <c r="B18" s="1196">
        <v>71340</v>
      </c>
      <c r="C18" s="1196">
        <v>58874</v>
      </c>
      <c r="D18" s="1196" t="s">
        <v>206</v>
      </c>
      <c r="E18" s="1196">
        <v>72633</v>
      </c>
      <c r="F18" s="1213">
        <v>74206</v>
      </c>
      <c r="G18" s="1196">
        <v>76780</v>
      </c>
      <c r="H18" s="1212">
        <v>84638.65</v>
      </c>
      <c r="I18" s="1212">
        <v>76371</v>
      </c>
      <c r="J18" s="1196">
        <v>59116.15</v>
      </c>
      <c r="K18" s="1196">
        <v>40764.49</v>
      </c>
      <c r="L18" s="1196">
        <v>68087</v>
      </c>
      <c r="M18" s="1196">
        <v>84147.25</v>
      </c>
      <c r="N18" s="1196">
        <v>76576</v>
      </c>
      <c r="O18" s="1196">
        <v>90015</v>
      </c>
      <c r="P18" s="1196">
        <v>68396</v>
      </c>
      <c r="Q18" s="1196">
        <v>58375</v>
      </c>
      <c r="R18" s="1196">
        <v>63328</v>
      </c>
      <c r="S18" s="1196">
        <v>53484.94</v>
      </c>
      <c r="T18" s="1196">
        <v>55962</v>
      </c>
      <c r="U18" s="1196">
        <v>63582</v>
      </c>
      <c r="V18" s="1196">
        <v>59428</v>
      </c>
      <c r="W18" s="1196">
        <v>55439.88</v>
      </c>
      <c r="X18" s="1196">
        <v>44680.58</v>
      </c>
      <c r="Y18" s="1196">
        <v>52083</v>
      </c>
      <c r="Z18" s="1196">
        <v>51098.34</v>
      </c>
      <c r="AA18" s="1196">
        <v>49257.51</v>
      </c>
      <c r="AB18" s="1196">
        <v>50123.17</v>
      </c>
      <c r="AC18" s="1196">
        <v>49257.51</v>
      </c>
      <c r="AD18" s="1196">
        <v>46133</v>
      </c>
      <c r="AE18" s="1196">
        <v>57314</v>
      </c>
      <c r="AF18" s="1196">
        <v>60105</v>
      </c>
      <c r="AG18" s="1196">
        <v>71685</v>
      </c>
      <c r="AH18" s="1196">
        <v>59629</v>
      </c>
      <c r="AI18" s="1196">
        <v>62108</v>
      </c>
      <c r="AJ18" s="1196">
        <v>58740</v>
      </c>
      <c r="AK18" s="1196">
        <v>59010</v>
      </c>
      <c r="AL18" s="1196">
        <v>68918</v>
      </c>
      <c r="AM18" s="1196">
        <v>60495</v>
      </c>
      <c r="AN18" s="1196">
        <v>71732</v>
      </c>
      <c r="AO18" s="1196">
        <v>55974</v>
      </c>
      <c r="AP18" s="1196">
        <v>80533</v>
      </c>
      <c r="AQ18" s="1196">
        <v>68717</v>
      </c>
      <c r="AR18" s="1196">
        <v>61523</v>
      </c>
      <c r="AS18" s="1196">
        <v>66352</v>
      </c>
    </row>
    <row r="19" spans="1:45" s="1186" customFormat="1" ht="21" customHeight="1">
      <c r="A19" s="1198" t="s">
        <v>25</v>
      </c>
      <c r="B19" s="1196">
        <v>34885</v>
      </c>
      <c r="C19" s="1196">
        <v>30689</v>
      </c>
      <c r="D19" s="1196" t="s">
        <v>206</v>
      </c>
      <c r="E19" s="1196">
        <v>29531</v>
      </c>
      <c r="F19" s="1213">
        <v>42005</v>
      </c>
      <c r="G19" s="1196">
        <v>33265</v>
      </c>
      <c r="H19" s="1212">
        <v>40725.11</v>
      </c>
      <c r="I19" s="1212">
        <v>33175</v>
      </c>
      <c r="J19" s="1196">
        <v>36305.31</v>
      </c>
      <c r="K19" s="1196">
        <v>31263.58</v>
      </c>
      <c r="L19" s="1196">
        <v>38122</v>
      </c>
      <c r="M19" s="1196">
        <v>28507.77</v>
      </c>
      <c r="N19" s="1196">
        <v>20422</v>
      </c>
      <c r="O19" s="1196">
        <v>27937</v>
      </c>
      <c r="P19" s="1196">
        <v>35552</v>
      </c>
      <c r="Q19" s="1196">
        <v>21097</v>
      </c>
      <c r="R19" s="1196">
        <v>20496</v>
      </c>
      <c r="S19" s="1196">
        <v>25154.1</v>
      </c>
      <c r="T19" s="1196">
        <v>27507</v>
      </c>
      <c r="U19" s="1196">
        <v>23064</v>
      </c>
      <c r="V19" s="1196">
        <v>17404</v>
      </c>
      <c r="W19" s="1196">
        <v>13782.11</v>
      </c>
      <c r="X19" s="1196">
        <v>16727.29</v>
      </c>
      <c r="Y19" s="1196">
        <v>22980</v>
      </c>
      <c r="Z19" s="1196">
        <v>25660</v>
      </c>
      <c r="AA19" s="1196">
        <v>15092.44</v>
      </c>
      <c r="AB19" s="1196">
        <v>21338.560000000001</v>
      </c>
      <c r="AC19" s="1196">
        <v>15092.44</v>
      </c>
      <c r="AD19" s="1196">
        <v>24926</v>
      </c>
      <c r="AE19" s="1196">
        <v>25845</v>
      </c>
      <c r="AF19" s="1196">
        <v>22315</v>
      </c>
      <c r="AG19" s="1196">
        <v>18351</v>
      </c>
      <c r="AH19" s="1196">
        <v>20532</v>
      </c>
      <c r="AI19" s="1196">
        <v>17155</v>
      </c>
      <c r="AJ19" s="1196">
        <v>16993</v>
      </c>
      <c r="AK19" s="1196">
        <v>18609</v>
      </c>
      <c r="AL19" s="1196">
        <v>36239</v>
      </c>
      <c r="AM19" s="1196">
        <v>19666</v>
      </c>
      <c r="AN19" s="1196">
        <v>24858</v>
      </c>
      <c r="AO19" s="1196">
        <v>24637</v>
      </c>
      <c r="AP19" s="1196">
        <v>30973</v>
      </c>
      <c r="AQ19" s="1196">
        <v>32590</v>
      </c>
      <c r="AR19" s="1196">
        <v>31882</v>
      </c>
      <c r="AS19" s="1196">
        <v>33712</v>
      </c>
    </row>
    <row r="20" spans="1:45" s="1186" customFormat="1" ht="21" customHeight="1">
      <c r="A20" s="1197" t="s">
        <v>24</v>
      </c>
      <c r="B20" s="1195">
        <v>0</v>
      </c>
      <c r="C20" s="1195">
        <v>0</v>
      </c>
      <c r="D20" s="1196" t="s">
        <v>206</v>
      </c>
      <c r="E20" s="1195">
        <v>0</v>
      </c>
      <c r="F20" s="1195">
        <v>0</v>
      </c>
      <c r="G20" s="1195">
        <v>0</v>
      </c>
      <c r="H20" s="1195">
        <v>0</v>
      </c>
      <c r="I20" s="1195">
        <v>0</v>
      </c>
      <c r="J20" s="1195">
        <v>0</v>
      </c>
      <c r="K20" s="1195">
        <v>0</v>
      </c>
      <c r="L20" s="1195">
        <v>0</v>
      </c>
      <c r="M20" s="1195">
        <v>0</v>
      </c>
      <c r="N20" s="1195">
        <v>0</v>
      </c>
      <c r="O20" s="1195">
        <v>0</v>
      </c>
      <c r="P20" s="1195">
        <v>0</v>
      </c>
      <c r="Q20" s="1195">
        <v>0</v>
      </c>
      <c r="R20" s="1195">
        <v>0</v>
      </c>
      <c r="S20" s="1195">
        <v>0</v>
      </c>
      <c r="T20" s="1195">
        <v>0</v>
      </c>
      <c r="U20" s="1195">
        <v>0</v>
      </c>
      <c r="V20" s="1195">
        <v>892</v>
      </c>
      <c r="W20" s="1195" t="s">
        <v>8</v>
      </c>
      <c r="X20" s="1195" t="s">
        <v>7</v>
      </c>
      <c r="Y20" s="1195" t="s">
        <v>8</v>
      </c>
      <c r="Z20" s="1195" t="s">
        <v>8</v>
      </c>
      <c r="AA20" s="1195" t="s">
        <v>8</v>
      </c>
      <c r="AB20" s="1195" t="s">
        <v>8</v>
      </c>
      <c r="AC20" s="1195" t="s">
        <v>8</v>
      </c>
      <c r="AD20" s="1195" t="s">
        <v>8</v>
      </c>
      <c r="AE20" s="1195" t="s">
        <v>8</v>
      </c>
      <c r="AF20" s="1195" t="s">
        <v>7</v>
      </c>
      <c r="AG20" s="1195">
        <v>0</v>
      </c>
      <c r="AH20" s="1195" t="s">
        <v>8</v>
      </c>
      <c r="AI20" s="1195" t="s">
        <v>8</v>
      </c>
      <c r="AJ20" s="1195" t="s">
        <v>8</v>
      </c>
      <c r="AK20" s="1195" t="s">
        <v>7</v>
      </c>
      <c r="AL20" s="1195">
        <v>0</v>
      </c>
      <c r="AM20" s="1195">
        <v>0</v>
      </c>
      <c r="AN20" s="1195">
        <v>0</v>
      </c>
      <c r="AO20" s="1195">
        <v>0</v>
      </c>
      <c r="AP20" s="1195">
        <v>0</v>
      </c>
      <c r="AQ20" s="1195">
        <v>0</v>
      </c>
      <c r="AR20" s="1195">
        <v>0</v>
      </c>
      <c r="AS20" s="1195">
        <v>0</v>
      </c>
    </row>
    <row r="21" spans="1:45" s="1186" customFormat="1" ht="21" customHeight="1">
      <c r="A21" s="1197" t="s">
        <v>23</v>
      </c>
      <c r="B21" s="1196">
        <v>343</v>
      </c>
      <c r="C21" s="1195">
        <v>0</v>
      </c>
      <c r="D21" s="1196" t="s">
        <v>206</v>
      </c>
      <c r="E21" s="1195">
        <v>0</v>
      </c>
      <c r="F21" s="1195">
        <v>0</v>
      </c>
      <c r="G21" s="1195">
        <v>0</v>
      </c>
      <c r="H21" s="1195">
        <v>0</v>
      </c>
      <c r="I21" s="1195">
        <v>0</v>
      </c>
      <c r="J21" s="1195">
        <v>0</v>
      </c>
      <c r="K21" s="1196">
        <v>1318.41</v>
      </c>
      <c r="L21" s="1196">
        <v>1277</v>
      </c>
      <c r="M21" s="1196">
        <v>0</v>
      </c>
      <c r="N21" s="1196">
        <v>0</v>
      </c>
      <c r="O21" s="1196">
        <v>0</v>
      </c>
      <c r="P21" s="1196">
        <v>585</v>
      </c>
      <c r="Q21" s="1196">
        <v>2189</v>
      </c>
      <c r="R21" s="1196">
        <v>1041</v>
      </c>
      <c r="S21" s="1196">
        <v>334</v>
      </c>
      <c r="T21" s="1195">
        <v>0</v>
      </c>
      <c r="U21" s="1196">
        <v>0</v>
      </c>
      <c r="V21" s="1196">
        <v>1232</v>
      </c>
      <c r="W21" s="1195">
        <v>2871.99</v>
      </c>
      <c r="X21" s="1196">
        <v>446.75</v>
      </c>
      <c r="Y21" s="1196" t="s">
        <v>8</v>
      </c>
      <c r="Z21" s="1195">
        <v>1194.3699999999999</v>
      </c>
      <c r="AA21" s="1196">
        <v>727.89</v>
      </c>
      <c r="AB21" s="1196">
        <v>1867.1</v>
      </c>
      <c r="AC21" s="1195">
        <v>727.89</v>
      </c>
      <c r="AD21" s="1195">
        <v>574</v>
      </c>
      <c r="AE21" s="1196">
        <v>1102</v>
      </c>
      <c r="AF21" s="1196">
        <v>0</v>
      </c>
      <c r="AG21" s="1195">
        <v>0</v>
      </c>
      <c r="AH21" s="1195" t="s">
        <v>8</v>
      </c>
      <c r="AI21" s="1196" t="s">
        <v>8</v>
      </c>
      <c r="AJ21" s="1196">
        <v>1491</v>
      </c>
      <c r="AK21" s="1195">
        <v>834</v>
      </c>
      <c r="AL21" s="1195">
        <v>1187</v>
      </c>
      <c r="AM21" s="1196">
        <v>2739</v>
      </c>
      <c r="AN21" s="1196">
        <v>501</v>
      </c>
      <c r="AO21" s="1195">
        <v>1366</v>
      </c>
      <c r="AP21" s="1195">
        <v>2110</v>
      </c>
      <c r="AQ21" s="1196">
        <v>0</v>
      </c>
      <c r="AR21" s="1196">
        <v>0</v>
      </c>
      <c r="AS21" s="1195">
        <v>1239</v>
      </c>
    </row>
    <row r="22" spans="1:45" s="1210" customFormat="1" ht="23.25" customHeight="1">
      <c r="A22" s="1211" t="s">
        <v>20</v>
      </c>
      <c r="B22" s="1211"/>
      <c r="C22" s="1211"/>
      <c r="D22" s="1211"/>
      <c r="E22" s="1211"/>
      <c r="F22" s="1211"/>
      <c r="G22" s="1211"/>
      <c r="H22" s="1211"/>
      <c r="I22" s="1211"/>
      <c r="J22" s="1211"/>
      <c r="K22" s="1211"/>
      <c r="L22" s="1211"/>
      <c r="M22" s="1207"/>
      <c r="N22" s="1207"/>
      <c r="O22" s="1207"/>
      <c r="P22" s="1207"/>
      <c r="Q22" s="1207"/>
      <c r="R22" s="1207"/>
      <c r="S22" s="1207"/>
      <c r="T22" s="1207"/>
      <c r="U22" s="1207"/>
      <c r="V22" s="1207"/>
      <c r="W22" s="1207"/>
      <c r="X22" s="1207"/>
      <c r="Y22" s="1207"/>
      <c r="Z22" s="1196"/>
      <c r="AA22" s="1196"/>
      <c r="AB22" s="1196"/>
      <c r="AC22" s="1196"/>
      <c r="AD22" s="1196"/>
      <c r="AE22" s="1196"/>
      <c r="AF22" s="1196"/>
      <c r="AG22" s="1196"/>
      <c r="AH22" s="1196"/>
      <c r="AI22" s="1196"/>
      <c r="AJ22" s="1196"/>
      <c r="AK22" s="1196"/>
      <c r="AL22" s="1196"/>
      <c r="AM22" s="1196"/>
      <c r="AN22" s="1196"/>
      <c r="AO22" s="1196"/>
      <c r="AP22" s="1196"/>
      <c r="AQ22" s="1196"/>
      <c r="AR22" s="1196"/>
      <c r="AS22" s="1196"/>
    </row>
    <row r="23" spans="1:45" s="1186" customFormat="1" ht="26.45" customHeight="1">
      <c r="B23" s="1208"/>
      <c r="C23" s="1208"/>
      <c r="D23" s="1209"/>
      <c r="E23" s="1208"/>
      <c r="F23" s="1208"/>
      <c r="G23" s="1202"/>
      <c r="H23" s="1202"/>
      <c r="I23" s="1202"/>
      <c r="J23" s="1208"/>
      <c r="K23" s="1202"/>
      <c r="L23" s="1202"/>
      <c r="O23" s="1186" t="s">
        <v>20</v>
      </c>
      <c r="P23" s="1186" t="s">
        <v>20</v>
      </c>
      <c r="Z23" s="1207"/>
      <c r="AA23" s="1207"/>
      <c r="AB23" s="1207"/>
      <c r="AC23" s="1207"/>
    </row>
    <row r="24" spans="1:45" s="1186" customFormat="1" ht="21" customHeight="1">
      <c r="A24" s="1204" t="s">
        <v>37</v>
      </c>
      <c r="B24" s="1201">
        <v>100</v>
      </c>
      <c r="C24" s="1201">
        <v>100</v>
      </c>
      <c r="D24" s="1206" t="s">
        <v>206</v>
      </c>
      <c r="E24" s="1201">
        <v>100</v>
      </c>
      <c r="F24" s="1201">
        <v>100</v>
      </c>
      <c r="G24" s="1201">
        <v>100</v>
      </c>
      <c r="H24" s="1205">
        <f>[2]ตารางที่7!$B$22</f>
        <v>100</v>
      </c>
      <c r="I24" s="1205">
        <f>[1]ตารางที่7!$B$22</f>
        <v>100</v>
      </c>
      <c r="J24" s="1201">
        <v>100</v>
      </c>
      <c r="K24" s="1201">
        <v>100</v>
      </c>
      <c r="L24" s="1201">
        <v>100</v>
      </c>
      <c r="M24" s="1201">
        <v>100</v>
      </c>
      <c r="N24" s="1201">
        <v>100</v>
      </c>
      <c r="O24" s="1201">
        <v>100</v>
      </c>
      <c r="P24" s="1201">
        <v>100</v>
      </c>
      <c r="Q24" s="1201">
        <v>100</v>
      </c>
      <c r="R24" s="1201">
        <v>100</v>
      </c>
      <c r="S24" s="1201">
        <v>100</v>
      </c>
      <c r="T24" s="1201">
        <v>100</v>
      </c>
      <c r="U24" s="1201">
        <v>100</v>
      </c>
      <c r="V24" s="1201">
        <v>100</v>
      </c>
      <c r="W24" s="1201">
        <v>100</v>
      </c>
      <c r="X24" s="1201">
        <v>100</v>
      </c>
      <c r="Y24" s="1201">
        <v>100</v>
      </c>
      <c r="Z24" s="1201">
        <v>100</v>
      </c>
      <c r="AA24" s="1201">
        <v>100</v>
      </c>
      <c r="AB24" s="1201">
        <v>100</v>
      </c>
      <c r="AC24" s="1201">
        <v>100</v>
      </c>
      <c r="AD24" s="1201">
        <v>100</v>
      </c>
      <c r="AE24" s="1201">
        <v>100</v>
      </c>
      <c r="AF24" s="1201">
        <v>100</v>
      </c>
      <c r="AG24" s="1201">
        <v>100</v>
      </c>
      <c r="AH24" s="1201">
        <v>100</v>
      </c>
      <c r="AI24" s="1201">
        <v>100</v>
      </c>
      <c r="AJ24" s="1201">
        <v>100</v>
      </c>
      <c r="AK24" s="1201">
        <v>100</v>
      </c>
      <c r="AL24" s="1201">
        <v>100</v>
      </c>
      <c r="AM24" s="1201">
        <v>100</v>
      </c>
      <c r="AN24" s="1201">
        <v>100</v>
      </c>
      <c r="AO24" s="1201">
        <v>100</v>
      </c>
      <c r="AP24" s="1201">
        <v>100</v>
      </c>
      <c r="AQ24" s="1201">
        <v>100</v>
      </c>
      <c r="AR24" s="1201">
        <v>100</v>
      </c>
      <c r="AS24" s="1201">
        <v>100</v>
      </c>
    </row>
    <row r="25" spans="1:45" s="1186" customFormat="1" ht="24.6" customHeight="1">
      <c r="A25" s="1204"/>
      <c r="B25" s="1201"/>
      <c r="C25" s="1201"/>
      <c r="D25" s="1201"/>
      <c r="E25" s="1201"/>
      <c r="F25" s="1203"/>
      <c r="G25" s="1202"/>
      <c r="H25" s="1202"/>
      <c r="I25" s="1202"/>
      <c r="J25" s="1203"/>
      <c r="K25" s="1202"/>
      <c r="L25" s="1202"/>
      <c r="M25" s="1202"/>
      <c r="N25" s="1202"/>
      <c r="O25" s="1202"/>
      <c r="P25" s="1202"/>
      <c r="Q25" s="1202"/>
      <c r="R25" s="1202"/>
      <c r="S25" s="1202"/>
      <c r="T25" s="1202"/>
      <c r="U25" s="1202"/>
      <c r="V25" s="1202"/>
      <c r="W25" s="1202"/>
      <c r="X25" s="1202"/>
      <c r="Y25" s="1202"/>
      <c r="Z25" s="1201"/>
      <c r="AA25" s="1201"/>
      <c r="AB25" s="1201"/>
      <c r="AC25" s="1201"/>
      <c r="AD25" s="1201"/>
      <c r="AE25" s="1201"/>
      <c r="AF25" s="1201"/>
      <c r="AG25" s="1201"/>
      <c r="AH25" s="1201"/>
      <c r="AI25" s="1201"/>
      <c r="AJ25" s="1201"/>
      <c r="AK25" s="1201"/>
      <c r="AL25" s="1201"/>
      <c r="AM25" s="1201"/>
      <c r="AN25" s="1201"/>
      <c r="AO25" s="1201"/>
      <c r="AP25" s="1201"/>
      <c r="AQ25" s="1201"/>
      <c r="AR25" s="1201"/>
      <c r="AS25" s="1201"/>
    </row>
    <row r="26" spans="1:45" s="1186" customFormat="1" ht="21" customHeight="1">
      <c r="A26" s="1200" t="s">
        <v>36</v>
      </c>
      <c r="B26" s="1195">
        <f>B8*100/$B$6</f>
        <v>3.0547234582208178</v>
      </c>
      <c r="C26" s="1195">
        <f>C8*100/$C$6</f>
        <v>1.9291158057689659</v>
      </c>
      <c r="D26" s="1196" t="s">
        <v>206</v>
      </c>
      <c r="E26" s="1195">
        <f>E8*100/$E$6</f>
        <v>1.6484714542169518</v>
      </c>
      <c r="F26" s="1195">
        <f>(F8*100/F6)</f>
        <v>1.5405952028981191</v>
      </c>
      <c r="G26" s="1195">
        <f>(G8*100/G6)</f>
        <v>1.6584969006373149</v>
      </c>
      <c r="H26" s="1195">
        <f>(H8*100/H6)</f>
        <v>2.1210384394721746</v>
      </c>
      <c r="I26" s="1195">
        <f>(I8*100/I6)</f>
        <v>1.5645935082335654</v>
      </c>
      <c r="J26" s="1195">
        <f>(J8*100/J6)</f>
        <v>2.1735858187620059</v>
      </c>
      <c r="K26" s="1195">
        <f>(K8*100/K6)</f>
        <v>2.0058466067828413</v>
      </c>
      <c r="L26" s="1195">
        <f>(L8*100/L6)</f>
        <v>1.7129210127465688</v>
      </c>
      <c r="M26" s="1195">
        <f>(M8*100/M6)</f>
        <v>1.6527051331433857</v>
      </c>
      <c r="N26" s="1195">
        <f>(N8*100/N6)</f>
        <v>1.4415507446216229</v>
      </c>
      <c r="O26" s="1195">
        <f>(O8*100/O6)</f>
        <v>1.9644030591557959</v>
      </c>
      <c r="P26" s="1195">
        <f>(P8*100/P6)</f>
        <v>0.78701614042633528</v>
      </c>
      <c r="Q26" s="1195">
        <f>(Q8*100/Q6)</f>
        <v>1.5604242560848613</v>
      </c>
      <c r="R26" s="1195">
        <f>(R8*100/R6)</f>
        <v>1.0153329502900486</v>
      </c>
      <c r="S26" s="1195">
        <f>(S8*100/S6)</f>
        <v>1.3398670576349776</v>
      </c>
      <c r="T26" s="1195">
        <f>(T8*100/T6)</f>
        <v>1.0304193982732166</v>
      </c>
      <c r="U26" s="1195">
        <f>(U8*100/U6)</f>
        <v>1.1149329854109833</v>
      </c>
      <c r="V26" s="1195">
        <f>(V8*100/V6)</f>
        <v>1.685850917673583</v>
      </c>
      <c r="W26" s="1195">
        <f>(W8*100/W6)</f>
        <v>1.2363355861604535</v>
      </c>
      <c r="X26" s="1195">
        <f>(X8*100/X6)</f>
        <v>1.9367268764206298</v>
      </c>
      <c r="Y26" s="1195">
        <f>(Y8*100/Y6)</f>
        <v>1.4543968304338222</v>
      </c>
      <c r="Z26" s="1195">
        <f>(Z8*100/Z6)</f>
        <v>1.5757595640708384</v>
      </c>
      <c r="AA26" s="1195">
        <f>(AA8*100/AA6)</f>
        <v>1.9002958404375543</v>
      </c>
      <c r="AB26" s="1195">
        <f>(AB8*100/AB6)</f>
        <v>1.9155132654750544</v>
      </c>
      <c r="AC26" s="1195">
        <f>(AC8*100/AC6)</f>
        <v>1.9002958404375543</v>
      </c>
      <c r="AD26" s="1195">
        <f>(AD8*100/AD6)</f>
        <v>1.2816010812730672</v>
      </c>
      <c r="AE26" s="1195">
        <f>(AE8*100/AE6)</f>
        <v>1.4980423175795927</v>
      </c>
      <c r="AF26" s="1195">
        <f>(AF8*100/AF6)</f>
        <v>1.4135563016889368</v>
      </c>
      <c r="AG26" s="1195">
        <f>(AG8*100/AG6)</f>
        <v>0.98460158720806112</v>
      </c>
      <c r="AH26" s="1195">
        <f>(AH8*100/AH6)</f>
        <v>0.89941586498409032</v>
      </c>
      <c r="AI26" s="1195">
        <f>(AI8*100/AI6)</f>
        <v>1.0296603166822216</v>
      </c>
      <c r="AJ26" s="1195">
        <f>(AJ8*100/AJ6)</f>
        <v>1.2863408603250781</v>
      </c>
      <c r="AK26" s="1195">
        <f>(AK8*100/AK6)</f>
        <v>0.70636800015200929</v>
      </c>
      <c r="AL26" s="1195">
        <f>(AL8*100/AL6)</f>
        <v>0.99100537009215883</v>
      </c>
      <c r="AM26" s="1195">
        <f>(AM8*100/AM6)</f>
        <v>1.002395194241287</v>
      </c>
      <c r="AN26" s="1195">
        <f>(AN8*100/AN6)</f>
        <v>0.8889125550524587</v>
      </c>
      <c r="AO26" s="1195">
        <f>(AO8*100/AO6)</f>
        <v>0.66412672882757151</v>
      </c>
      <c r="AP26" s="1195">
        <v>0.63445005226912099</v>
      </c>
      <c r="AQ26" s="1195">
        <v>0.77365832108766519</v>
      </c>
      <c r="AR26" s="1195">
        <v>1.0863200153260628</v>
      </c>
      <c r="AS26" s="1195">
        <v>0.7318899352704461</v>
      </c>
    </row>
    <row r="27" spans="1:45" s="1186" customFormat="1" ht="21" customHeight="1">
      <c r="A27" s="1186" t="s">
        <v>35</v>
      </c>
      <c r="B27" s="1195">
        <f>B9*100/$B$6</f>
        <v>31.008114771124642</v>
      </c>
      <c r="C27" s="1195">
        <f>C9*100/$C$6</f>
        <v>31.36061451505741</v>
      </c>
      <c r="D27" s="1196" t="s">
        <v>206</v>
      </c>
      <c r="E27" s="1195">
        <f>E9*100/$E$6</f>
        <v>33.544840751958724</v>
      </c>
      <c r="F27" s="1195">
        <f>(F9*100/F6)</f>
        <v>27.56356772768093</v>
      </c>
      <c r="G27" s="1195">
        <f>(G9*100/G6)</f>
        <v>27.77636122637697</v>
      </c>
      <c r="H27" s="1195">
        <f>(H9*100/H6)</f>
        <v>31.172982087078474</v>
      </c>
      <c r="I27" s="1195">
        <f>(I9*100/I6)</f>
        <v>31.937864753926359</v>
      </c>
      <c r="J27" s="1195">
        <f>(J9*100/J6)</f>
        <v>26.576128044000622</v>
      </c>
      <c r="K27" s="1195">
        <f>(K9*100/K6)</f>
        <v>29.142599254985562</v>
      </c>
      <c r="L27" s="1195">
        <f>(L9*100/L6)</f>
        <v>28.425531546474133</v>
      </c>
      <c r="M27" s="1195">
        <f>(M9*100/M6)</f>
        <v>26.749733326120015</v>
      </c>
      <c r="N27" s="1195">
        <f>(N9*100/N6)</f>
        <v>25.708386629869608</v>
      </c>
      <c r="O27" s="1195">
        <f>(O9*100/O6)</f>
        <v>25.072787108775533</v>
      </c>
      <c r="P27" s="1195">
        <f>(P9*100/P6)</f>
        <v>30.018704839877319</v>
      </c>
      <c r="Q27" s="1195">
        <f>(Q9*100/Q6)</f>
        <v>25.051092813259071</v>
      </c>
      <c r="R27" s="1195">
        <f>(R9*100/R6)</f>
        <v>26.790280896877338</v>
      </c>
      <c r="S27" s="1195">
        <f>(S9*100/S6)</f>
        <v>27.035900696155831</v>
      </c>
      <c r="T27" s="1195">
        <f>(T9*100/T6)</f>
        <v>27.037496192593562</v>
      </c>
      <c r="U27" s="1195">
        <f>(U9*100/U6)</f>
        <v>27.284440641397111</v>
      </c>
      <c r="V27" s="1195">
        <f>(V9*100/V6)</f>
        <v>31.105934641443852</v>
      </c>
      <c r="W27" s="1195">
        <f>(W9*100/W6)</f>
        <v>30.695902628196968</v>
      </c>
      <c r="X27" s="1195">
        <f>(X9*100/X6)</f>
        <v>30.230966992533951</v>
      </c>
      <c r="Y27" s="1195">
        <f>(Y9*100/Y6)</f>
        <v>29.378859149020986</v>
      </c>
      <c r="Z27" s="1195">
        <f>(Z9*100/Z6)</f>
        <v>27.716199242623073</v>
      </c>
      <c r="AA27" s="1195">
        <f>(AA9*100/AA6)</f>
        <v>27.015707704349705</v>
      </c>
      <c r="AB27" s="1195">
        <f>(AB9*100/AB6)</f>
        <v>27.28645666080099</v>
      </c>
      <c r="AC27" s="1195">
        <f>(AC9*100/AC6)</f>
        <v>27.015707704349705</v>
      </c>
      <c r="AD27" s="1195">
        <f>(AD9*100/AD6)</f>
        <v>23.713356566990154</v>
      </c>
      <c r="AE27" s="1195">
        <f>(AE9*100/AE6)</f>
        <v>25.637808977654736</v>
      </c>
      <c r="AF27" s="1195">
        <f>(AF9*100/AF6)</f>
        <v>26.925808861390831</v>
      </c>
      <c r="AG27" s="1195">
        <f>(AG9*100/AG6)</f>
        <v>26.321085563997574</v>
      </c>
      <c r="AH27" s="1195">
        <f>(AH9*100/AH6)</f>
        <v>24.724230360461938</v>
      </c>
      <c r="AI27" s="1195">
        <f>(AI9*100/AI6)</f>
        <v>25.5268256970386</v>
      </c>
      <c r="AJ27" s="1195">
        <f>(AJ9*100/AJ6)</f>
        <v>26.49615982631321</v>
      </c>
      <c r="AK27" s="1195">
        <f>(AK9*100/AK6)</f>
        <v>27.811280511701149</v>
      </c>
      <c r="AL27" s="1195">
        <f>(AL9*100/AL6)</f>
        <v>20.522973843707433</v>
      </c>
      <c r="AM27" s="1195">
        <f>(AM9*100/AM6)</f>
        <v>22.205115725026577</v>
      </c>
      <c r="AN27" s="1195">
        <f>(AN9*100/AN6)</f>
        <v>21.303927361673182</v>
      </c>
      <c r="AO27" s="1195">
        <f>(AO9*100/AO6)</f>
        <v>22.832828766089076</v>
      </c>
      <c r="AP27" s="1195">
        <v>19.197726872027026</v>
      </c>
      <c r="AQ27" s="1195">
        <v>24.41692997717297</v>
      </c>
      <c r="AR27" s="1195">
        <v>24.602906832895503</v>
      </c>
      <c r="AS27" s="1195">
        <v>23.454464098212611</v>
      </c>
    </row>
    <row r="28" spans="1:45" s="1186" customFormat="1" ht="21" customHeight="1">
      <c r="A28" s="1199" t="s">
        <v>34</v>
      </c>
      <c r="B28" s="1195">
        <v>20.9</v>
      </c>
      <c r="C28" s="1195">
        <f>C10*100/$C$6</f>
        <v>21.325816771095546</v>
      </c>
      <c r="D28" s="1196" t="s">
        <v>206</v>
      </c>
      <c r="E28" s="1195">
        <f>E10*100/$E$6</f>
        <v>22.295690587265945</v>
      </c>
      <c r="F28" s="1195">
        <f>(F10*100/F6)</f>
        <v>22.577716969465751</v>
      </c>
      <c r="G28" s="1195">
        <f>(G10*100/G6)</f>
        <v>22.630373954035829</v>
      </c>
      <c r="H28" s="1195">
        <f>(H10*100/H6)</f>
        <v>23.022293618920123</v>
      </c>
      <c r="I28" s="1195">
        <v>23.8</v>
      </c>
      <c r="J28" s="1195">
        <f>(J10*100/J6)</f>
        <v>20.993291385877274</v>
      </c>
      <c r="K28" s="1195">
        <f>(K10*100/K6)</f>
        <v>21.905038916897119</v>
      </c>
      <c r="L28" s="1195">
        <v>21.6</v>
      </c>
      <c r="M28" s="1195">
        <f>(M10*100/M6)</f>
        <v>21.40704333630692</v>
      </c>
      <c r="N28" s="1195">
        <f>(N10*100/N6)</f>
        <v>22.228829551524196</v>
      </c>
      <c r="O28" s="1195">
        <f>(O10*100/O6)</f>
        <v>21.510962507565001</v>
      </c>
      <c r="P28" s="1195">
        <f>(P10*100/P6)</f>
        <v>17.9088214075392</v>
      </c>
      <c r="Q28" s="1195">
        <f>(Q10*100/Q6)</f>
        <v>24.660734905426352</v>
      </c>
      <c r="R28" s="1195">
        <f>(R10*100/R6)</f>
        <v>23.698561681802772</v>
      </c>
      <c r="S28" s="1195">
        <f>(S10*100/S6)</f>
        <v>23.929421029530179</v>
      </c>
      <c r="T28" s="1195">
        <f>(T10*100/T6)</f>
        <v>25.2659491188167</v>
      </c>
      <c r="U28" s="1195">
        <f>(U10*100/U6)</f>
        <v>24.50833375694009</v>
      </c>
      <c r="V28" s="1195">
        <f>(V10*100/V6)</f>
        <v>20.568467373563017</v>
      </c>
      <c r="W28" s="1195">
        <f>(W10*100/W6)</f>
        <v>21.59003439890289</v>
      </c>
      <c r="X28" s="1195">
        <f>(X10*100/X6)</f>
        <v>23.432242160392871</v>
      </c>
      <c r="Y28" s="1195">
        <f>(Y10*100/Y6)</f>
        <v>23.314171158588405</v>
      </c>
      <c r="Z28" s="1195">
        <f>(Z10*100/Z6)</f>
        <v>22.462292846162498</v>
      </c>
      <c r="AA28" s="1195">
        <f>(AA10*100/AA6)</f>
        <v>24.121485954844186</v>
      </c>
      <c r="AB28" s="1195">
        <f>(AB10*100/AB6)</f>
        <v>23.861416083291893</v>
      </c>
      <c r="AC28" s="1195">
        <f>(AC10*100/AC6)</f>
        <v>24.121485954844186</v>
      </c>
      <c r="AD28" s="1195">
        <f>(AD10*100/AD6)</f>
        <v>24.75123728463533</v>
      </c>
      <c r="AE28" s="1195">
        <f>(AE10*100/AE6)</f>
        <v>23.905793948981611</v>
      </c>
      <c r="AF28" s="1195">
        <f>(AF10*100/AF6)</f>
        <v>24.254786839029844</v>
      </c>
      <c r="AG28" s="1195">
        <f>(AG10*100/AG6)</f>
        <v>24.120098896331026</v>
      </c>
      <c r="AH28" s="1195">
        <f>(AH10*100/AH6)</f>
        <v>23.819233587682533</v>
      </c>
      <c r="AI28" s="1195">
        <f>(AI10*100/AI6)</f>
        <v>24.249430561199603</v>
      </c>
      <c r="AJ28" s="1195">
        <f>(AJ10*100/AJ6)</f>
        <v>23.452255751028417</v>
      </c>
      <c r="AK28" s="1195">
        <f>(AK10*100/AK6)</f>
        <v>20.546029906237209</v>
      </c>
      <c r="AL28" s="1195">
        <f>(AL10*100/AL6)</f>
        <v>22.476863170322027</v>
      </c>
      <c r="AM28" s="1195">
        <f>(AM10*100/AM6)</f>
        <v>22.055853709562417</v>
      </c>
      <c r="AN28" s="1195">
        <f>(AN10*100/AN6)</f>
        <v>21.12459891578434</v>
      </c>
      <c r="AO28" s="1195">
        <f>(AO10*100/AO6)</f>
        <v>24.292889814693542</v>
      </c>
      <c r="AP28" s="1195">
        <v>23.487801794068567</v>
      </c>
      <c r="AQ28" s="1195">
        <v>21.289574291680836</v>
      </c>
      <c r="AR28" s="1195">
        <v>22.835057903199161</v>
      </c>
      <c r="AS28" s="1195">
        <v>23.181684274421251</v>
      </c>
    </row>
    <row r="29" spans="1:45" s="1186" customFormat="1" ht="21" customHeight="1">
      <c r="A29" s="1199" t="s">
        <v>33</v>
      </c>
      <c r="B29" s="1195">
        <f>B11*100/$B$6</f>
        <v>15.391416764149602</v>
      </c>
      <c r="C29" s="1195">
        <f>C11*100/$C$6</f>
        <v>19.140630744201157</v>
      </c>
      <c r="D29" s="1196" t="s">
        <v>206</v>
      </c>
      <c r="E29" s="1195">
        <f>E11*100/$E$6</f>
        <v>16.754281980018177</v>
      </c>
      <c r="F29" s="1195">
        <f>(F11*100/F6)</f>
        <v>17.179055937107712</v>
      </c>
      <c r="G29" s="1195">
        <f>(G11*100/G6)</f>
        <v>18.024237009539419</v>
      </c>
      <c r="H29" s="1195">
        <v>15.1</v>
      </c>
      <c r="I29" s="1195">
        <f>(I11*100/I6)</f>
        <v>15.20057276975896</v>
      </c>
      <c r="J29" s="1195">
        <f>(J11*100/J6)</f>
        <v>16.598040210564438</v>
      </c>
      <c r="K29" s="1195">
        <f>(K11*100/K6)</f>
        <v>17.194993410668406</v>
      </c>
      <c r="L29" s="1195">
        <f>(L11*100/L6)</f>
        <v>17.468850159307394</v>
      </c>
      <c r="M29" s="1195">
        <f>(M11*100/M6)</f>
        <v>17.539942731085443</v>
      </c>
      <c r="N29" s="1195">
        <f>(N11*100/N6)</f>
        <v>19.918969309842282</v>
      </c>
      <c r="O29" s="1195">
        <f>(O11*100/O6)</f>
        <v>20.102091701437367</v>
      </c>
      <c r="P29" s="1195">
        <f>(P11*100/P6)</f>
        <v>19.03054915459375</v>
      </c>
      <c r="Q29" s="1195">
        <f>(Q11*100/Q6)</f>
        <v>19.559449620534338</v>
      </c>
      <c r="R29" s="1195">
        <f>(R11*100/R6)</f>
        <v>16.920610314843174</v>
      </c>
      <c r="S29" s="1195">
        <f>(S11*100/S6)</f>
        <v>17.408249141098977</v>
      </c>
      <c r="T29" s="1195">
        <f>(T11*100/T6)</f>
        <v>17.564313143878685</v>
      </c>
      <c r="U29" s="1195">
        <f>(U11*100/U6)</f>
        <v>15.564936091860538</v>
      </c>
      <c r="V29" s="1195">
        <f>(V11*100/V6)</f>
        <v>15.901131386432757</v>
      </c>
      <c r="W29" s="1195">
        <f>(W11*100/W6)</f>
        <v>16.618069514258973</v>
      </c>
      <c r="X29" s="1195">
        <f>(X11*100/X6)</f>
        <v>17.815689131905803</v>
      </c>
      <c r="Y29" s="1195">
        <f>(Y11*100/Y6)</f>
        <v>17.589480448177579</v>
      </c>
      <c r="Z29" s="1195">
        <f>(Z11*100/Z6)</f>
        <v>17.98988914301426</v>
      </c>
      <c r="AA29" s="1195">
        <f>(AA11*100/AA6)</f>
        <v>16.984469787443391</v>
      </c>
      <c r="AB29" s="1195">
        <f>(AB11*100/AB6)</f>
        <v>16.839296705234879</v>
      </c>
      <c r="AC29" s="1195">
        <f>(AC11*100/AC6)</f>
        <v>16.984469787443391</v>
      </c>
      <c r="AD29" s="1195">
        <f>(AD11*100/AD6)</f>
        <v>17.285342466083655</v>
      </c>
      <c r="AE29" s="1195">
        <f>(AE11*100/AE6)</f>
        <v>16.241091556258652</v>
      </c>
      <c r="AF29" s="1195">
        <f>(AF11*100/AF6)</f>
        <v>15.717036056556942</v>
      </c>
      <c r="AG29" s="1195">
        <f>(AG11*100/AG6)</f>
        <v>18.322603749704435</v>
      </c>
      <c r="AH29" s="1195">
        <f>(AH11*100/AH6)</f>
        <v>17.590374309059349</v>
      </c>
      <c r="AI29" s="1195">
        <f>(AI11*100/AI6)</f>
        <v>14.534601041556058</v>
      </c>
      <c r="AJ29" s="1195">
        <f>(AJ11*100/AJ6)</f>
        <v>16.437005072275891</v>
      </c>
      <c r="AK29" s="1195">
        <f>(AK11*100/AK6)</f>
        <v>17.317179183282782</v>
      </c>
      <c r="AL29" s="1195">
        <f>(AL11*100/AL6)</f>
        <v>17.819517949991177</v>
      </c>
      <c r="AM29" s="1195">
        <f>(AM11*100/AM6)</f>
        <v>17.720253267241343</v>
      </c>
      <c r="AN29" s="1195">
        <f>(AN11*100/AN6)</f>
        <v>19.578749922703256</v>
      </c>
      <c r="AO29" s="1195">
        <f>(AO11*100/AO6)</f>
        <v>16.526586341897211</v>
      </c>
      <c r="AP29" s="1195">
        <v>15.527223574709225</v>
      </c>
      <c r="AQ29" s="1195">
        <v>16.729195093785272</v>
      </c>
      <c r="AR29" s="1195">
        <v>17.788005494424524</v>
      </c>
      <c r="AS29" s="1195">
        <v>19.274536270589273</v>
      </c>
    </row>
    <row r="30" spans="1:45" s="1186" customFormat="1" ht="21" customHeight="1">
      <c r="A30" s="1186" t="s">
        <v>32</v>
      </c>
      <c r="B30" s="1195">
        <f>B12*100/$B$6</f>
        <v>16.936270758399022</v>
      </c>
      <c r="C30" s="1195">
        <f>C12*100/$C$6</f>
        <v>13.793903242754034</v>
      </c>
      <c r="D30" s="1196" t="s">
        <v>206</v>
      </c>
      <c r="E30" s="1195">
        <f>E12*100/$E$6</f>
        <v>12.799918698820941</v>
      </c>
      <c r="F30" s="1195">
        <f>(F12*100/F6)</f>
        <v>15.708739571555281</v>
      </c>
      <c r="G30" s="1195">
        <f>(G12*100/G6)</f>
        <v>15.846261491542078</v>
      </c>
      <c r="H30" s="1195">
        <f>(H12*100/H6)</f>
        <v>14.722961050551412</v>
      </c>
      <c r="I30" s="1195">
        <f>(I12*100/I6)</f>
        <v>13.892109570403889</v>
      </c>
      <c r="J30" s="1195">
        <v>16.7</v>
      </c>
      <c r="K30" s="1195">
        <f>(K12*100/K6)</f>
        <v>16.605623843886214</v>
      </c>
      <c r="L30" s="1195">
        <f>(L12*100/L6)</f>
        <v>16.787386918192492</v>
      </c>
      <c r="M30" s="1195">
        <f>(M12*100/M6)</f>
        <v>17.110983701649594</v>
      </c>
      <c r="N30" s="1195">
        <f>(N12*100/N6)</f>
        <v>16.159177214558387</v>
      </c>
      <c r="O30" s="1195">
        <f>(O12*100/O6)</f>
        <v>15.777076038810026</v>
      </c>
      <c r="P30" s="1195">
        <f>(P12*100/P6)</f>
        <v>17.944393111717655</v>
      </c>
      <c r="Q30" s="1195">
        <f>(Q12*100/Q6)</f>
        <v>15.495571956184214</v>
      </c>
      <c r="R30" s="1195">
        <f>(R12*100/R6)</f>
        <v>16.758847664829805</v>
      </c>
      <c r="S30" s="1195">
        <f>(S12*100/S6)</f>
        <v>16.812890472458591</v>
      </c>
      <c r="T30" s="1195">
        <f>(T12*100/T6)</f>
        <v>15.503047348479457</v>
      </c>
      <c r="U30" s="1195">
        <f>(U12*100/U6)</f>
        <v>17.624723949596444</v>
      </c>
      <c r="V30" s="1195">
        <f>(V12*100/V6)</f>
        <v>16.299127534904475</v>
      </c>
      <c r="W30" s="1195">
        <f>(W12*100/W6)</f>
        <v>16.780795213347844</v>
      </c>
      <c r="X30" s="1195">
        <f>(X12*100/X6)</f>
        <v>15.386323089123781</v>
      </c>
      <c r="Y30" s="1195">
        <f>(Y12*100/Y6)</f>
        <v>15.975122992666853</v>
      </c>
      <c r="Z30" s="1195">
        <f>(Z12*100/Z6)</f>
        <v>16.116417019734293</v>
      </c>
      <c r="AA30" s="1195">
        <f>(AA12*100/AA6)</f>
        <v>15.987773230268671</v>
      </c>
      <c r="AB30" s="1195">
        <f>(AB12*100/AB6)</f>
        <v>15.916997977056457</v>
      </c>
      <c r="AC30" s="1195">
        <f>(AC12*100/AC6)</f>
        <v>15.987773230268671</v>
      </c>
      <c r="AD30" s="1195">
        <f>(AD12*100/AD6)</f>
        <v>17.011729594948488</v>
      </c>
      <c r="AE30" s="1195">
        <f>(AE12*100/AE6)</f>
        <v>17.337868301364445</v>
      </c>
      <c r="AF30" s="1195">
        <f>(AF12*100/AF6)</f>
        <v>16.895317943659013</v>
      </c>
      <c r="AG30" s="1195">
        <f>(AG12*100/AG6)</f>
        <v>15.102121710438215</v>
      </c>
      <c r="AH30" s="1195">
        <f>(AH12*100/AH6)</f>
        <v>18.486069568846563</v>
      </c>
      <c r="AI30" s="1195">
        <f>(AI12*100/AI6)</f>
        <v>20.22507702293483</v>
      </c>
      <c r="AJ30" s="1195">
        <f>(AJ12*100/AJ6)</f>
        <v>17.153186117058556</v>
      </c>
      <c r="AK30" s="1195">
        <f>(AK12*100/AK6)</f>
        <v>18.602211576296373</v>
      </c>
      <c r="AL30" s="1195">
        <f>(AL12*100/AL6)</f>
        <v>20.336848932272996</v>
      </c>
      <c r="AM30" s="1195">
        <f>(AM12*100/AM6)</f>
        <v>20.66510402657342</v>
      </c>
      <c r="AN30" s="1195">
        <f>(AN12*100/AN6)</f>
        <v>19.83056553733261</v>
      </c>
      <c r="AO30" s="1195">
        <f>(AO12*100/AO6)</f>
        <v>20.126685447858002</v>
      </c>
      <c r="AP30" s="1195">
        <v>22.550697485561436</v>
      </c>
      <c r="AQ30" s="1195">
        <v>20.424734635304574</v>
      </c>
      <c r="AR30" s="1195">
        <v>19.281753686282631</v>
      </c>
      <c r="AS30" s="1195">
        <v>19.231793839004993</v>
      </c>
    </row>
    <row r="31" spans="1:45" s="1186" customFormat="1" ht="21" customHeight="1">
      <c r="A31" s="1197" t="s">
        <v>31</v>
      </c>
      <c r="B31" s="1195">
        <f>B13*100/$B$6</f>
        <v>12.91544129705146</v>
      </c>
      <c r="C31" s="1195">
        <f>C13*100/$C$6</f>
        <v>11.558452322545543</v>
      </c>
      <c r="D31" s="1196" t="s">
        <v>206</v>
      </c>
      <c r="E31" s="1195">
        <f>E13*100/$E$6</f>
        <v>10.624147350668579</v>
      </c>
      <c r="F31" s="1195">
        <f>(F13*100/F6)</f>
        <v>12.799541906612927</v>
      </c>
      <c r="G31" s="1195">
        <f>(G13*100/G6)</f>
        <v>12.979109676362757</v>
      </c>
      <c r="H31" s="1195">
        <f>(H13*100/H6)</f>
        <v>12.978429910116658</v>
      </c>
      <c r="I31" s="1195">
        <f>(I13*100/I6)</f>
        <v>11.954626913538952</v>
      </c>
      <c r="J31" s="1195">
        <f>(J13*100/J6)</f>
        <v>13.546257097619966</v>
      </c>
      <c r="K31" s="1195">
        <f>(K13*100/K6)</f>
        <v>14.114457549938106</v>
      </c>
      <c r="L31" s="1195">
        <f>(L13*100/L6)</f>
        <v>13.672304605947359</v>
      </c>
      <c r="M31" s="1195">
        <f>(M13*100/M6)</f>
        <v>13.837351478441649</v>
      </c>
      <c r="N31" s="1195">
        <f>(N13*100/N6)</f>
        <v>13.094751097692468</v>
      </c>
      <c r="O31" s="1195">
        <f>(O13*100/O6)</f>
        <v>12.664590744369278</v>
      </c>
      <c r="P31" s="1195">
        <f>(P13*100/P6)</f>
        <v>14.427983240663522</v>
      </c>
      <c r="Q31" s="1195">
        <f>(Q13*100/Q6)</f>
        <v>13.433852593298688</v>
      </c>
      <c r="R31" s="1195">
        <f>(R13*100/R6)</f>
        <v>14.250526225089756</v>
      </c>
      <c r="S31" s="1195">
        <f>(S13*100/S6)</f>
        <v>13.305673224887496</v>
      </c>
      <c r="T31" s="1195">
        <f>(T13*100/T6)</f>
        <v>12.896005852730942</v>
      </c>
      <c r="U31" s="1195">
        <f>(U13*100/U6)</f>
        <v>14.348337484679556</v>
      </c>
      <c r="V31" s="1195">
        <f>(V13*100/V6)</f>
        <v>13.640193280961944</v>
      </c>
      <c r="W31" s="1195">
        <f>(W13*100/W6)</f>
        <v>14.351794097859836</v>
      </c>
      <c r="X31" s="1195">
        <f>(X13*100/X6)</f>
        <v>12.52502705395017</v>
      </c>
      <c r="Y31" s="1195">
        <f>(Y13*100/Y6)</f>
        <v>13.870162054576578</v>
      </c>
      <c r="Z31" s="1195">
        <f>(Z13*100/Z6)</f>
        <v>13.508090872733181</v>
      </c>
      <c r="AA31" s="1195">
        <f>(AA13*100/AA6)</f>
        <v>13.510461029001979</v>
      </c>
      <c r="AB31" s="1195">
        <f>(AB13*100/AB6)</f>
        <v>13.270979238936135</v>
      </c>
      <c r="AC31" s="1195">
        <f>(AC13*100/AC6)</f>
        <v>13.510461029001979</v>
      </c>
      <c r="AD31" s="1195">
        <f>(AD13*100/AD6)</f>
        <v>13.821266911967369</v>
      </c>
      <c r="AE31" s="1195">
        <f>(AE13*100/AE6)</f>
        <v>14.370179948586118</v>
      </c>
      <c r="AF31" s="1195">
        <f>(AF13*100/AF6)</f>
        <v>14.109192890496397</v>
      </c>
      <c r="AG31" s="1195">
        <f>(AG13*100/AG6)</f>
        <v>11.990070575739791</v>
      </c>
      <c r="AH31" s="1195">
        <f>(AH13*100/AH6)</f>
        <v>15.489122082762437</v>
      </c>
      <c r="AI31" s="1195">
        <f>(AI13*100/AI6)</f>
        <v>16.499953295240346</v>
      </c>
      <c r="AJ31" s="1195">
        <f>(AJ13*100/AJ6)</f>
        <v>13.35940379024335</v>
      </c>
      <c r="AK31" s="1195">
        <f>(AK13*100/AK6)</f>
        <v>16.322468630277868</v>
      </c>
      <c r="AL31" s="1195">
        <f>(AL13*100/AL6)</f>
        <v>16.347915088531785</v>
      </c>
      <c r="AM31" s="1195">
        <f>(AM13*100/AM6)</f>
        <v>14.544849051528697</v>
      </c>
      <c r="AN31" s="1195">
        <f>(AN13*100/AN6)</f>
        <v>15.995101104141044</v>
      </c>
      <c r="AO31" s="1195">
        <f>(AO13*100/AO6)</f>
        <v>17.402606286554708</v>
      </c>
      <c r="AP31" s="1195">
        <v>18.860604398442078</v>
      </c>
      <c r="AQ31" s="1195">
        <v>17.403180842490471</v>
      </c>
      <c r="AR31" s="1195">
        <v>15.914751102724177</v>
      </c>
      <c r="AS31" s="1195">
        <v>16.957837114232859</v>
      </c>
    </row>
    <row r="32" spans="1:45" s="1186" customFormat="1" ht="21" customHeight="1">
      <c r="A32" s="1197" t="s">
        <v>30</v>
      </c>
      <c r="B32" s="1195">
        <f>B14*100/$B$6</f>
        <v>4.0208294613475601</v>
      </c>
      <c r="C32" s="1195">
        <f>C14*100/$C$6</f>
        <v>2.2354509202084922</v>
      </c>
      <c r="D32" s="1196" t="s">
        <v>206</v>
      </c>
      <c r="E32" s="1195">
        <f>E14*100/$E$6</f>
        <v>2.17577134815236</v>
      </c>
      <c r="F32" s="1195">
        <f>(F14*100/F6)</f>
        <v>2.9091976649423539</v>
      </c>
      <c r="G32" s="1195">
        <f>(G14*100/G6)</f>
        <v>2.8671518151793212</v>
      </c>
      <c r="H32" s="1195">
        <f>(H14*100/H$6)</f>
        <v>1.7306368330464716</v>
      </c>
      <c r="I32" s="1195">
        <f>(I14*100/I$6)</f>
        <v>1.8943244805828923</v>
      </c>
      <c r="J32" s="1195">
        <f>(J14*100/J6)</f>
        <v>3.208057896025557</v>
      </c>
      <c r="K32" s="1195">
        <f>(K14*100/K$6)</f>
        <v>2.46475981238705</v>
      </c>
      <c r="L32" s="1195">
        <f>(L14*100/L6)</f>
        <v>3.1150823122451348</v>
      </c>
      <c r="M32" s="1195">
        <f>(M14*100/M6)</f>
        <v>3.2736322232079451</v>
      </c>
      <c r="N32" s="1195">
        <f>(N14*100/N6)</f>
        <v>3.0644261168659175</v>
      </c>
      <c r="O32" s="1195">
        <f>(O14*100/O6)</f>
        <v>3.1124852944407495</v>
      </c>
      <c r="P32" s="1195">
        <f>(P14*100/P6)</f>
        <v>3.1057411105123451</v>
      </c>
      <c r="Q32" s="1195">
        <f>(Q14*100/Q6)</f>
        <v>2.0177726177779065</v>
      </c>
      <c r="R32" s="1195">
        <f>(R14*100/R6)</f>
        <v>2.5083214397400484</v>
      </c>
      <c r="S32" s="1195">
        <f>(S14*100/S6)</f>
        <v>3.5072172475710954</v>
      </c>
      <c r="T32" s="1195">
        <f>(T14*100/T6)</f>
        <v>2.6070414957485148</v>
      </c>
      <c r="U32" s="1195">
        <f>(U14*100/U6)</f>
        <v>3.2763864649168886</v>
      </c>
      <c r="V32" s="1195">
        <f>(V14*100/V6)</f>
        <v>2.6589342539425322</v>
      </c>
      <c r="W32" s="1195">
        <f>(W14*100/W6)</f>
        <v>2.4290011154880071</v>
      </c>
      <c r="X32" s="1195">
        <f>(X14*100/X6)</f>
        <v>2.8612960351736119</v>
      </c>
      <c r="Y32" s="1195">
        <f>(Y14*100/Y6)</f>
        <v>2.1049609380902732</v>
      </c>
      <c r="Z32" s="1195">
        <f>(Z14*100/Z6)</f>
        <v>2.6083261470011125</v>
      </c>
      <c r="AA32" s="1195">
        <f>(AA14*100/AA6)</f>
        <v>2.4773122012666913</v>
      </c>
      <c r="AB32" s="1195">
        <f>(AB14*100/AB6)</f>
        <v>2.6460187381203224</v>
      </c>
      <c r="AC32" s="1195">
        <f>(AC14*100/AC6)</f>
        <v>2.4773122012666913</v>
      </c>
      <c r="AD32" s="1195">
        <f>(AD14*100/AD6)</f>
        <v>3.1904626829811189</v>
      </c>
      <c r="AE32" s="1195">
        <f>(AE14*100/AE6)</f>
        <v>2.9676883527783269</v>
      </c>
      <c r="AF32" s="1195">
        <f>(AF14*100/AF6)</f>
        <v>2.7861250531626154</v>
      </c>
      <c r="AG32" s="1195">
        <f>(AG14*100/AG6)</f>
        <v>3.112051134698425</v>
      </c>
      <c r="AH32" s="1195">
        <f>(AH14*100/AH6)</f>
        <v>2.9797194663681554</v>
      </c>
      <c r="AI32" s="1195">
        <f>(AI14*100/AI6)</f>
        <v>3.7251237276944855</v>
      </c>
      <c r="AJ32" s="1195">
        <f>(AJ14*100/AJ6)</f>
        <v>3.7937823268152062</v>
      </c>
      <c r="AK32" s="1195">
        <f>(AK14*100/AK6)</f>
        <v>2.2797429460185055</v>
      </c>
      <c r="AL32" s="1195">
        <f>(AL14*100/AL6)</f>
        <v>3.9516075230270462</v>
      </c>
      <c r="AM32" s="1195">
        <f>(AM14*100/AM6)</f>
        <v>6.1202549750447233</v>
      </c>
      <c r="AN32" s="1195">
        <f>(AN14*100/AN6)</f>
        <v>3.8354644331915653</v>
      </c>
      <c r="AO32" s="1195">
        <f>(AO14*100/AO6)</f>
        <v>2.7240791613032935</v>
      </c>
      <c r="AP32" s="1195">
        <v>3.6900930871193571</v>
      </c>
      <c r="AQ32" s="1195">
        <v>3.0215537928141032</v>
      </c>
      <c r="AR32" s="1195">
        <v>3.3670025835584543</v>
      </c>
      <c r="AS32" s="1195">
        <v>2.2739567247721331</v>
      </c>
    </row>
    <row r="33" spans="1:45" s="1186" customFormat="1" ht="21" customHeight="1">
      <c r="A33" s="1198" t="s">
        <v>100</v>
      </c>
      <c r="B33" s="1195">
        <f>B15*100/$B$6</f>
        <v>0</v>
      </c>
      <c r="C33" s="1195">
        <f>C15*100/$C$6</f>
        <v>0</v>
      </c>
      <c r="D33" s="1196" t="s">
        <v>206</v>
      </c>
      <c r="E33" s="1195">
        <f>E15*100/$E$6</f>
        <v>0</v>
      </c>
      <c r="F33" s="1195">
        <f>(F15*100/F6)</f>
        <v>0</v>
      </c>
      <c r="G33" s="1195">
        <f>(G15*100/G6)</f>
        <v>0</v>
      </c>
      <c r="H33" s="1195">
        <f>(H15*100/H$6)</f>
        <v>1.3894307388283293E-2</v>
      </c>
      <c r="I33" s="1195">
        <f>(I15*100/I$6)</f>
        <v>4.3220815144573627E-2</v>
      </c>
      <c r="J33" s="1195">
        <f>(0*100/J6)</f>
        <v>0</v>
      </c>
      <c r="K33" s="1195">
        <f>(K15*100/K$6)</f>
        <v>2.6406481561059809E-2</v>
      </c>
      <c r="L33" s="1195">
        <f>(L15*100/L6)</f>
        <v>0</v>
      </c>
      <c r="M33" s="1195">
        <f>(M15*100/M6)</f>
        <v>0</v>
      </c>
      <c r="N33" s="1195">
        <f>(N15*100/N6)</f>
        <v>0</v>
      </c>
      <c r="O33" s="1195">
        <f>(O15*100/O6)</f>
        <v>0</v>
      </c>
      <c r="P33" s="1195">
        <f>(P15*100/P6)</f>
        <v>0.41066876054179019</v>
      </c>
      <c r="Q33" s="1195">
        <f>(Q15*100/Q6)</f>
        <v>4.3946745107619159E-2</v>
      </c>
      <c r="R33" s="1195">
        <f>(R15*100/R6)</f>
        <v>0</v>
      </c>
      <c r="S33" s="1195">
        <f>(S15*100/S6)</f>
        <v>0</v>
      </c>
      <c r="T33" s="1195">
        <f>(T15*100/T6)</f>
        <v>0</v>
      </c>
      <c r="U33" s="1195">
        <f>(U15*100/U6)</f>
        <v>0</v>
      </c>
      <c r="V33" s="1195" t="s">
        <v>8</v>
      </c>
      <c r="W33" s="1195" t="s">
        <v>8</v>
      </c>
      <c r="X33" s="1195" t="s">
        <v>8</v>
      </c>
      <c r="Y33" s="1195" t="s">
        <v>8</v>
      </c>
      <c r="Z33" s="1195" t="s">
        <v>8</v>
      </c>
      <c r="AA33" s="1195" t="s">
        <v>8</v>
      </c>
      <c r="AB33" s="1195" t="s">
        <v>8</v>
      </c>
      <c r="AC33" s="1195" t="s">
        <v>8</v>
      </c>
      <c r="AD33" s="1195" t="s">
        <v>8</v>
      </c>
      <c r="AE33" s="1195" t="s">
        <v>8</v>
      </c>
      <c r="AF33" s="1195" t="s">
        <v>8</v>
      </c>
      <c r="AG33" s="1195" t="s">
        <v>8</v>
      </c>
      <c r="AH33" s="1195" t="s">
        <v>8</v>
      </c>
      <c r="AI33" s="1195" t="s">
        <v>8</v>
      </c>
      <c r="AJ33" s="1195" t="s">
        <v>8</v>
      </c>
      <c r="AK33" s="1195" t="s">
        <v>8</v>
      </c>
      <c r="AL33" s="1195" t="s">
        <v>8</v>
      </c>
      <c r="AM33" s="1195" t="s">
        <v>8</v>
      </c>
      <c r="AN33" s="1195" t="s">
        <v>8</v>
      </c>
      <c r="AO33" s="1195" t="s">
        <v>8</v>
      </c>
      <c r="AP33" s="1195">
        <v>0</v>
      </c>
      <c r="AQ33" s="1195">
        <v>0</v>
      </c>
      <c r="AR33" s="1195" t="s">
        <v>8</v>
      </c>
      <c r="AS33" s="1195">
        <v>0</v>
      </c>
    </row>
    <row r="34" spans="1:45" s="1186" customFormat="1" ht="21" customHeight="1">
      <c r="A34" s="1186" t="s">
        <v>28</v>
      </c>
      <c r="B34" s="1195">
        <f>B16*100/$B$6</f>
        <v>12.739152062447387</v>
      </c>
      <c r="C34" s="1195">
        <v>12.5</v>
      </c>
      <c r="D34" s="1196" t="s">
        <v>206</v>
      </c>
      <c r="E34" s="1195">
        <f>E16*100/$E$6</f>
        <v>12.956796527719264</v>
      </c>
      <c r="F34" s="1195">
        <f>(F16*100/F6)</f>
        <v>15.43032459129221</v>
      </c>
      <c r="G34" s="1195">
        <f>(G16*100/G6)</f>
        <v>14.064269417868386</v>
      </c>
      <c r="H34" s="1195">
        <f>(H16*100/H6)</f>
        <v>13.917431631287053</v>
      </c>
      <c r="I34" s="1195">
        <f>(I16*100/I6)</f>
        <v>13.5509783250744</v>
      </c>
      <c r="J34" s="1195">
        <f>(J16*100/J6)</f>
        <v>16.904639547150143</v>
      </c>
      <c r="K34" s="1195">
        <f>(K16*100/K6)</f>
        <v>13.061293910024281</v>
      </c>
      <c r="L34" s="1195">
        <f>(L16*100/L6)</f>
        <v>13.875277730577828</v>
      </c>
      <c r="M34" s="1195">
        <f>(M16*100/M6)</f>
        <v>15.539592390474208</v>
      </c>
      <c r="N34" s="1195">
        <f>(N16*100/N6)</f>
        <v>14.543086549583904</v>
      </c>
      <c r="O34" s="1195">
        <f>(O16*100/O6)</f>
        <v>15.57267958425628</v>
      </c>
      <c r="P34" s="1195">
        <f>(P16*100/P6)</f>
        <v>14.273943382850312</v>
      </c>
      <c r="Q34" s="1195">
        <f>(Q16*100/Q6)</f>
        <v>13.534841961712186</v>
      </c>
      <c r="R34" s="1195">
        <f>(R16*100/R6)</f>
        <v>14.739222824649154</v>
      </c>
      <c r="S34" s="1195">
        <f>(S16*100/S6)</f>
        <v>13.449765482061652</v>
      </c>
      <c r="T34" s="1195">
        <f>(T16*100/T6)</f>
        <v>13.598774797958376</v>
      </c>
      <c r="U34" s="1195">
        <f>(U16*100/U6)</f>
        <v>13.902632574794833</v>
      </c>
      <c r="V34" s="1195">
        <f>(V16*100/V6)</f>
        <v>14.283606932750907</v>
      </c>
      <c r="W34" s="1195">
        <f>(W16*100/W6)</f>
        <v>12.868974380257688</v>
      </c>
      <c r="X34" s="1195">
        <f>(X16*100/X6)</f>
        <v>11.165352059997739</v>
      </c>
      <c r="Y34" s="1195">
        <f>(Y16*100/Y6)</f>
        <v>12.287969421112356</v>
      </c>
      <c r="Z34" s="1195">
        <f>(Z16*100/Z6)</f>
        <v>14.046181557996826</v>
      </c>
      <c r="AA34" s="1195">
        <f>(AA16*100/AA6)</f>
        <v>13.934884933782802</v>
      </c>
      <c r="AB34" s="1195">
        <f>(AB16*100/AB6)</f>
        <v>14.040212109287127</v>
      </c>
      <c r="AC34" s="1195">
        <f>(AC16*100/AC6)</f>
        <v>13.934884933782802</v>
      </c>
      <c r="AD34" s="1195">
        <f>(AD16*100/AD6)</f>
        <v>15.910608545560761</v>
      </c>
      <c r="AE34" s="1195">
        <f>(AE16*100/AE6)</f>
        <v>15.29222859402808</v>
      </c>
      <c r="AF34" s="1195">
        <f>(AF16*100/AF6)</f>
        <v>14.793493997674434</v>
      </c>
      <c r="AG34" s="1195">
        <f>(AG16*100/AG6)</f>
        <v>15.149488492320689</v>
      </c>
      <c r="AH34" s="1195">
        <f>(AH16*100/AH6)</f>
        <v>14.480676308965526</v>
      </c>
      <c r="AI34" s="1195">
        <f>(AI16*100/AI6)</f>
        <v>14.434405360588688</v>
      </c>
      <c r="AJ34" s="1195">
        <f>(AJ16*100/AJ6)</f>
        <v>15.060343388384927</v>
      </c>
      <c r="AK34" s="1195">
        <f>(AK16*100/AK6)</f>
        <v>14.950901802813913</v>
      </c>
      <c r="AL34" s="1195">
        <f>(AL16*100/AL6)</f>
        <v>17.752550139298112</v>
      </c>
      <c r="AM34" s="1195">
        <f>(AM16*100/AM6)</f>
        <v>16.117394404382225</v>
      </c>
      <c r="AN34" s="1195">
        <f>(AN16*100/AN6)</f>
        <v>17.230217186673354</v>
      </c>
      <c r="AO34" s="1195">
        <f>(AO16*100/AO6)</f>
        <v>15.442927730231572</v>
      </c>
      <c r="AP34" s="1195">
        <v>18.38421632826789</v>
      </c>
      <c r="AQ34" s="1195">
        <v>16.365907680968686</v>
      </c>
      <c r="AR34" s="1195">
        <v>14.40595606787212</v>
      </c>
      <c r="AS34" s="1195">
        <v>14.033690831228986</v>
      </c>
    </row>
    <row r="35" spans="1:45" s="1186" customFormat="1" ht="21" customHeight="1">
      <c r="A35" s="1198" t="s">
        <v>27</v>
      </c>
      <c r="B35" s="1195">
        <f>B17*100/$B$6</f>
        <v>5.4808869671692051</v>
      </c>
      <c r="C35" s="1195">
        <f>C17*100/$C$6</f>
        <v>6.4633834957361733</v>
      </c>
      <c r="D35" s="1196" t="s">
        <v>206</v>
      </c>
      <c r="E35" s="1195">
        <f>E17*100/$E$6</f>
        <v>6.3855515455264094</v>
      </c>
      <c r="F35" s="1195">
        <f>(F17*100/F6)</f>
        <v>7.3838477767307111</v>
      </c>
      <c r="G35" s="1195">
        <f>(G17*100/G6)</f>
        <v>6.7381096783599839</v>
      </c>
      <c r="H35" s="1195">
        <f>(H17*100/H6)</f>
        <v>5.9258615414037097</v>
      </c>
      <c r="I35" s="1195">
        <f>(I17*100/I6)</f>
        <v>6.6891414905418447</v>
      </c>
      <c r="J35" s="1195">
        <f>(J17*100/J6)</f>
        <v>10.429789581113406</v>
      </c>
      <c r="K35" s="1195">
        <f>(K17*100/K6)</f>
        <v>8.4391604900152277</v>
      </c>
      <c r="L35" s="1195">
        <f>(L17*100/L6)</f>
        <v>7.2503322499762364</v>
      </c>
      <c r="M35" s="1195">
        <f>(M17*100/M6)</f>
        <v>8.5687300207295483</v>
      </c>
      <c r="N35" s="1195">
        <f>(N17*100/N6)</f>
        <v>8.0910960029427006</v>
      </c>
      <c r="O35" s="1195">
        <f>(O17*100/O6)</f>
        <v>7.7195946958121366</v>
      </c>
      <c r="P35" s="1195">
        <f>(P17*100/P6)</f>
        <v>7.775511913707672</v>
      </c>
      <c r="Q35" s="1195">
        <f>(Q17*100/Q6)</f>
        <v>8.5312091147312259</v>
      </c>
      <c r="R35" s="1195">
        <f>(R17*100/R6)</f>
        <v>8.5277741875806203</v>
      </c>
      <c r="S35" s="1195">
        <f>(S17*100/S6)</f>
        <v>7.8220019428759704</v>
      </c>
      <c r="T35" s="1195">
        <f>(T17*100/T6)</f>
        <v>7.6585802572810424</v>
      </c>
      <c r="U35" s="1195">
        <f>(U17*100/U6)</f>
        <v>7.78532739154255</v>
      </c>
      <c r="V35" s="1195">
        <f>(V17*100/V6)</f>
        <v>8.644875588591022</v>
      </c>
      <c r="W35" s="1195">
        <f>(W17*100/W6)</f>
        <v>7.8101882543683319</v>
      </c>
      <c r="X35" s="1195">
        <f>(X17*100/X6)</f>
        <v>6.6707279003902284</v>
      </c>
      <c r="Y35" s="1195">
        <f>(Y17*100/Y6)</f>
        <v>6.886653901477783</v>
      </c>
      <c r="Z35" s="1195">
        <f>(Z17*100/Z6)</f>
        <v>8.0504886705910295</v>
      </c>
      <c r="AA35" s="1195">
        <f>(AA17*100/AA6)</f>
        <v>9.0421553197044311</v>
      </c>
      <c r="AB35" s="1195">
        <f>(AB17*100/AB6)</f>
        <v>8.6777233215775151</v>
      </c>
      <c r="AC35" s="1195">
        <f>(AC17*100/AC6)</f>
        <v>9.0421553197044311</v>
      </c>
      <c r="AD35" s="1195">
        <f>(AD17*100/AD6)</f>
        <v>10.200577118249777</v>
      </c>
      <c r="AE35" s="1195">
        <f>(AE17*100/AE6)</f>
        <v>8.7144947597389759</v>
      </c>
      <c r="AF35" s="1195">
        <f>(AF17*100/AF6)</f>
        <v>8.7393830859511858</v>
      </c>
      <c r="AG35" s="1195">
        <f>(AG17*100/AG6)</f>
        <v>8.2598025899452328</v>
      </c>
      <c r="AH35" s="1195">
        <f>(AH17*100/AH6)</f>
        <v>7.9970364570779662</v>
      </c>
      <c r="AI35" s="1195">
        <f>(AI17*100/AI6)</f>
        <v>8.1062696948382857</v>
      </c>
      <c r="AJ35" s="1195">
        <f>(AJ17*100/AJ6)</f>
        <v>9.2338809257653605</v>
      </c>
      <c r="AK35" s="1195">
        <f>(AK17*100/AK6)</f>
        <v>8.8056902130583872</v>
      </c>
      <c r="AL35" s="1195">
        <f>(AL17*100/AL6)</f>
        <v>8.8721793082132265</v>
      </c>
      <c r="AM35" s="1195">
        <f>(AM17*100/AM6)</f>
        <v>9.2724330647812518</v>
      </c>
      <c r="AN35" s="1195">
        <f>(AN17*100/AN6)</f>
        <v>8.9345588588939346</v>
      </c>
      <c r="AO35" s="1195">
        <f>(AO17*100/AO6)</f>
        <v>8.7181544935126478</v>
      </c>
      <c r="AP35" s="1195">
        <v>8.4252204118486187</v>
      </c>
      <c r="AQ35" s="1195">
        <v>8.1636438231104282</v>
      </c>
      <c r="AR35" s="1195">
        <v>7.1313665325636171</v>
      </c>
      <c r="AS35" s="1195">
        <v>6.6083806332261554</v>
      </c>
    </row>
    <row r="36" spans="1:45" s="1186" customFormat="1" ht="21" customHeight="1">
      <c r="A36" s="1198" t="s">
        <v>26</v>
      </c>
      <c r="B36" s="1195">
        <f>B18*100/$B$6</f>
        <v>4.8746023242847301</v>
      </c>
      <c r="C36" s="1195">
        <f>C18*100/$C$6</f>
        <v>3.9352331502318734</v>
      </c>
      <c r="D36" s="1196" t="s">
        <v>206</v>
      </c>
      <c r="E36" s="1195">
        <f>E18*100/$E$6</f>
        <v>4.6717947299598057</v>
      </c>
      <c r="F36" s="1195">
        <f>(F18*100/F6)</f>
        <v>5.1380407921913633</v>
      </c>
      <c r="G36" s="1195">
        <f>(G18*100/G6)</f>
        <v>5.1115684020124057</v>
      </c>
      <c r="H36" s="1195">
        <f>(H18*100/H6)</f>
        <v>5.3954643972716259</v>
      </c>
      <c r="I36" s="1195">
        <f>(I18*100/I6)</f>
        <v>4.7837925701539596</v>
      </c>
      <c r="J36" s="1195">
        <f>(J18*100/J6)</f>
        <v>4.0113429601655914</v>
      </c>
      <c r="K36" s="1195">
        <f>(K18*100/K6)</f>
        <v>2.6159094861020824</v>
      </c>
      <c r="L36" s="1195">
        <f>(L18*100/L6)</f>
        <v>4.2470286222233575</v>
      </c>
      <c r="M36" s="1195">
        <f>(M18*100/M6)</f>
        <v>5.2068598322781918</v>
      </c>
      <c r="N36" s="1195">
        <f>(N18*100/N6)</f>
        <v>5.0935857244437708</v>
      </c>
      <c r="O36" s="1195">
        <f>(O18*100/O6)</f>
        <v>5.993077152005049</v>
      </c>
      <c r="P36" s="1195">
        <f>(P18*100/P6)</f>
        <v>4.2758563778377656</v>
      </c>
      <c r="Q36" s="1195">
        <f>(Q18*100/Q6)</f>
        <v>3.6753456241508142</v>
      </c>
      <c r="R36" s="1195">
        <f>(R18*100/R6)</f>
        <v>4.6926729729943215</v>
      </c>
      <c r="S36" s="1195">
        <f>(S18*100/S6)</f>
        <v>3.827622962176723</v>
      </c>
      <c r="T36" s="1195">
        <f>(T18*100/T6)</f>
        <v>3.9826183000321671</v>
      </c>
      <c r="U36" s="1195">
        <f>(U18*100/U6)</f>
        <v>4.4889608079028074</v>
      </c>
      <c r="V36" s="1195">
        <f>(V18*100/V6)</f>
        <v>4.3614447928042175</v>
      </c>
      <c r="W36" s="1195">
        <f>(W18*100/W6)</f>
        <v>4.0515809465311614</v>
      </c>
      <c r="X36" s="1195">
        <f>(X18*100/X6)</f>
        <v>3.2703041863083042</v>
      </c>
      <c r="Y36" s="1195">
        <f>(Y18*100/Y6)</f>
        <v>3.7477414466398553</v>
      </c>
      <c r="Z36" s="1195">
        <f>(Z18*100/Z6)</f>
        <v>3.9914092085036184</v>
      </c>
      <c r="AA36" s="1195">
        <f>(AA18*100/AA6)</f>
        <v>3.7452038096806839</v>
      </c>
      <c r="AB36" s="1195">
        <f>(AB18*100/AB6)</f>
        <v>3.7612430755519459</v>
      </c>
      <c r="AC36" s="1195">
        <f>(AC18*100/AC6)</f>
        <v>3.7452038096806839</v>
      </c>
      <c r="AD36" s="1195">
        <f>(AD18*100/AD6)</f>
        <v>3.7070727119173874</v>
      </c>
      <c r="AE36" s="1195">
        <f>(AE18*100/AE6)</f>
        <v>4.5334387977061503</v>
      </c>
      <c r="AF36" s="1195">
        <f>(AF18*100/AF6)</f>
        <v>4.4149761750682579</v>
      </c>
      <c r="AG36" s="1195">
        <f>(AG18*100/AG6)</f>
        <v>5.4854406449840569</v>
      </c>
      <c r="AH36" s="1195">
        <f>(AH18*100/AH6)</f>
        <v>4.8229558105338421</v>
      </c>
      <c r="AI36" s="1195">
        <f>(AI18*100/AI6)</f>
        <v>4.9585285685430271</v>
      </c>
      <c r="AJ36" s="1195">
        <f>(AJ18*100/AJ6)</f>
        <v>4.5191185487736298</v>
      </c>
      <c r="AK36" s="1195">
        <f>(AK18*100/AK6)</f>
        <v>4.671909402484876</v>
      </c>
      <c r="AL36" s="1195">
        <f>(AL18*100/AL6)</f>
        <v>5.8200347759702939</v>
      </c>
      <c r="AM36" s="1195">
        <f>(AM18*100/AM6)</f>
        <v>5.165678275460146</v>
      </c>
      <c r="AN36" s="1195">
        <f>(AN18*100/AN6)</f>
        <v>6.1607222607751657</v>
      </c>
      <c r="AO36" s="1195">
        <f>(AO18*100/AO6)</f>
        <v>4.6694924656945718</v>
      </c>
      <c r="AP36" s="1195">
        <v>7.1710206458575607</v>
      </c>
      <c r="AQ36" s="1195">
        <v>5.563632972257059</v>
      </c>
      <c r="AR36" s="1195">
        <v>4.7717882552409936</v>
      </c>
      <c r="AS36" s="1195">
        <v>4.9236906605560824</v>
      </c>
    </row>
    <row r="37" spans="1:45" s="1186" customFormat="1" ht="21" customHeight="1">
      <c r="A37" s="1198" t="s">
        <v>25</v>
      </c>
      <c r="B37" s="1195">
        <f>B19*100/$B$6</f>
        <v>2.3836627709934515</v>
      </c>
      <c r="C37" s="1195">
        <f>C19*100/$C$6</f>
        <v>2.0513022751548387</v>
      </c>
      <c r="D37" s="1196" t="s">
        <v>206</v>
      </c>
      <c r="E37" s="1195">
        <f>E19*100/$E$6</f>
        <v>1.8994502522330488</v>
      </c>
      <c r="F37" s="1195">
        <f>(F19*100/F6)</f>
        <v>2.9084360223701347</v>
      </c>
      <c r="G37" s="1195">
        <f>(G19*100/G6)</f>
        <v>2.2145913374959973</v>
      </c>
      <c r="H37" s="1195">
        <f>(H19*100/H6)</f>
        <v>2.5961056926117165</v>
      </c>
      <c r="I37" s="1195">
        <f>(I19*100/I6)</f>
        <v>2.0780442643785944</v>
      </c>
      <c r="J37" s="1195">
        <f>(J19*100/J6)</f>
        <v>2.4635070058711444</v>
      </c>
      <c r="K37" s="1195">
        <f>(K19*100/K6)</f>
        <v>2.0062239339069703</v>
      </c>
      <c r="L37" s="1195">
        <f>(L19*100/L6)</f>
        <v>2.3779168583782346</v>
      </c>
      <c r="M37" s="1195">
        <f>(M19*100/M6)</f>
        <v>1.7640025374664683</v>
      </c>
      <c r="N37" s="1195">
        <f>(N19*100/N6)</f>
        <v>1.3584048221974336</v>
      </c>
      <c r="O37" s="1195">
        <f>(O19*100/O6)</f>
        <v>1.8600077364390941</v>
      </c>
      <c r="P37" s="1195">
        <f>(P19*100/P6)</f>
        <v>2.2225750913048752</v>
      </c>
      <c r="Q37" s="1195">
        <f>(Q19*100/Q6)</f>
        <v>1.3282872228301452</v>
      </c>
      <c r="R37" s="1195">
        <f>(R19*100/R6)</f>
        <v>1.5187756640742107</v>
      </c>
      <c r="S37" s="1195">
        <f>(S19*100/S6)</f>
        <v>1.8001405770089582</v>
      </c>
      <c r="T37" s="1195">
        <f>(T19*100/T6)</f>
        <v>1.9575762406451669</v>
      </c>
      <c r="U37" s="1195">
        <f>(U19*100/U6)</f>
        <v>1.6283443753494755</v>
      </c>
      <c r="V37" s="1195">
        <f>(V19*100/V6)</f>
        <v>1.2772865513556675</v>
      </c>
      <c r="W37" s="1195">
        <f>(W19*100/W6)</f>
        <v>1.0072051793581911</v>
      </c>
      <c r="X37" s="1195">
        <f>(X19*100/X6)</f>
        <v>1.2243199732992058</v>
      </c>
      <c r="Y37" s="1195">
        <f>(Y19*100/Y6)</f>
        <v>1.6535740729947177</v>
      </c>
      <c r="Z37" s="1195">
        <f>(Z19*100/Z6)</f>
        <v>2.0043617912089284</v>
      </c>
      <c r="AA37" s="1195">
        <f>(AA19*100/AA6)</f>
        <v>1.1475258043976877</v>
      </c>
      <c r="AB37" s="1195">
        <f>(AB19*100/AB6)</f>
        <v>1.6012457121576655</v>
      </c>
      <c r="AC37" s="1195">
        <f>(AC19*100/AC6)</f>
        <v>1.1475258043976877</v>
      </c>
      <c r="AD37" s="1195">
        <f>(AD19*100/AD6)</f>
        <v>2.0029587153935968</v>
      </c>
      <c r="AE37" s="1195">
        <f>(AE19*100/AE6)</f>
        <v>2.0442950365829544</v>
      </c>
      <c r="AF37" s="1195">
        <f>(AF19*100/AF6)</f>
        <v>1.6391347366549898</v>
      </c>
      <c r="AG37" s="1195">
        <f>(AG19*100/AG6)</f>
        <v>1.4042452573913988</v>
      </c>
      <c r="AH37" s="1195">
        <f>(AH19*100/AH6)</f>
        <v>1.6606840413537178</v>
      </c>
      <c r="AI37" s="1195">
        <f>(AI19*100/AI6)</f>
        <v>1.3696070972073746</v>
      </c>
      <c r="AJ37" s="1195">
        <f>(AJ19*100/AJ6)</f>
        <v>1.307343913845936</v>
      </c>
      <c r="AK37" s="1195">
        <f>(AK19*100/AK6)</f>
        <v>1.4733021872706502</v>
      </c>
      <c r="AL37" s="1195">
        <f>(AL19*100/AL6)</f>
        <v>3.0603360551145928</v>
      </c>
      <c r="AM37" s="1195">
        <f>(AM19*100/AM6)</f>
        <v>1.6792830641408254</v>
      </c>
      <c r="AN37" s="1195">
        <f>(AN19*100/AN6)</f>
        <v>2.134936067004253</v>
      </c>
      <c r="AO37" s="1195">
        <f>(AO19*100/AO6)</f>
        <v>2.0552807710243535</v>
      </c>
      <c r="AP37" s="1195">
        <v>2.7579752705617104</v>
      </c>
      <c r="AQ37" s="1195">
        <v>2.6386308856011986</v>
      </c>
      <c r="AR37" s="1195">
        <v>2.4728012800675092</v>
      </c>
      <c r="AS37" s="1195">
        <v>2.5016195374467483</v>
      </c>
    </row>
    <row r="38" spans="1:45" s="1186" customFormat="1" ht="21" customHeight="1">
      <c r="A38" s="1197" t="s">
        <v>24</v>
      </c>
      <c r="B38" s="1195">
        <f>B20*100/$B$6</f>
        <v>0</v>
      </c>
      <c r="C38" s="1195">
        <f>C20*100/$C$6</f>
        <v>0</v>
      </c>
      <c r="D38" s="1196" t="s">
        <v>206</v>
      </c>
      <c r="E38" s="1195">
        <f>E20*100/$E$6</f>
        <v>0</v>
      </c>
      <c r="F38" s="1195">
        <f>(F20*100/F6)</f>
        <v>0</v>
      </c>
      <c r="G38" s="1195">
        <f>(G20*100/G6)</f>
        <v>0</v>
      </c>
      <c r="H38" s="1195">
        <f>(H20*100/H6)</f>
        <v>0</v>
      </c>
      <c r="I38" s="1195">
        <f>(I20*100/I6)</f>
        <v>0</v>
      </c>
      <c r="J38" s="1195">
        <f>(J20*100/J6)</f>
        <v>0</v>
      </c>
      <c r="K38" s="1195">
        <f>(K20*100/K6)</f>
        <v>0</v>
      </c>
      <c r="L38" s="1195">
        <f>(L20*100/L6)</f>
        <v>0</v>
      </c>
      <c r="M38" s="1195">
        <f>(M20*100/M6)</f>
        <v>0</v>
      </c>
      <c r="N38" s="1195">
        <f>(N20*100/N6)</f>
        <v>0</v>
      </c>
      <c r="O38" s="1195">
        <f>(O20*100/O6)</f>
        <v>0</v>
      </c>
      <c r="P38" s="1195">
        <f>(P20*100/P6)</f>
        <v>0</v>
      </c>
      <c r="Q38" s="1195">
        <f>(Q20*100/Q6)</f>
        <v>0</v>
      </c>
      <c r="R38" s="1195">
        <f>(R20*100/R6)</f>
        <v>0</v>
      </c>
      <c r="S38" s="1195">
        <f>(S20*100/S6)</f>
        <v>0</v>
      </c>
      <c r="T38" s="1195">
        <f>(T20*100/T6)</f>
        <v>0</v>
      </c>
      <c r="U38" s="1195">
        <f>(U20*100/U6)</f>
        <v>0</v>
      </c>
      <c r="V38" s="1195">
        <f>(V20*100/V6)</f>
        <v>6.5464238325054894E-2</v>
      </c>
      <c r="W38" s="1195" t="s">
        <v>8</v>
      </c>
      <c r="X38" s="1195" t="s">
        <v>8</v>
      </c>
      <c r="Y38" s="1195" t="s">
        <v>8</v>
      </c>
      <c r="Z38" s="1195" t="s">
        <v>8</v>
      </c>
      <c r="AA38" s="1195" t="s">
        <v>8</v>
      </c>
      <c r="AB38" s="1195" t="s">
        <v>8</v>
      </c>
      <c r="AC38" s="1195" t="s">
        <v>8</v>
      </c>
      <c r="AD38" s="1195" t="s">
        <v>8</v>
      </c>
      <c r="AE38" s="1195" t="s">
        <v>8</v>
      </c>
      <c r="AF38" s="1195" t="s">
        <v>8</v>
      </c>
      <c r="AG38" s="1195" t="s">
        <v>8</v>
      </c>
      <c r="AH38" s="1195" t="s">
        <v>8</v>
      </c>
      <c r="AI38" s="1195" t="s">
        <v>8</v>
      </c>
      <c r="AJ38" s="1195" t="s">
        <v>8</v>
      </c>
      <c r="AK38" s="1195" t="s">
        <v>8</v>
      </c>
      <c r="AL38" s="1195" t="s">
        <v>8</v>
      </c>
      <c r="AM38" s="1195" t="s">
        <v>8</v>
      </c>
      <c r="AN38" s="1195" t="s">
        <v>8</v>
      </c>
      <c r="AO38" s="1195" t="s">
        <v>8</v>
      </c>
      <c r="AP38" s="1195">
        <v>0</v>
      </c>
      <c r="AQ38" s="1195">
        <v>0</v>
      </c>
      <c r="AR38" s="1195" t="s">
        <v>8</v>
      </c>
      <c r="AS38" s="1195">
        <v>0</v>
      </c>
    </row>
    <row r="39" spans="1:45" s="1194" customFormat="1" ht="21" customHeight="1">
      <c r="A39" s="1197" t="s">
        <v>23</v>
      </c>
      <c r="B39" s="1195">
        <f>B21*100/$B$6</f>
        <v>2.343690211984388E-2</v>
      </c>
      <c r="C39" s="1195">
        <f>C21*100/$C$6</f>
        <v>0</v>
      </c>
      <c r="D39" s="1196" t="s">
        <v>206</v>
      </c>
      <c r="E39" s="1195">
        <f>E21*100/$E$6</f>
        <v>0</v>
      </c>
      <c r="F39" s="1195">
        <f>(F21*100/F6)</f>
        <v>0</v>
      </c>
      <c r="G39" s="1195">
        <f>(G21*100/G6)</f>
        <v>0</v>
      </c>
      <c r="H39" s="1195">
        <f>(H21*100/H6)</f>
        <v>0</v>
      </c>
      <c r="I39" s="1195">
        <f>(I21*100/I6)</f>
        <v>0</v>
      </c>
      <c r="J39" s="1195">
        <f>(J21*100/J6)</f>
        <v>0</v>
      </c>
      <c r="K39" s="1195">
        <f>(K21*100/K6)</f>
        <v>8.4604056755569534E-2</v>
      </c>
      <c r="L39" s="1195">
        <f>(L21*100/L6)</f>
        <v>7.9654788000341148E-2</v>
      </c>
      <c r="M39" s="1195">
        <f>(M21*100/M6)</f>
        <v>0</v>
      </c>
      <c r="N39" s="1195">
        <f>(N21*100/N6)</f>
        <v>0</v>
      </c>
      <c r="O39" s="1195">
        <f>(O21*100/O6)</f>
        <v>0</v>
      </c>
      <c r="P39" s="1195">
        <f>(P21*100/P6)</f>
        <v>3.6571962995425068E-2</v>
      </c>
      <c r="Q39" s="1195">
        <f>(Q21*100/Q6)</f>
        <v>0.13782152584610077</v>
      </c>
      <c r="R39" s="1195">
        <f>(R21*100/R6)</f>
        <v>7.713922064311346E-2</v>
      </c>
      <c r="S39" s="1195">
        <f>(S21*100/S6)</f>
        <v>2.3902542834805938E-2</v>
      </c>
      <c r="T39" s="1195">
        <f>(T21*100/T6)</f>
        <v>0</v>
      </c>
      <c r="U39" s="1195">
        <f>(U21*100/U6)</f>
        <v>0</v>
      </c>
      <c r="V39" s="1195">
        <f>(V21*100/V6)</f>
        <v>9.041697490635385E-2</v>
      </c>
      <c r="W39" s="1195">
        <f>(W21*100/W6)</f>
        <v>0.20988681726273634</v>
      </c>
      <c r="X39" s="1195">
        <f>(X21*100/X6)</f>
        <v>3.2698957695563372E-2</v>
      </c>
      <c r="Y39" s="1195" t="s">
        <v>8</v>
      </c>
      <c r="Z39" s="1195">
        <f>(Z21*100/Z6)</f>
        <v>9.3294995813180348E-2</v>
      </c>
      <c r="AA39" s="1195">
        <f>(AA21*100/AA6)</f>
        <v>5.5343771965502789E-2</v>
      </c>
      <c r="AB39" s="1195">
        <f>(AB21*100/AB6)</f>
        <v>0.14010719885360479</v>
      </c>
      <c r="AC39" s="1195">
        <f>(AC21*100/AC6)</f>
        <v>5.5343771965502789E-2</v>
      </c>
      <c r="AD39" s="1195">
        <f>(AD21*100/AD6)</f>
        <v>4.6124460508542263E-2</v>
      </c>
      <c r="AE39" s="1195">
        <f>(AE21*100/AE6)</f>
        <v>8.7166304132885106E-2</v>
      </c>
      <c r="AF39" s="1195">
        <f>(AF21*100/AF6)</f>
        <v>0</v>
      </c>
      <c r="AG39" s="1195">
        <f>(AG21*100/AG6)</f>
        <v>0</v>
      </c>
      <c r="AH39" s="1195" t="e">
        <f>(AH21*100/AH6)</f>
        <v>#VALUE!</v>
      </c>
      <c r="AI39" s="1195" t="e">
        <f>(AI21*100/AI6)</f>
        <v>#VALUE!</v>
      </c>
      <c r="AJ39" s="1195">
        <f>(AJ21*100/AJ6)</f>
        <v>0.11470898461391695</v>
      </c>
      <c r="AK39" s="1195">
        <f>(AK21*100/AK6)</f>
        <v>6.6029019516563064E-2</v>
      </c>
      <c r="AL39" s="1195">
        <f>(AL21*100/AL6)</f>
        <v>0.10024059431609651</v>
      </c>
      <c r="AM39" s="1195">
        <f>(AM21*100/AM6)</f>
        <v>0.23388367297273066</v>
      </c>
      <c r="AN39" s="1195">
        <f>(AN21*100/AN6)</f>
        <v>4.3028520780800175E-2</v>
      </c>
      <c r="AO39" s="1195">
        <f>(AO21*100/AO6)</f>
        <v>0.11395517040302257</v>
      </c>
      <c r="AP39" s="1195">
        <v>0.18788389309673617</v>
      </c>
      <c r="AQ39" s="1195">
        <v>0</v>
      </c>
      <c r="AR39" s="1195" t="s">
        <v>8</v>
      </c>
      <c r="AS39" s="1195">
        <v>9.194075127244071E-2</v>
      </c>
    </row>
    <row r="40" spans="1:45" s="1190" customFormat="1" ht="10.5" customHeight="1">
      <c r="A40" s="1193"/>
      <c r="B40" s="1193"/>
      <c r="C40" s="1193"/>
      <c r="D40" s="1193"/>
      <c r="E40" s="1193"/>
      <c r="F40" s="1193"/>
      <c r="G40" s="1193"/>
      <c r="H40" s="1193"/>
      <c r="I40" s="1193"/>
      <c r="J40" s="1193"/>
      <c r="K40" s="1193"/>
      <c r="L40" s="1192"/>
      <c r="M40" s="1192"/>
      <c r="N40" s="1192"/>
      <c r="O40" s="1191"/>
      <c r="P40" s="1191"/>
      <c r="Q40" s="1192"/>
      <c r="R40" s="1191"/>
      <c r="S40" s="1191"/>
      <c r="T40" s="1191"/>
      <c r="U40" s="1191"/>
      <c r="V40" s="1191"/>
      <c r="W40" s="1191"/>
      <c r="X40" s="1191"/>
      <c r="Y40" s="1191"/>
      <c r="Z40" s="1191"/>
      <c r="AA40" s="1191"/>
      <c r="AB40" s="1191"/>
      <c r="AC40" s="1191"/>
      <c r="AD40" s="1191"/>
      <c r="AE40" s="1191"/>
      <c r="AF40" s="1191"/>
      <c r="AG40" s="1191"/>
      <c r="AH40" s="1191"/>
      <c r="AI40" s="1191"/>
      <c r="AJ40" s="1191"/>
      <c r="AK40" s="1191"/>
      <c r="AL40" s="1191"/>
      <c r="AM40" s="1191"/>
      <c r="AN40" s="1191"/>
      <c r="AO40" s="1191"/>
      <c r="AP40" s="1191"/>
      <c r="AQ40" s="1191"/>
      <c r="AR40" s="1191"/>
      <c r="AS40" s="1191"/>
    </row>
    <row r="41" spans="1:45" ht="9" customHeight="1">
      <c r="AD41" s="1186"/>
      <c r="AE41" s="1186"/>
      <c r="AF41" s="1186"/>
      <c r="AG41" s="1186"/>
      <c r="AH41" s="1186"/>
      <c r="AI41" s="1186"/>
      <c r="AJ41" s="1186"/>
      <c r="AK41" s="1186"/>
      <c r="AL41" s="1186"/>
      <c r="AM41" s="1186"/>
      <c r="AN41" s="1186"/>
      <c r="AO41" s="1186"/>
      <c r="AP41" s="1186"/>
      <c r="AQ41" s="1186"/>
      <c r="AR41" s="1186"/>
      <c r="AS41" s="1186"/>
    </row>
    <row r="42" spans="1:45" ht="26.25" customHeight="1">
      <c r="P42" s="1189"/>
    </row>
    <row r="43" spans="1:45" ht="26.25" customHeight="1">
      <c r="P43" s="1189"/>
    </row>
    <row r="44" spans="1:45" ht="26.25" customHeight="1">
      <c r="P44" s="1189"/>
    </row>
    <row r="45" spans="1:45" ht="26.25" customHeight="1">
      <c r="P45" s="1189"/>
    </row>
    <row r="46" spans="1:45" ht="26.25" customHeight="1">
      <c r="P46" s="1189"/>
    </row>
    <row r="47" spans="1:45" ht="26.25" customHeight="1">
      <c r="P47" s="1189"/>
    </row>
    <row r="48" spans="1:45" ht="26.25" customHeight="1">
      <c r="P48" s="1189"/>
    </row>
    <row r="49" spans="16:16" s="1185" customFormat="1" ht="26.25" customHeight="1">
      <c r="P49" s="1189"/>
    </row>
    <row r="50" spans="16:16" s="1185" customFormat="1" ht="26.25" customHeight="1">
      <c r="P50" s="1189"/>
    </row>
    <row r="51" spans="16:16" s="1185" customFormat="1" ht="26.25" customHeight="1">
      <c r="P51" s="1189"/>
    </row>
    <row r="52" spans="16:16" s="1185" customFormat="1" ht="26.25" customHeight="1">
      <c r="P52" s="1189"/>
    </row>
    <row r="53" spans="16:16" s="1185" customFormat="1" ht="26.25" customHeight="1">
      <c r="P53" s="1189"/>
    </row>
    <row r="54" spans="16:16" s="1185" customFormat="1" ht="26.25" customHeight="1">
      <c r="P54" s="1189"/>
    </row>
    <row r="55" spans="16:16" s="1185" customFormat="1" ht="26.25" customHeight="1">
      <c r="P55" s="1189"/>
    </row>
    <row r="56" spans="16:16" s="1185" customFormat="1" ht="26.25" customHeight="1">
      <c r="P56" s="1189"/>
    </row>
    <row r="57" spans="16:16" s="1185" customFormat="1" ht="26.25" customHeight="1">
      <c r="P57" s="1189"/>
    </row>
    <row r="58" spans="16:16" s="1185" customFormat="1" ht="26.25" customHeight="1">
      <c r="P58" s="1189"/>
    </row>
    <row r="59" spans="16:16" s="1185" customFormat="1" ht="26.25" customHeight="1">
      <c r="P59" s="1189"/>
    </row>
    <row r="60" spans="16:16" s="1185" customFormat="1" ht="26.25" customHeight="1">
      <c r="P60" s="1189"/>
    </row>
    <row r="61" spans="16:16" s="1185" customFormat="1" ht="26.25" customHeight="1">
      <c r="P61" s="1189"/>
    </row>
    <row r="62" spans="16:16" s="1185" customFormat="1" ht="26.25" customHeight="1">
      <c r="P62" s="1189"/>
    </row>
    <row r="63" spans="16:16" s="1185" customFormat="1" ht="26.25" customHeight="1">
      <c r="P63" s="1189"/>
    </row>
    <row r="64" spans="16:16" s="1185" customFormat="1" ht="26.25" customHeight="1">
      <c r="P64" s="1189"/>
    </row>
    <row r="65" spans="16:16" s="1185" customFormat="1" ht="26.25" customHeight="1">
      <c r="P65" s="1189"/>
    </row>
  </sheetData>
  <sheetProtection selectLockedCells="1" selectUnlockedCells="1"/>
  <mergeCells count="14">
    <mergeCell ref="Z3:AC3"/>
    <mergeCell ref="V3:Y3"/>
    <mergeCell ref="R3:U3"/>
    <mergeCell ref="AP3:AS3"/>
    <mergeCell ref="AL3:AO3"/>
    <mergeCell ref="A22:L22"/>
    <mergeCell ref="A3:A4"/>
    <mergeCell ref="B3:E3"/>
    <mergeCell ref="F3:H3"/>
    <mergeCell ref="J3:M3"/>
    <mergeCell ref="A5:L5"/>
    <mergeCell ref="AH3:AK3"/>
    <mergeCell ref="N3:Q3"/>
    <mergeCell ref="AD3:AG3"/>
  </mergeCells>
  <pageMargins left="1.03" right="0.16" top="0.8" bottom="0.27569444444444446" header="0.51180555555555551" footer="0.35"/>
  <pageSetup paperSize="9" scale="85" firstPageNumber="0" orientation="portrait" horizontalDpi="300" verticalDpi="300" r:id="rId1"/>
  <headerFooter alignWithMargins="0">
    <oddHeader>&amp;C&amp;"TH SarabunPSK,ธรรมดา"&amp;16 30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zoomScale="60" zoomScaleNormal="60" workbookViewId="0">
      <selection activeCell="E17" sqref="E17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14" t="s">
        <v>177</v>
      </c>
      <c r="B1" s="413"/>
      <c r="C1" s="413"/>
      <c r="D1" s="413"/>
      <c r="E1" s="412" t="s">
        <v>177</v>
      </c>
      <c r="F1" s="411"/>
      <c r="G1" s="411"/>
      <c r="H1" s="411"/>
      <c r="I1" s="410" t="s">
        <v>176</v>
      </c>
      <c r="J1" s="409"/>
      <c r="K1" s="409"/>
      <c r="L1" s="409"/>
      <c r="M1" s="408" t="s">
        <v>176</v>
      </c>
      <c r="N1" s="407"/>
      <c r="O1" s="407"/>
      <c r="P1" s="407"/>
      <c r="Q1" s="35" t="s">
        <v>175</v>
      </c>
    </row>
    <row r="2" spans="1:21" s="57" customFormat="1" ht="27.75" customHeight="1">
      <c r="A2" s="406" t="s">
        <v>174</v>
      </c>
      <c r="B2" s="406"/>
      <c r="C2" s="406"/>
      <c r="D2" s="406"/>
      <c r="E2" s="405" t="s">
        <v>173</v>
      </c>
      <c r="F2" s="404"/>
      <c r="G2" s="404"/>
      <c r="H2" s="404"/>
      <c r="I2" s="403" t="s">
        <v>172</v>
      </c>
      <c r="J2" s="402"/>
      <c r="K2" s="402"/>
      <c r="L2" s="402"/>
      <c r="M2" s="401" t="s">
        <v>171</v>
      </c>
      <c r="N2" s="400"/>
      <c r="O2" s="400"/>
      <c r="P2" s="400"/>
      <c r="Q2" s="57" t="s">
        <v>170</v>
      </c>
    </row>
    <row r="3" spans="1:21" s="57" customFormat="1" ht="13.5" customHeight="1">
      <c r="A3" s="399"/>
      <c r="B3" s="399"/>
      <c r="C3" s="399"/>
      <c r="D3" s="399"/>
      <c r="E3" s="398"/>
      <c r="F3" s="397"/>
      <c r="G3" s="397"/>
      <c r="H3" s="397"/>
      <c r="I3" s="396"/>
      <c r="J3" s="395"/>
      <c r="K3" s="395"/>
      <c r="L3" s="395"/>
      <c r="M3" s="394"/>
      <c r="N3" s="393"/>
      <c r="O3" s="393"/>
      <c r="P3" s="393"/>
    </row>
    <row r="4" spans="1:21" s="57" customFormat="1" ht="32.25" customHeight="1">
      <c r="A4" s="392" t="s">
        <v>9</v>
      </c>
      <c r="B4" s="391" t="s">
        <v>0</v>
      </c>
      <c r="C4" s="391" t="s">
        <v>1</v>
      </c>
      <c r="D4" s="391" t="s">
        <v>2</v>
      </c>
      <c r="E4" s="390" t="s">
        <v>9</v>
      </c>
      <c r="F4" s="389" t="s">
        <v>0</v>
      </c>
      <c r="G4" s="389" t="s">
        <v>1</v>
      </c>
      <c r="H4" s="389" t="s">
        <v>2</v>
      </c>
      <c r="I4" s="388" t="s">
        <v>9</v>
      </c>
      <c r="J4" s="387" t="s">
        <v>0</v>
      </c>
      <c r="K4" s="387" t="s">
        <v>1</v>
      </c>
      <c r="L4" s="387" t="s">
        <v>2</v>
      </c>
      <c r="M4" s="386" t="s">
        <v>9</v>
      </c>
      <c r="N4" s="385" t="s">
        <v>0</v>
      </c>
      <c r="O4" s="385" t="s">
        <v>1</v>
      </c>
      <c r="P4" s="385" t="s">
        <v>2</v>
      </c>
      <c r="Q4" s="384" t="s">
        <v>9</v>
      </c>
      <c r="R4" s="383" t="s">
        <v>0</v>
      </c>
      <c r="S4" s="383" t="s">
        <v>1</v>
      </c>
      <c r="T4" s="383" t="s">
        <v>2</v>
      </c>
    </row>
    <row r="5" spans="1:21" s="336" customFormat="1" ht="27.75" customHeight="1">
      <c r="A5" s="355"/>
      <c r="B5" s="355"/>
      <c r="C5" s="382" t="s">
        <v>21</v>
      </c>
      <c r="D5" s="355"/>
      <c r="E5" s="380"/>
      <c r="F5" s="380"/>
      <c r="G5" s="381" t="s">
        <v>21</v>
      </c>
      <c r="H5" s="380"/>
      <c r="I5" s="378"/>
      <c r="J5" s="378"/>
      <c r="K5" s="379" t="s">
        <v>21</v>
      </c>
      <c r="L5" s="378"/>
      <c r="M5" s="376"/>
      <c r="N5" s="376"/>
      <c r="O5" s="377" t="s">
        <v>21</v>
      </c>
      <c r="P5" s="376"/>
      <c r="Q5" s="347"/>
      <c r="S5" s="346" t="s">
        <v>21</v>
      </c>
    </row>
    <row r="6" spans="1:21" s="364" customFormat="1" ht="21.75" customHeight="1">
      <c r="A6" s="375" t="s">
        <v>19</v>
      </c>
      <c r="B6" s="344">
        <v>2056013</v>
      </c>
      <c r="C6" s="344">
        <v>992301</v>
      </c>
      <c r="D6" s="344">
        <v>1063712</v>
      </c>
      <c r="E6" s="372" t="s">
        <v>19</v>
      </c>
      <c r="F6" s="342">
        <v>2055690</v>
      </c>
      <c r="G6" s="342">
        <v>992241</v>
      </c>
      <c r="H6" s="342">
        <v>1063449</v>
      </c>
      <c r="I6" s="370" t="s">
        <v>19</v>
      </c>
      <c r="J6" s="365">
        <v>2054924</v>
      </c>
      <c r="K6" s="365">
        <v>992005</v>
      </c>
      <c r="L6" s="365">
        <v>1062919</v>
      </c>
      <c r="M6" s="369" t="s">
        <v>19</v>
      </c>
      <c r="N6" s="338">
        <v>2054008</v>
      </c>
      <c r="O6" s="338">
        <v>991710</v>
      </c>
      <c r="P6" s="338">
        <v>1062298</v>
      </c>
      <c r="Q6" s="374" t="s">
        <v>19</v>
      </c>
      <c r="R6" s="373">
        <f t="shared" ref="R6:T8" si="0">(N6+J6+F6+B6)/4</f>
        <v>2055158.75</v>
      </c>
      <c r="S6" s="373">
        <f t="shared" si="0"/>
        <v>992064.25</v>
      </c>
      <c r="T6" s="373">
        <f t="shared" si="0"/>
        <v>1063094.5</v>
      </c>
      <c r="U6" s="358"/>
    </row>
    <row r="7" spans="1:21" s="58" customFormat="1" ht="21.75" customHeight="1">
      <c r="A7" s="309" t="s">
        <v>18</v>
      </c>
      <c r="B7" s="344">
        <v>1379330</v>
      </c>
      <c r="C7" s="344">
        <v>759535</v>
      </c>
      <c r="D7" s="344">
        <v>619795</v>
      </c>
      <c r="E7" s="372" t="s">
        <v>18</v>
      </c>
      <c r="F7" s="342">
        <v>1340769</v>
      </c>
      <c r="G7" s="342">
        <v>751011</v>
      </c>
      <c r="H7" s="371">
        <v>589758</v>
      </c>
      <c r="I7" s="370" t="s">
        <v>18</v>
      </c>
      <c r="J7" s="365">
        <v>1331745</v>
      </c>
      <c r="K7" s="365">
        <v>735338</v>
      </c>
      <c r="L7" s="365">
        <v>596407</v>
      </c>
      <c r="M7" s="369" t="s">
        <v>18</v>
      </c>
      <c r="N7" s="338">
        <v>1264052</v>
      </c>
      <c r="O7" s="338">
        <v>707975</v>
      </c>
      <c r="P7" s="338">
        <v>556077</v>
      </c>
      <c r="Q7" s="305" t="s">
        <v>18</v>
      </c>
      <c r="R7" s="359">
        <f t="shared" si="0"/>
        <v>1328974</v>
      </c>
      <c r="S7" s="359">
        <f t="shared" si="0"/>
        <v>738464.75</v>
      </c>
      <c r="T7" s="359">
        <f t="shared" si="0"/>
        <v>590509.25</v>
      </c>
      <c r="U7" s="358"/>
    </row>
    <row r="8" spans="1:21" s="58" customFormat="1" ht="21.75" customHeight="1">
      <c r="A8" s="309" t="s">
        <v>17</v>
      </c>
      <c r="B8" s="344">
        <v>1364796</v>
      </c>
      <c r="C8" s="344">
        <v>749450</v>
      </c>
      <c r="D8" s="344">
        <v>615346</v>
      </c>
      <c r="E8" s="312" t="s">
        <v>17</v>
      </c>
      <c r="F8" s="342">
        <v>1335269</v>
      </c>
      <c r="G8" s="342">
        <v>745511</v>
      </c>
      <c r="H8" s="342">
        <v>589758</v>
      </c>
      <c r="I8" s="311" t="s">
        <v>17</v>
      </c>
      <c r="J8" s="365">
        <v>1287643</v>
      </c>
      <c r="K8" s="365">
        <v>705094</v>
      </c>
      <c r="L8" s="365">
        <v>582549</v>
      </c>
      <c r="M8" s="310" t="s">
        <v>17</v>
      </c>
      <c r="N8" s="338">
        <v>1141244</v>
      </c>
      <c r="O8" s="338">
        <v>623772</v>
      </c>
      <c r="P8" s="338">
        <v>517472</v>
      </c>
      <c r="Q8" s="305" t="s">
        <v>17</v>
      </c>
      <c r="R8" s="359">
        <f t="shared" si="0"/>
        <v>1282238</v>
      </c>
      <c r="S8" s="359">
        <f t="shared" si="0"/>
        <v>705956.75</v>
      </c>
      <c r="T8" s="359">
        <f t="shared" si="0"/>
        <v>576281.25</v>
      </c>
      <c r="U8" s="358"/>
    </row>
    <row r="9" spans="1:21" s="58" customFormat="1" ht="21.75" customHeight="1">
      <c r="A9" s="309" t="s">
        <v>16</v>
      </c>
      <c r="B9" s="344">
        <v>1347607</v>
      </c>
      <c r="C9" s="344">
        <v>741216</v>
      </c>
      <c r="D9" s="344">
        <v>606391</v>
      </c>
      <c r="E9" s="308" t="s">
        <v>16</v>
      </c>
      <c r="F9" s="342">
        <v>1289307</v>
      </c>
      <c r="G9" s="342">
        <v>725790</v>
      </c>
      <c r="H9" s="342">
        <v>563517</v>
      </c>
      <c r="I9" s="307" t="s">
        <v>16</v>
      </c>
      <c r="J9" s="365">
        <v>1235110</v>
      </c>
      <c r="K9" s="365">
        <v>689798</v>
      </c>
      <c r="L9" s="365">
        <v>545312</v>
      </c>
      <c r="M9" s="306" t="s">
        <v>16</v>
      </c>
      <c r="N9" s="338">
        <v>1123034</v>
      </c>
      <c r="O9" s="338">
        <v>615785</v>
      </c>
      <c r="P9" s="338">
        <v>507249</v>
      </c>
      <c r="Q9" s="305" t="s">
        <v>16</v>
      </c>
      <c r="R9" s="359">
        <f>(N9+J9+F9+B9)/4</f>
        <v>1248764.5</v>
      </c>
      <c r="S9" s="359">
        <f>(O9+K9+G9+C9)/4+0.3</f>
        <v>693147.55</v>
      </c>
      <c r="T9" s="359">
        <f>(P9+L9+H9+D9)/4</f>
        <v>555617.25</v>
      </c>
      <c r="U9" s="358"/>
    </row>
    <row r="10" spans="1:21" s="58" customFormat="1" ht="21.75" customHeight="1">
      <c r="A10" s="309" t="s">
        <v>15</v>
      </c>
      <c r="B10" s="344">
        <v>17189</v>
      </c>
      <c r="C10" s="344">
        <v>8234</v>
      </c>
      <c r="D10" s="344">
        <v>8955</v>
      </c>
      <c r="E10" s="368" t="s">
        <v>15</v>
      </c>
      <c r="F10" s="342">
        <v>45962</v>
      </c>
      <c r="G10" s="342">
        <v>19721</v>
      </c>
      <c r="H10" s="342">
        <v>26241</v>
      </c>
      <c r="I10" s="367" t="s">
        <v>15</v>
      </c>
      <c r="J10" s="365">
        <v>52533</v>
      </c>
      <c r="K10" s="365">
        <v>15295</v>
      </c>
      <c r="L10" s="365">
        <v>37238</v>
      </c>
      <c r="M10" s="366" t="s">
        <v>15</v>
      </c>
      <c r="N10" s="338">
        <v>18210</v>
      </c>
      <c r="O10" s="338">
        <v>7987</v>
      </c>
      <c r="P10" s="338">
        <v>10223</v>
      </c>
      <c r="Q10" s="305" t="s">
        <v>15</v>
      </c>
      <c r="R10" s="359">
        <f>(N10+J10+F10+B10)/4-0.03</f>
        <v>33473.47</v>
      </c>
      <c r="S10" s="359">
        <f>(O10+K10+G10+C10)/4</f>
        <v>12809.25</v>
      </c>
      <c r="T10" s="359">
        <f>((P10+L10+H10+D10)/4)</f>
        <v>20664.25</v>
      </c>
      <c r="U10" s="358"/>
    </row>
    <row r="11" spans="1:21" s="58" customFormat="1" ht="21.75" customHeight="1">
      <c r="A11" s="309" t="s">
        <v>14</v>
      </c>
      <c r="B11" s="344">
        <v>14534</v>
      </c>
      <c r="C11" s="344">
        <v>10085</v>
      </c>
      <c r="D11" s="344">
        <v>4449</v>
      </c>
      <c r="E11" s="368" t="s">
        <v>14</v>
      </c>
      <c r="F11" s="342">
        <v>5501</v>
      </c>
      <c r="G11" s="342">
        <v>5501</v>
      </c>
      <c r="H11" s="342">
        <v>0</v>
      </c>
      <c r="I11" s="367" t="s">
        <v>14</v>
      </c>
      <c r="J11" s="365">
        <v>44102</v>
      </c>
      <c r="K11" s="365">
        <v>30245</v>
      </c>
      <c r="L11" s="365">
        <v>13857</v>
      </c>
      <c r="M11" s="366" t="s">
        <v>14</v>
      </c>
      <c r="N11" s="338">
        <v>122808</v>
      </c>
      <c r="O11" s="338">
        <v>84203</v>
      </c>
      <c r="P11" s="338">
        <v>38605</v>
      </c>
      <c r="Q11" s="305" t="s">
        <v>14</v>
      </c>
      <c r="R11" s="359">
        <f>(N11+J11+F11+B11)/4</f>
        <v>46736.25</v>
      </c>
      <c r="S11" s="359">
        <f>(O11+K11+G11+C11)/4-0.09</f>
        <v>32508.41</v>
      </c>
      <c r="T11" s="359">
        <f>((P11+L11+H11+D11)/4)</f>
        <v>14227.75</v>
      </c>
      <c r="U11" s="358"/>
    </row>
    <row r="12" spans="1:21" s="58" customFormat="1" ht="21.75" customHeight="1">
      <c r="A12" s="309" t="s">
        <v>13</v>
      </c>
      <c r="B12" s="344">
        <v>676683</v>
      </c>
      <c r="C12" s="344">
        <v>232766</v>
      </c>
      <c r="D12" s="344">
        <v>443917</v>
      </c>
      <c r="E12" s="308" t="s">
        <v>13</v>
      </c>
      <c r="F12" s="342">
        <v>714921</v>
      </c>
      <c r="G12" s="342">
        <v>241230</v>
      </c>
      <c r="H12" s="342">
        <v>473691</v>
      </c>
      <c r="I12" s="307" t="s">
        <v>13</v>
      </c>
      <c r="J12" s="365">
        <v>723179</v>
      </c>
      <c r="K12" s="365">
        <v>256667</v>
      </c>
      <c r="L12" s="365">
        <v>466512</v>
      </c>
      <c r="M12" s="306" t="s">
        <v>13</v>
      </c>
      <c r="N12" s="338">
        <v>789956</v>
      </c>
      <c r="O12" s="338">
        <v>283735</v>
      </c>
      <c r="P12" s="338">
        <v>506221</v>
      </c>
      <c r="Q12" s="305" t="s">
        <v>13</v>
      </c>
      <c r="R12" s="359">
        <f>(N12+J12+F12+B12)/4</f>
        <v>726184.75</v>
      </c>
      <c r="S12" s="359">
        <f>(O12+K12+G12+C12)/4-0.09</f>
        <v>253599.41</v>
      </c>
      <c r="T12" s="359">
        <f>(P12+L12+H12+D12)/4+0.3</f>
        <v>472585.55</v>
      </c>
      <c r="U12" s="358"/>
    </row>
    <row r="13" spans="1:21" s="58" customFormat="1" ht="21.75" customHeight="1">
      <c r="A13" s="309" t="s">
        <v>12</v>
      </c>
      <c r="B13" s="344">
        <v>167894</v>
      </c>
      <c r="C13" s="344">
        <v>9258</v>
      </c>
      <c r="D13" s="344">
        <v>158636</v>
      </c>
      <c r="E13" s="288" t="s">
        <v>12</v>
      </c>
      <c r="F13" s="342">
        <v>188941</v>
      </c>
      <c r="G13" s="342">
        <v>20767</v>
      </c>
      <c r="H13" s="342">
        <v>168175</v>
      </c>
      <c r="I13" s="286" t="s">
        <v>12</v>
      </c>
      <c r="J13" s="365">
        <v>176780</v>
      </c>
      <c r="K13" s="365">
        <v>8554</v>
      </c>
      <c r="L13" s="365">
        <v>168226</v>
      </c>
      <c r="M13" s="284" t="s">
        <v>12</v>
      </c>
      <c r="N13" s="338">
        <v>200436</v>
      </c>
      <c r="O13" s="338">
        <v>6603</v>
      </c>
      <c r="P13" s="338">
        <v>193833</v>
      </c>
      <c r="Q13" s="305" t="s">
        <v>12</v>
      </c>
      <c r="R13" s="359">
        <f>(N13+J13+F13+B13)/4</f>
        <v>183512.75</v>
      </c>
      <c r="S13" s="359">
        <f>(O13+K13+G13+C13)/4-0.1</f>
        <v>11295.4</v>
      </c>
      <c r="T13" s="359">
        <f>(P13+L13+H13+D13)/4+0.09</f>
        <v>172217.59</v>
      </c>
      <c r="U13" s="358"/>
    </row>
    <row r="14" spans="1:21" s="364" customFormat="1" ht="21.75" customHeight="1">
      <c r="A14" s="309" t="s">
        <v>11</v>
      </c>
      <c r="B14" s="344">
        <v>156802</v>
      </c>
      <c r="C14" s="344">
        <v>70609</v>
      </c>
      <c r="D14" s="344">
        <v>86193</v>
      </c>
      <c r="E14" s="288" t="s">
        <v>11</v>
      </c>
      <c r="F14" s="342">
        <v>168196</v>
      </c>
      <c r="G14" s="342">
        <v>74947</v>
      </c>
      <c r="H14" s="342">
        <v>93249</v>
      </c>
      <c r="I14" s="286" t="s">
        <v>11</v>
      </c>
      <c r="J14" s="365">
        <v>167388</v>
      </c>
      <c r="K14" s="365">
        <v>84972</v>
      </c>
      <c r="L14" s="365">
        <v>82416</v>
      </c>
      <c r="M14" s="284" t="s">
        <v>11</v>
      </c>
      <c r="N14" s="338">
        <v>166868</v>
      </c>
      <c r="O14" s="338">
        <v>80327</v>
      </c>
      <c r="P14" s="338">
        <v>86541</v>
      </c>
      <c r="Q14" s="305" t="s">
        <v>11</v>
      </c>
      <c r="R14" s="359">
        <f>(N14+J14+F14+B14)/4</f>
        <v>164813.5</v>
      </c>
      <c r="S14" s="359">
        <f>(O14+K14+G14+C14)/4</f>
        <v>77713.75</v>
      </c>
      <c r="T14" s="359">
        <f>(P14+L14+H14+D14)/4</f>
        <v>87099.75</v>
      </c>
      <c r="U14" s="358"/>
    </row>
    <row r="15" spans="1:21" s="58" customFormat="1" ht="21.75" customHeight="1">
      <c r="A15" s="304" t="s">
        <v>10</v>
      </c>
      <c r="B15" s="363">
        <v>351987</v>
      </c>
      <c r="C15" s="363">
        <v>152899</v>
      </c>
      <c r="D15" s="363">
        <v>199088</v>
      </c>
      <c r="E15" s="343" t="s">
        <v>10</v>
      </c>
      <c r="F15" s="362">
        <v>357784</v>
      </c>
      <c r="G15" s="362">
        <v>145516</v>
      </c>
      <c r="H15" s="362">
        <v>212267</v>
      </c>
      <c r="I15" s="341" t="s">
        <v>10</v>
      </c>
      <c r="J15" s="361">
        <v>379011</v>
      </c>
      <c r="K15" s="361">
        <v>163140</v>
      </c>
      <c r="L15" s="361">
        <v>215871</v>
      </c>
      <c r="M15" s="339" t="s">
        <v>10</v>
      </c>
      <c r="N15" s="360">
        <v>422652</v>
      </c>
      <c r="O15" s="360">
        <v>196805</v>
      </c>
      <c r="P15" s="360">
        <v>225847</v>
      </c>
      <c r="Q15" s="300" t="s">
        <v>10</v>
      </c>
      <c r="R15" s="359">
        <f>(N15+J15+F15+B15)/4-0.03</f>
        <v>377858.47</v>
      </c>
      <c r="S15" s="359">
        <f>(O15+K15+G15+C15)/4</f>
        <v>164590</v>
      </c>
      <c r="T15" s="359">
        <f>(P15+L15+H15+D15)/4</f>
        <v>213268.25</v>
      </c>
      <c r="U15" s="358"/>
    </row>
    <row r="16" spans="1:21" s="58" customFormat="1" ht="9" customHeight="1">
      <c r="A16" s="357"/>
      <c r="B16" s="344"/>
      <c r="C16" s="344"/>
      <c r="D16" s="344"/>
      <c r="E16" s="308"/>
      <c r="F16" s="342"/>
      <c r="G16" s="342"/>
      <c r="H16" s="342"/>
      <c r="I16" s="307"/>
      <c r="J16" s="340"/>
      <c r="K16" s="340"/>
      <c r="L16" s="340"/>
      <c r="M16" s="306"/>
      <c r="N16" s="338"/>
      <c r="O16" s="338"/>
      <c r="P16" s="338"/>
      <c r="Q16" s="356"/>
      <c r="R16" s="282"/>
      <c r="S16" s="282"/>
      <c r="T16" s="282"/>
    </row>
    <row r="17" spans="1:20" s="282" customFormat="1" ht="21.75" customHeight="1">
      <c r="A17" s="355"/>
      <c r="B17" s="354"/>
      <c r="C17" s="354" t="s">
        <v>20</v>
      </c>
      <c r="D17" s="354"/>
      <c r="E17" s="353"/>
      <c r="F17" s="352"/>
      <c r="G17" s="352" t="s">
        <v>20</v>
      </c>
      <c r="H17" s="352"/>
      <c r="I17" s="351"/>
      <c r="J17" s="350"/>
      <c r="K17" s="350" t="s">
        <v>20</v>
      </c>
      <c r="L17" s="350"/>
      <c r="M17" s="349"/>
      <c r="N17" s="348"/>
      <c r="O17" s="348" t="s">
        <v>20</v>
      </c>
      <c r="P17" s="348"/>
      <c r="Q17" s="347"/>
      <c r="S17" s="346" t="s">
        <v>20</v>
      </c>
    </row>
    <row r="18" spans="1:20" s="336" customFormat="1" ht="14.25" customHeight="1">
      <c r="A18" s="345"/>
      <c r="B18" s="344"/>
      <c r="C18" s="344"/>
      <c r="D18" s="344"/>
      <c r="E18" s="343"/>
      <c r="F18" s="342"/>
      <c r="G18" s="342"/>
      <c r="H18" s="342"/>
      <c r="I18" s="341"/>
      <c r="J18" s="340"/>
      <c r="K18" s="340"/>
      <c r="L18" s="340"/>
      <c r="M18" s="339"/>
      <c r="N18" s="338"/>
      <c r="O18" s="338"/>
      <c r="P18" s="338"/>
      <c r="Q18" s="337"/>
    </row>
    <row r="19" spans="1:20" s="328" customFormat="1" ht="21.75" customHeight="1">
      <c r="A19" s="335" t="s">
        <v>19</v>
      </c>
      <c r="B19" s="334">
        <v>100</v>
      </c>
      <c r="C19" s="334">
        <v>100</v>
      </c>
      <c r="D19" s="334">
        <v>100</v>
      </c>
      <c r="E19" s="333" t="s">
        <v>19</v>
      </c>
      <c r="F19" s="315">
        <v>100</v>
      </c>
      <c r="G19" s="315">
        <v>100</v>
      </c>
      <c r="H19" s="315">
        <v>100</v>
      </c>
      <c r="I19" s="332" t="s">
        <v>19</v>
      </c>
      <c r="J19" s="285">
        <v>100</v>
      </c>
      <c r="K19" s="285">
        <v>100</v>
      </c>
      <c r="L19" s="285">
        <v>100</v>
      </c>
      <c r="M19" s="331" t="s">
        <v>19</v>
      </c>
      <c r="N19" s="283">
        <v>100</v>
      </c>
      <c r="O19" s="283">
        <v>100</v>
      </c>
      <c r="P19" s="283">
        <v>100</v>
      </c>
      <c r="Q19" s="330" t="s">
        <v>19</v>
      </c>
      <c r="R19" s="329">
        <v>100</v>
      </c>
      <c r="S19" s="329">
        <v>100</v>
      </c>
      <c r="T19" s="329">
        <v>100</v>
      </c>
    </row>
    <row r="20" spans="1:20" s="58" customFormat="1" ht="21.75" customHeight="1">
      <c r="A20" s="309" t="s">
        <v>18</v>
      </c>
      <c r="B20" s="326">
        <v>67.087610827363449</v>
      </c>
      <c r="C20" s="326">
        <v>76.542803040609655</v>
      </c>
      <c r="D20" s="326">
        <v>58.267181342318224</v>
      </c>
      <c r="E20" s="288" t="s">
        <v>18</v>
      </c>
      <c r="F20" s="287">
        <v>65.222334106796254</v>
      </c>
      <c r="G20" s="287">
        <v>75.688366032042623</v>
      </c>
      <c r="H20" s="287">
        <v>55.457102315202704</v>
      </c>
      <c r="I20" s="302" t="s">
        <v>18</v>
      </c>
      <c r="J20" s="327">
        <v>64.807506263005351</v>
      </c>
      <c r="K20" s="327">
        <v>74.126440894955167</v>
      </c>
      <c r="L20" s="327">
        <v>56.11029626904778</v>
      </c>
      <c r="M20" s="301" t="s">
        <v>18</v>
      </c>
      <c r="N20" s="318">
        <v>61.570753492683572</v>
      </c>
      <c r="O20" s="318">
        <v>71.389317441590791</v>
      </c>
      <c r="P20" s="318">
        <v>52.34661083801344</v>
      </c>
      <c r="Q20" s="305" t="s">
        <v>18</v>
      </c>
      <c r="R20" s="299">
        <f t="shared" ref="R20:T28" si="1">R7*100/R$6</f>
        <v>64.665272208290475</v>
      </c>
      <c r="S20" s="299">
        <f t="shared" si="1"/>
        <v>74.4371899299869</v>
      </c>
      <c r="T20" s="299">
        <f t="shared" si="1"/>
        <v>55.546261409498406</v>
      </c>
    </row>
    <row r="21" spans="1:20" s="58" customFormat="1" ht="21.75" customHeight="1">
      <c r="A21" s="309" t="s">
        <v>17</v>
      </c>
      <c r="B21" s="326">
        <v>66.380708682289466</v>
      </c>
      <c r="C21" s="326">
        <v>75.526478356869532</v>
      </c>
      <c r="D21" s="326">
        <v>57.848929033422579</v>
      </c>
      <c r="E21" s="288" t="s">
        <v>17</v>
      </c>
      <c r="F21" s="287">
        <v>64.924784038449374</v>
      </c>
      <c r="G21" s="287">
        <v>75.134065211979745</v>
      </c>
      <c r="H21" s="287">
        <v>55.457102315202704</v>
      </c>
      <c r="I21" s="302" t="s">
        <v>17</v>
      </c>
      <c r="J21" s="325">
        <v>62.661344166499589</v>
      </c>
      <c r="K21" s="325">
        <v>71.077665939183774</v>
      </c>
      <c r="L21" s="324">
        <v>54.806528060934085</v>
      </c>
      <c r="M21" s="301" t="s">
        <v>17</v>
      </c>
      <c r="N21" s="323">
        <v>55.591808912136663</v>
      </c>
      <c r="O21" s="323">
        <v>62.898629639713221</v>
      </c>
      <c r="P21" s="323">
        <v>48.712508166258431</v>
      </c>
      <c r="Q21" s="305" t="s">
        <v>17</v>
      </c>
      <c r="R21" s="299">
        <f t="shared" si="1"/>
        <v>62.391189974983682</v>
      </c>
      <c r="S21" s="299">
        <f t="shared" si="1"/>
        <v>71.160386033465073</v>
      </c>
      <c r="T21" s="299">
        <f t="shared" si="1"/>
        <v>54.207904377268434</v>
      </c>
    </row>
    <row r="22" spans="1:20" s="58" customFormat="1" ht="21.75" customHeight="1">
      <c r="A22" s="309" t="s">
        <v>16</v>
      </c>
      <c r="B22" s="322">
        <v>65.574673112475452</v>
      </c>
      <c r="C22" s="322">
        <v>74.696689814884792</v>
      </c>
      <c r="D22" s="322">
        <v>57.007065822327846</v>
      </c>
      <c r="E22" s="308" t="s">
        <v>16</v>
      </c>
      <c r="F22" s="321">
        <v>62.718941085474953</v>
      </c>
      <c r="G22" s="321">
        <v>73.146544035168873</v>
      </c>
      <c r="H22" s="321">
        <v>52.989565084926497</v>
      </c>
      <c r="I22" s="307" t="s">
        <v>16</v>
      </c>
      <c r="J22" s="320">
        <v>60.104899256614843</v>
      </c>
      <c r="K22" s="319">
        <v>69.565738227125877</v>
      </c>
      <c r="L22" s="319">
        <v>51.303250765110043</v>
      </c>
      <c r="M22" s="306" t="s">
        <v>16</v>
      </c>
      <c r="N22" s="318">
        <v>54.675249560858575</v>
      </c>
      <c r="O22" s="318">
        <v>62.093253067933169</v>
      </c>
      <c r="P22" s="318">
        <v>47.720160501102328</v>
      </c>
      <c r="Q22" s="305" t="s">
        <v>16</v>
      </c>
      <c r="R22" s="299">
        <f t="shared" si="1"/>
        <v>60.762435018705979</v>
      </c>
      <c r="S22" s="299">
        <f t="shared" si="1"/>
        <v>69.869219659916183</v>
      </c>
      <c r="T22" s="299">
        <f t="shared" si="1"/>
        <v>52.26414490903678</v>
      </c>
    </row>
    <row r="23" spans="1:20" s="58" customFormat="1" ht="21.75" customHeight="1">
      <c r="A23" s="309" t="s">
        <v>15</v>
      </c>
      <c r="B23" s="317">
        <v>0.83603556981400406</v>
      </c>
      <c r="C23" s="317">
        <v>0.8297885419847405</v>
      </c>
      <c r="D23" s="317">
        <v>0.84186321109473239</v>
      </c>
      <c r="E23" s="316" t="s">
        <v>15</v>
      </c>
      <c r="F23" s="315">
        <v>2.2358429529744273</v>
      </c>
      <c r="G23" s="315">
        <v>1.9875211768108756</v>
      </c>
      <c r="H23" s="315">
        <v>2.4675372302762049</v>
      </c>
      <c r="I23" s="314" t="s">
        <v>15</v>
      </c>
      <c r="J23" s="285">
        <v>2.5564449098847453</v>
      </c>
      <c r="K23" s="285">
        <v>1.5418269061143846</v>
      </c>
      <c r="L23" s="285">
        <v>3.5033713763701657</v>
      </c>
      <c r="M23" s="313" t="s">
        <v>15</v>
      </c>
      <c r="N23" s="283">
        <v>0.8865593512780866</v>
      </c>
      <c r="O23" s="283">
        <v>0.80537657178005662</v>
      </c>
      <c r="P23" s="283">
        <v>0.96234766515610493</v>
      </c>
      <c r="Q23" s="305" t="s">
        <v>15</v>
      </c>
      <c r="R23" s="299">
        <f t="shared" si="1"/>
        <v>1.6287534965364598</v>
      </c>
      <c r="S23" s="299">
        <f t="shared" si="1"/>
        <v>1.2911714135450401</v>
      </c>
      <c r="T23" s="299">
        <f t="shared" si="1"/>
        <v>1.9437829844853867</v>
      </c>
    </row>
    <row r="24" spans="1:20" s="58" customFormat="1" ht="21.75" customHeight="1">
      <c r="A24" s="309" t="s">
        <v>14</v>
      </c>
      <c r="B24" s="317">
        <v>0.70690214507398541</v>
      </c>
      <c r="C24" s="317">
        <v>1.0163246837401152</v>
      </c>
      <c r="D24" s="317">
        <v>0.45825230889564089</v>
      </c>
      <c r="E24" s="316" t="s">
        <v>14</v>
      </c>
      <c r="F24" s="315">
        <v>0.26759871381385325</v>
      </c>
      <c r="G24" s="315">
        <v>0.55440160203015199</v>
      </c>
      <c r="H24" s="315" t="s">
        <v>8</v>
      </c>
      <c r="I24" s="314" t="s">
        <v>14</v>
      </c>
      <c r="J24" s="285">
        <v>2.1461620965057588</v>
      </c>
      <c r="K24" s="285">
        <v>3.0488757617149109</v>
      </c>
      <c r="L24" s="285">
        <v>1.3036741275675756</v>
      </c>
      <c r="M24" s="313" t="s">
        <v>14</v>
      </c>
      <c r="N24" s="283">
        <v>5.9789445805469112</v>
      </c>
      <c r="O24" s="283">
        <v>8.4906878018775647</v>
      </c>
      <c r="P24" s="283">
        <v>3.6341026717550067</v>
      </c>
      <c r="Q24" s="305" t="s">
        <v>14</v>
      </c>
      <c r="R24" s="299">
        <f t="shared" si="1"/>
        <v>2.2740943978172004</v>
      </c>
      <c r="S24" s="299">
        <f t="shared" si="1"/>
        <v>3.2768452244902484</v>
      </c>
      <c r="T24" s="299">
        <f t="shared" si="1"/>
        <v>1.3383335159762373</v>
      </c>
    </row>
    <row r="25" spans="1:20" s="58" customFormat="1" ht="21.75" customHeight="1">
      <c r="A25" s="309" t="s">
        <v>13</v>
      </c>
      <c r="B25" s="303">
        <v>32.912389172636551</v>
      </c>
      <c r="C25" s="303">
        <v>23.457196959390345</v>
      </c>
      <c r="D25" s="303">
        <v>41.732818657681776</v>
      </c>
      <c r="E25" s="312" t="s">
        <v>13</v>
      </c>
      <c r="F25" s="287">
        <v>34.777665893203739</v>
      </c>
      <c r="G25" s="287">
        <v>24.311633967957381</v>
      </c>
      <c r="H25" s="287">
        <v>44.542897684797296</v>
      </c>
      <c r="I25" s="311" t="s">
        <v>13</v>
      </c>
      <c r="J25" s="285">
        <v>35.192493736994656</v>
      </c>
      <c r="K25" s="285">
        <v>25.873559105044833</v>
      </c>
      <c r="L25" s="285">
        <v>43.88970373095222</v>
      </c>
      <c r="M25" s="310" t="s">
        <v>13</v>
      </c>
      <c r="N25" s="283">
        <v>38.429246507316428</v>
      </c>
      <c r="O25" s="283">
        <v>28.610682558409213</v>
      </c>
      <c r="P25" s="283">
        <v>47.65338916198656</v>
      </c>
      <c r="Q25" s="305" t="s">
        <v>13</v>
      </c>
      <c r="R25" s="299">
        <f t="shared" si="1"/>
        <v>35.334727791709518</v>
      </c>
      <c r="S25" s="299">
        <f t="shared" si="1"/>
        <v>25.562800998020037</v>
      </c>
      <c r="T25" s="299">
        <f t="shared" si="1"/>
        <v>44.453766810006073</v>
      </c>
    </row>
    <row r="26" spans="1:20" s="58" customFormat="1" ht="21.75" customHeight="1">
      <c r="A26" s="309" t="s">
        <v>12</v>
      </c>
      <c r="B26" s="303">
        <v>8.1659989503957409</v>
      </c>
      <c r="C26" s="303">
        <v>0.93298303639722224</v>
      </c>
      <c r="D26" s="303">
        <v>14.913435215547066</v>
      </c>
      <c r="E26" s="308" t="s">
        <v>12</v>
      </c>
      <c r="F26" s="287">
        <v>9.1911231751869202</v>
      </c>
      <c r="G26" s="287">
        <v>2.0929391145901048</v>
      </c>
      <c r="H26" s="287">
        <v>15.814110502713341</v>
      </c>
      <c r="I26" s="307" t="s">
        <v>12</v>
      </c>
      <c r="J26" s="285">
        <v>8.6027512453015298</v>
      </c>
      <c r="K26" s="285">
        <v>0.86229404085664896</v>
      </c>
      <c r="L26" s="285">
        <v>15.82679395137353</v>
      </c>
      <c r="M26" s="306" t="s">
        <v>12</v>
      </c>
      <c r="N26" s="283">
        <v>9.72828721212381</v>
      </c>
      <c r="O26" s="283">
        <v>0.66581964485585499</v>
      </c>
      <c r="P26" s="283">
        <v>18.246574878235673</v>
      </c>
      <c r="Q26" s="305" t="s">
        <v>12</v>
      </c>
      <c r="R26" s="299">
        <f t="shared" si="1"/>
        <v>8.9293710279072123</v>
      </c>
      <c r="S26" s="299">
        <f t="shared" si="1"/>
        <v>1.138575450128356</v>
      </c>
      <c r="T26" s="299">
        <f t="shared" si="1"/>
        <v>16.199650172209527</v>
      </c>
    </row>
    <row r="27" spans="1:20" s="58" customFormat="1" ht="21.75" customHeight="1">
      <c r="A27" s="304" t="s">
        <v>11</v>
      </c>
      <c r="B27" s="303">
        <v>7.626508198148553</v>
      </c>
      <c r="C27" s="303">
        <v>7.1156836484091013</v>
      </c>
      <c r="D27" s="303">
        <v>8.1030391684967356</v>
      </c>
      <c r="E27" s="288" t="s">
        <v>11</v>
      </c>
      <c r="F27" s="287">
        <v>8.1819729628494571</v>
      </c>
      <c r="G27" s="287">
        <v>7.5233061020457725</v>
      </c>
      <c r="H27" s="287">
        <v>8.7385446128587265</v>
      </c>
      <c r="I27" s="302" t="s">
        <v>11</v>
      </c>
      <c r="J27" s="285">
        <v>8.175702712119767</v>
      </c>
      <c r="K27" s="285">
        <v>8.5656826326480218</v>
      </c>
      <c r="L27" s="285">
        <v>7.753742288923239</v>
      </c>
      <c r="M27" s="301" t="s">
        <v>11</v>
      </c>
      <c r="N27" s="283">
        <v>8.1240189911626448</v>
      </c>
      <c r="O27" s="283">
        <v>8.0998477377459128</v>
      </c>
      <c r="P27" s="283">
        <v>8.1465841035189754</v>
      </c>
      <c r="Q27" s="305" t="s">
        <v>11</v>
      </c>
      <c r="R27" s="299">
        <f t="shared" si="1"/>
        <v>8.0195021430826205</v>
      </c>
      <c r="S27" s="299">
        <f t="shared" si="1"/>
        <v>7.8335400151754282</v>
      </c>
      <c r="T27" s="299">
        <f t="shared" si="1"/>
        <v>8.1930392829612035</v>
      </c>
    </row>
    <row r="28" spans="1:20" s="58" customFormat="1" ht="21.75" customHeight="1">
      <c r="A28" s="304" t="s">
        <v>10</v>
      </c>
      <c r="B28" s="303">
        <v>17.119882024092259</v>
      </c>
      <c r="C28" s="303">
        <v>15.458530274584023</v>
      </c>
      <c r="D28" s="303">
        <v>18.716344273637976</v>
      </c>
      <c r="E28" s="288" t="s">
        <v>10</v>
      </c>
      <c r="F28" s="287">
        <v>17.404569755167365</v>
      </c>
      <c r="G28" s="287">
        <v>14.665388751321503</v>
      </c>
      <c r="H28" s="287">
        <v>19.96024256922523</v>
      </c>
      <c r="I28" s="302" t="s">
        <v>10</v>
      </c>
      <c r="J28" s="285">
        <v>18.444039779573355</v>
      </c>
      <c r="K28" s="285">
        <v>16.445481625596646</v>
      </c>
      <c r="L28" s="285">
        <v>20.309261571201567</v>
      </c>
      <c r="M28" s="301" t="s">
        <v>10</v>
      </c>
      <c r="N28" s="283">
        <v>20.576940304029975</v>
      </c>
      <c r="O28" s="283">
        <v>19.845015175807443</v>
      </c>
      <c r="P28" s="283">
        <v>21.260230180231911</v>
      </c>
      <c r="Q28" s="300" t="s">
        <v>10</v>
      </c>
      <c r="R28" s="299">
        <f t="shared" si="1"/>
        <v>18.385853160978439</v>
      </c>
      <c r="S28" s="299">
        <f t="shared" si="1"/>
        <v>16.590659324736276</v>
      </c>
      <c r="T28" s="299">
        <f t="shared" si="1"/>
        <v>20.06108111743594</v>
      </c>
    </row>
    <row r="29" spans="1:20" s="58" customFormat="1" ht="19.5" customHeight="1">
      <c r="A29" s="298"/>
      <c r="B29" s="297"/>
      <c r="C29" s="297"/>
      <c r="D29" s="297"/>
      <c r="E29" s="296"/>
      <c r="F29" s="295"/>
      <c r="G29" s="295"/>
      <c r="H29" s="295"/>
      <c r="I29" s="294"/>
      <c r="J29" s="293"/>
      <c r="K29" s="293"/>
      <c r="L29" s="293"/>
      <c r="M29" s="292"/>
      <c r="N29" s="291"/>
      <c r="O29" s="291"/>
      <c r="P29" s="291"/>
      <c r="Q29" s="6"/>
      <c r="R29" s="290"/>
      <c r="S29" s="290"/>
      <c r="T29" s="290"/>
    </row>
    <row r="30" spans="1:20" s="58" customFormat="1" ht="20.25" hidden="1" customHeight="1">
      <c r="A30" s="59"/>
      <c r="B30" s="289"/>
      <c r="C30" s="289"/>
      <c r="D30" s="289"/>
      <c r="E30" s="288"/>
      <c r="F30" s="287"/>
      <c r="G30" s="287"/>
      <c r="H30" s="287"/>
      <c r="I30" s="286"/>
      <c r="J30" s="285"/>
      <c r="K30" s="285"/>
      <c r="L30" s="285"/>
      <c r="M30" s="284"/>
      <c r="N30" s="283"/>
      <c r="O30" s="283"/>
      <c r="P30" s="283"/>
      <c r="Q30" s="59"/>
      <c r="R30" s="282"/>
      <c r="S30" s="282"/>
      <c r="T30" s="282"/>
    </row>
    <row r="31" spans="1:20" s="280" customFormat="1" ht="45" customHeight="1">
      <c r="A31" s="281"/>
      <c r="B31" s="281">
        <v>4</v>
      </c>
      <c r="C31" s="281"/>
      <c r="D31" s="281"/>
      <c r="E31" s="281"/>
      <c r="F31" s="281">
        <v>3</v>
      </c>
      <c r="G31" s="281"/>
      <c r="H31" s="281"/>
      <c r="I31" s="281"/>
      <c r="J31" s="281">
        <v>2</v>
      </c>
      <c r="K31" s="281"/>
      <c r="L31" s="281"/>
      <c r="M31" s="281"/>
      <c r="N31" s="281">
        <v>1</v>
      </c>
      <c r="O31" s="281"/>
      <c r="P31" s="281"/>
      <c r="Q31" s="281"/>
      <c r="R31" s="1177">
        <v>2563</v>
      </c>
      <c r="S31" s="1177"/>
    </row>
    <row r="32" spans="1:20" s="274" customFormat="1" ht="24" customHeight="1">
      <c r="B32" s="277"/>
      <c r="C32" s="277"/>
      <c r="D32" s="277"/>
      <c r="E32" s="278"/>
      <c r="F32" s="279"/>
      <c r="G32" s="279"/>
      <c r="H32" s="279"/>
      <c r="I32" s="278"/>
      <c r="J32" s="277"/>
      <c r="K32" s="277"/>
      <c r="L32" s="277"/>
      <c r="M32" s="276"/>
      <c r="N32" s="275"/>
      <c r="O32" s="275"/>
      <c r="P32" s="275"/>
    </row>
    <row r="33" spans="2:16" s="274" customFormat="1" ht="24" customHeight="1">
      <c r="B33" s="277"/>
      <c r="C33" s="277"/>
      <c r="D33" s="277"/>
      <c r="E33" s="278"/>
      <c r="F33" s="279"/>
      <c r="G33" s="279"/>
      <c r="H33" s="279"/>
      <c r="I33" s="278"/>
      <c r="J33" s="277"/>
      <c r="K33" s="277"/>
      <c r="L33" s="277"/>
      <c r="M33" s="276"/>
      <c r="N33" s="275"/>
      <c r="O33" s="275"/>
      <c r="P33" s="275"/>
    </row>
    <row r="34" spans="2:16" s="274" customFormat="1" ht="24" customHeight="1">
      <c r="B34" s="277"/>
      <c r="C34" s="277"/>
      <c r="D34" s="277"/>
      <c r="E34" s="278"/>
      <c r="F34" s="279"/>
      <c r="G34" s="279"/>
      <c r="H34" s="279"/>
      <c r="I34" s="278"/>
      <c r="J34" s="277"/>
      <c r="K34" s="277"/>
      <c r="L34" s="277"/>
      <c r="M34" s="276"/>
      <c r="N34" s="275"/>
      <c r="O34" s="275"/>
      <c r="P34" s="275"/>
    </row>
    <row r="35" spans="2:16" s="274" customFormat="1" ht="24" customHeight="1">
      <c r="B35" s="277"/>
      <c r="C35" s="277"/>
      <c r="D35" s="277"/>
      <c r="E35" s="278"/>
      <c r="F35" s="279"/>
      <c r="G35" s="279"/>
      <c r="H35" s="279"/>
      <c r="I35" s="278"/>
      <c r="J35" s="277"/>
      <c r="K35" s="277"/>
      <c r="L35" s="277"/>
      <c r="M35" s="276"/>
      <c r="N35" s="275"/>
      <c r="O35" s="275"/>
      <c r="P35" s="275"/>
    </row>
    <row r="36" spans="2:16" s="274" customFormat="1" ht="24" customHeight="1">
      <c r="B36" s="277"/>
      <c r="C36" s="277"/>
      <c r="D36" s="277"/>
      <c r="E36" s="278"/>
      <c r="F36" s="279"/>
      <c r="G36" s="279"/>
      <c r="H36" s="279"/>
      <c r="I36" s="278"/>
      <c r="J36" s="277"/>
      <c r="K36" s="277"/>
      <c r="L36" s="277"/>
      <c r="M36" s="276"/>
      <c r="N36" s="275"/>
      <c r="O36" s="275"/>
      <c r="P36" s="275"/>
    </row>
    <row r="37" spans="2:16" s="274" customFormat="1" ht="24" customHeight="1">
      <c r="B37" s="277"/>
      <c r="C37" s="277"/>
      <c r="D37" s="277"/>
      <c r="E37" s="278"/>
      <c r="F37" s="279"/>
      <c r="G37" s="279"/>
      <c r="H37" s="279"/>
      <c r="I37" s="278"/>
      <c r="J37" s="277"/>
      <c r="K37" s="277"/>
      <c r="L37" s="277"/>
      <c r="M37" s="276"/>
      <c r="N37" s="275"/>
      <c r="O37" s="275"/>
      <c r="P37" s="275"/>
    </row>
    <row r="38" spans="2:16" s="274" customFormat="1" ht="24" customHeight="1">
      <c r="B38" s="277"/>
      <c r="C38" s="277"/>
      <c r="D38" s="277"/>
      <c r="E38" s="278"/>
      <c r="F38" s="279"/>
      <c r="G38" s="279"/>
      <c r="H38" s="279"/>
      <c r="I38" s="278"/>
      <c r="J38" s="277"/>
      <c r="K38" s="277"/>
      <c r="L38" s="277"/>
      <c r="M38" s="276"/>
      <c r="N38" s="275"/>
      <c r="O38" s="275"/>
      <c r="P38" s="275"/>
    </row>
    <row r="39" spans="2:16" s="274" customFormat="1" ht="24" customHeight="1">
      <c r="B39" s="277"/>
      <c r="C39" s="277"/>
      <c r="D39" s="277"/>
      <c r="E39" s="278"/>
      <c r="F39" s="279"/>
      <c r="G39" s="279"/>
      <c r="H39" s="279"/>
      <c r="I39" s="278"/>
      <c r="J39" s="277"/>
      <c r="K39" s="277"/>
      <c r="L39" s="277"/>
      <c r="M39" s="276"/>
      <c r="N39" s="275"/>
      <c r="O39" s="275"/>
      <c r="P39" s="275"/>
    </row>
    <row r="40" spans="2:16" s="274" customFormat="1" ht="24" customHeight="1">
      <c r="B40" s="277"/>
      <c r="C40" s="277"/>
      <c r="D40" s="277"/>
      <c r="E40" s="278"/>
      <c r="F40" s="279"/>
      <c r="G40" s="279"/>
      <c r="H40" s="279"/>
      <c r="I40" s="278"/>
      <c r="J40" s="277"/>
      <c r="K40" s="277"/>
      <c r="L40" s="277"/>
      <c r="M40" s="276"/>
      <c r="N40" s="275"/>
      <c r="O40" s="275"/>
      <c r="P40" s="275"/>
    </row>
    <row r="41" spans="2:16" s="274" customFormat="1" ht="24" customHeight="1">
      <c r="B41" s="277"/>
      <c r="C41" s="277"/>
      <c r="D41" s="277"/>
      <c r="E41" s="278"/>
      <c r="F41" s="279"/>
      <c r="G41" s="279"/>
      <c r="H41" s="279"/>
      <c r="I41" s="278"/>
      <c r="J41" s="277"/>
      <c r="K41" s="277"/>
      <c r="L41" s="277"/>
      <c r="M41" s="276"/>
      <c r="N41" s="275"/>
      <c r="O41" s="275"/>
      <c r="P41" s="275"/>
    </row>
    <row r="42" spans="2:16" s="274" customFormat="1" ht="24" customHeight="1">
      <c r="B42" s="277"/>
      <c r="C42" s="277"/>
      <c r="D42" s="277"/>
      <c r="E42" s="278"/>
      <c r="F42" s="279"/>
      <c r="G42" s="279"/>
      <c r="H42" s="279"/>
      <c r="I42" s="278"/>
      <c r="J42" s="277"/>
      <c r="K42" s="277"/>
      <c r="L42" s="277"/>
      <c r="M42" s="276"/>
      <c r="N42" s="275"/>
      <c r="O42" s="275"/>
      <c r="P42" s="275"/>
    </row>
    <row r="43" spans="2:16" s="274" customFormat="1" ht="24" customHeight="1">
      <c r="B43" s="277"/>
      <c r="C43" s="277"/>
      <c r="D43" s="277"/>
      <c r="E43" s="278"/>
      <c r="F43" s="279"/>
      <c r="G43" s="279"/>
      <c r="H43" s="279"/>
      <c r="I43" s="278"/>
      <c r="J43" s="277"/>
      <c r="K43" s="277"/>
      <c r="L43" s="277"/>
      <c r="M43" s="276"/>
      <c r="N43" s="275"/>
      <c r="O43" s="275"/>
      <c r="P43" s="275"/>
    </row>
    <row r="44" spans="2:16" s="274" customFormat="1" ht="24" customHeight="1">
      <c r="B44" s="277"/>
      <c r="C44" s="277"/>
      <c r="D44" s="277"/>
      <c r="E44" s="278"/>
      <c r="F44" s="279"/>
      <c r="G44" s="279"/>
      <c r="H44" s="279"/>
      <c r="I44" s="278"/>
      <c r="J44" s="277"/>
      <c r="K44" s="277"/>
      <c r="L44" s="277"/>
      <c r="M44" s="276"/>
      <c r="N44" s="275"/>
      <c r="O44" s="275"/>
      <c r="P44" s="275"/>
    </row>
    <row r="45" spans="2:16" s="274" customFormat="1" ht="24" customHeight="1">
      <c r="B45" s="277"/>
      <c r="C45" s="277"/>
      <c r="D45" s="277"/>
      <c r="E45" s="278"/>
      <c r="F45" s="279"/>
      <c r="G45" s="279"/>
      <c r="H45" s="279"/>
      <c r="I45" s="278"/>
      <c r="J45" s="277"/>
      <c r="K45" s="277"/>
      <c r="L45" s="277"/>
      <c r="M45" s="276"/>
      <c r="N45" s="275"/>
      <c r="O45" s="275"/>
      <c r="P45" s="275"/>
    </row>
    <row r="46" spans="2:16" s="274" customFormat="1" ht="24" customHeight="1">
      <c r="B46" s="277"/>
      <c r="C46" s="277"/>
      <c r="D46" s="277"/>
      <c r="E46" s="278"/>
      <c r="F46" s="279"/>
      <c r="G46" s="279"/>
      <c r="H46" s="279"/>
      <c r="I46" s="278"/>
      <c r="J46" s="277"/>
      <c r="K46" s="277"/>
      <c r="L46" s="277"/>
      <c r="M46" s="276"/>
      <c r="N46" s="275"/>
      <c r="O46" s="275"/>
      <c r="P46" s="275"/>
    </row>
    <row r="47" spans="2:16" s="274" customFormat="1" ht="24" customHeight="1">
      <c r="B47" s="277"/>
      <c r="C47" s="277"/>
      <c r="D47" s="277"/>
      <c r="E47" s="278"/>
      <c r="F47" s="279"/>
      <c r="G47" s="279"/>
      <c r="H47" s="279"/>
      <c r="I47" s="278"/>
      <c r="J47" s="277"/>
      <c r="K47" s="277"/>
      <c r="L47" s="277"/>
      <c r="M47" s="276"/>
      <c r="N47" s="275"/>
      <c r="O47" s="275"/>
      <c r="P47" s="275"/>
    </row>
    <row r="48" spans="2:16" s="274" customFormat="1" ht="24" customHeight="1">
      <c r="B48" s="277"/>
      <c r="C48" s="277"/>
      <c r="D48" s="277"/>
      <c r="E48" s="278"/>
      <c r="F48" s="279"/>
      <c r="G48" s="279"/>
      <c r="H48" s="279"/>
      <c r="I48" s="278"/>
      <c r="J48" s="277"/>
      <c r="K48" s="277"/>
      <c r="L48" s="277"/>
      <c r="M48" s="276"/>
      <c r="N48" s="275"/>
      <c r="O48" s="275"/>
      <c r="P48" s="275"/>
    </row>
    <row r="49" spans="2:16" s="274" customFormat="1" ht="24" customHeight="1">
      <c r="B49" s="277"/>
      <c r="C49" s="277"/>
      <c r="D49" s="277"/>
      <c r="E49" s="278"/>
      <c r="F49" s="279"/>
      <c r="G49" s="279"/>
      <c r="H49" s="279"/>
      <c r="I49" s="278"/>
      <c r="J49" s="277"/>
      <c r="K49" s="277"/>
      <c r="L49" s="277"/>
      <c r="M49" s="276"/>
      <c r="N49" s="275"/>
      <c r="O49" s="275"/>
      <c r="P49" s="275"/>
    </row>
    <row r="50" spans="2:16" s="274" customFormat="1" ht="24" customHeight="1">
      <c r="B50" s="277"/>
      <c r="C50" s="277"/>
      <c r="D50" s="277"/>
      <c r="E50" s="278"/>
      <c r="F50" s="279"/>
      <c r="G50" s="279"/>
      <c r="H50" s="279"/>
      <c r="I50" s="278"/>
      <c r="J50" s="277"/>
      <c r="K50" s="277"/>
      <c r="L50" s="277"/>
      <c r="M50" s="276"/>
      <c r="N50" s="275"/>
      <c r="O50" s="275"/>
      <c r="P50" s="275"/>
    </row>
    <row r="51" spans="2:16" s="274" customFormat="1" ht="24" customHeight="1">
      <c r="B51" s="277"/>
      <c r="C51" s="277"/>
      <c r="D51" s="277"/>
      <c r="E51" s="278"/>
      <c r="F51" s="279"/>
      <c r="G51" s="279"/>
      <c r="H51" s="279"/>
      <c r="I51" s="278"/>
      <c r="J51" s="277"/>
      <c r="K51" s="277"/>
      <c r="L51" s="277"/>
      <c r="M51" s="276"/>
      <c r="N51" s="275"/>
      <c r="O51" s="275"/>
      <c r="P51" s="275"/>
    </row>
    <row r="52" spans="2:16" s="274" customFormat="1" ht="24" customHeight="1">
      <c r="B52" s="277"/>
      <c r="C52" s="277"/>
      <c r="D52" s="277"/>
      <c r="E52" s="278"/>
      <c r="F52" s="279"/>
      <c r="G52" s="279"/>
      <c r="H52" s="279"/>
      <c r="I52" s="278"/>
      <c r="J52" s="277"/>
      <c r="K52" s="277"/>
      <c r="L52" s="277"/>
      <c r="M52" s="276"/>
      <c r="N52" s="275"/>
      <c r="O52" s="275"/>
      <c r="P52" s="275"/>
    </row>
    <row r="53" spans="2:16" s="274" customFormat="1" ht="24" customHeight="1">
      <c r="B53" s="277"/>
      <c r="C53" s="277"/>
      <c r="D53" s="277"/>
      <c r="E53" s="278"/>
      <c r="F53" s="279"/>
      <c r="G53" s="279"/>
      <c r="H53" s="279"/>
      <c r="I53" s="278"/>
      <c r="J53" s="277"/>
      <c r="K53" s="277"/>
      <c r="L53" s="277"/>
      <c r="M53" s="276"/>
      <c r="N53" s="275"/>
      <c r="O53" s="275"/>
      <c r="P53" s="275"/>
    </row>
    <row r="54" spans="2:16" s="274" customFormat="1" ht="24" customHeight="1">
      <c r="B54" s="277"/>
      <c r="C54" s="277"/>
      <c r="D54" s="277"/>
      <c r="E54" s="278"/>
      <c r="F54" s="279"/>
      <c r="G54" s="279"/>
      <c r="H54" s="279"/>
      <c r="I54" s="278"/>
      <c r="J54" s="277"/>
      <c r="K54" s="277"/>
      <c r="L54" s="277"/>
      <c r="M54" s="276"/>
      <c r="N54" s="275"/>
      <c r="O54" s="275"/>
      <c r="P54" s="275"/>
    </row>
    <row r="55" spans="2:16" s="274" customFormat="1" ht="24" customHeight="1">
      <c r="B55" s="277"/>
      <c r="C55" s="277"/>
      <c r="D55" s="277"/>
      <c r="E55" s="278"/>
      <c r="F55" s="279"/>
      <c r="G55" s="279"/>
      <c r="H55" s="279"/>
      <c r="I55" s="278"/>
      <c r="J55" s="277"/>
      <c r="K55" s="277"/>
      <c r="L55" s="277"/>
      <c r="M55" s="276"/>
      <c r="N55" s="275"/>
      <c r="O55" s="275"/>
      <c r="P55" s="275"/>
    </row>
    <row r="56" spans="2:16" s="274" customFormat="1" ht="24" customHeight="1">
      <c r="B56" s="277"/>
      <c r="C56" s="277"/>
      <c r="D56" s="277"/>
      <c r="E56" s="278"/>
      <c r="F56" s="279"/>
      <c r="G56" s="279"/>
      <c r="H56" s="279"/>
      <c r="I56" s="278"/>
      <c r="J56" s="277"/>
      <c r="K56" s="277"/>
      <c r="L56" s="277"/>
      <c r="M56" s="276"/>
      <c r="N56" s="275"/>
      <c r="O56" s="275"/>
      <c r="P56" s="275"/>
    </row>
    <row r="57" spans="2:16" s="274" customFormat="1" ht="24" customHeight="1">
      <c r="B57" s="277"/>
      <c r="C57" s="277"/>
      <c r="D57" s="277"/>
      <c r="E57" s="278"/>
      <c r="F57" s="279"/>
      <c r="G57" s="279"/>
      <c r="H57" s="279"/>
      <c r="I57" s="278"/>
      <c r="J57" s="277"/>
      <c r="K57" s="277"/>
      <c r="L57" s="277"/>
      <c r="M57" s="276"/>
      <c r="N57" s="275"/>
      <c r="O57" s="275"/>
      <c r="P57" s="275"/>
    </row>
    <row r="58" spans="2:16" s="274" customFormat="1" ht="24" customHeight="1">
      <c r="B58" s="277"/>
      <c r="C58" s="277"/>
      <c r="D58" s="277"/>
      <c r="E58" s="278"/>
      <c r="F58" s="279"/>
      <c r="G58" s="279"/>
      <c r="H58" s="279"/>
      <c r="I58" s="278"/>
      <c r="J58" s="277"/>
      <c r="K58" s="277"/>
      <c r="L58" s="277"/>
      <c r="M58" s="276"/>
      <c r="N58" s="275"/>
      <c r="O58" s="275"/>
      <c r="P58" s="275"/>
    </row>
    <row r="74" spans="2:16" ht="24" customHeight="1">
      <c r="B74" s="273"/>
      <c r="D74" s="273"/>
      <c r="F74" s="272"/>
      <c r="H74" s="272"/>
      <c r="J74" s="272"/>
      <c r="L74" s="272"/>
      <c r="N74" s="272"/>
      <c r="P74" s="272"/>
    </row>
    <row r="75" spans="2:16" ht="24" customHeight="1">
      <c r="B75" s="273"/>
      <c r="D75" s="273"/>
      <c r="F75" s="272"/>
      <c r="H75" s="272"/>
      <c r="J75" s="272"/>
      <c r="L75" s="272"/>
      <c r="N75" s="272"/>
      <c r="P75" s="272"/>
    </row>
    <row r="76" spans="2:16" ht="24" customHeight="1">
      <c r="B76" s="273"/>
      <c r="D76" s="273"/>
      <c r="F76" s="272"/>
      <c r="H76" s="272"/>
      <c r="J76" s="272"/>
      <c r="L76" s="272"/>
      <c r="N76" s="272"/>
      <c r="P76" s="272"/>
    </row>
    <row r="78" spans="2:16" ht="24" customHeight="1">
      <c r="B78" s="273"/>
      <c r="D78" s="273"/>
      <c r="F78" s="272"/>
      <c r="H78" s="272"/>
      <c r="J78" s="272"/>
      <c r="L78" s="272"/>
      <c r="N78" s="272"/>
      <c r="P78" s="272"/>
    </row>
    <row r="79" spans="2:16" ht="24" customHeight="1">
      <c r="B79" s="273"/>
      <c r="F79" s="272"/>
      <c r="J79" s="272"/>
      <c r="N79" s="272"/>
    </row>
    <row r="80" spans="2:16" ht="24" customHeight="1">
      <c r="B80" s="273"/>
      <c r="D80" s="273"/>
      <c r="F80" s="272"/>
      <c r="H80" s="272"/>
      <c r="J80" s="272"/>
      <c r="L80" s="272"/>
      <c r="N80" s="272"/>
      <c r="P80" s="272"/>
    </row>
    <row r="81" spans="2:16" ht="24" customHeight="1">
      <c r="B81" s="273"/>
      <c r="D81" s="273"/>
      <c r="F81" s="272"/>
      <c r="H81" s="272"/>
      <c r="J81" s="272"/>
      <c r="L81" s="272"/>
      <c r="N81" s="272"/>
      <c r="P81" s="272"/>
    </row>
    <row r="83" spans="2:16" ht="24" customHeight="1">
      <c r="B83" s="273"/>
      <c r="D83" s="273"/>
      <c r="F83" s="272"/>
      <c r="H83" s="272"/>
      <c r="J83" s="272"/>
      <c r="L83" s="272"/>
      <c r="N83" s="272"/>
      <c r="P83" s="272"/>
    </row>
    <row r="85" spans="2:16" ht="24" customHeight="1">
      <c r="B85" s="273"/>
      <c r="D85" s="273"/>
      <c r="F85" s="272"/>
      <c r="H85" s="272"/>
      <c r="J85" s="272"/>
      <c r="L85" s="272"/>
      <c r="N85" s="272"/>
      <c r="P85" s="272"/>
    </row>
    <row r="87" spans="2:16" ht="24" customHeight="1">
      <c r="B87" s="273"/>
      <c r="D87" s="273"/>
      <c r="F87" s="272"/>
      <c r="H87" s="272"/>
      <c r="J87" s="272"/>
      <c r="L87" s="272"/>
      <c r="N87" s="272"/>
      <c r="P87" s="272"/>
    </row>
    <row r="100" spans="2:16" ht="24" customHeight="1">
      <c r="B100" s="273"/>
      <c r="D100" s="273"/>
      <c r="F100" s="272"/>
      <c r="H100" s="272"/>
      <c r="J100" s="272"/>
      <c r="L100" s="272"/>
      <c r="N100" s="272"/>
      <c r="P100" s="272"/>
    </row>
    <row r="101" spans="2:16" ht="24" customHeight="1">
      <c r="B101" s="273"/>
      <c r="D101" s="273"/>
      <c r="F101" s="272"/>
      <c r="H101" s="272"/>
      <c r="J101" s="272"/>
      <c r="L101" s="272"/>
      <c r="N101" s="272"/>
      <c r="P101" s="272"/>
    </row>
    <row r="104" spans="2:16" ht="24" customHeight="1">
      <c r="B104" s="273"/>
      <c r="D104" s="273"/>
      <c r="F104" s="272"/>
      <c r="H104" s="272"/>
      <c r="J104" s="272"/>
      <c r="L104" s="272"/>
      <c r="N104" s="272"/>
      <c r="P104" s="272"/>
    </row>
    <row r="106" spans="2:16" ht="24" customHeight="1">
      <c r="B106" s="273"/>
      <c r="D106" s="273"/>
      <c r="F106" s="272"/>
      <c r="H106" s="272"/>
      <c r="J106" s="272"/>
      <c r="L106" s="272"/>
      <c r="N106" s="272"/>
      <c r="P106" s="272"/>
    </row>
    <row r="108" spans="2:16" ht="24" customHeight="1">
      <c r="B108" s="273"/>
      <c r="D108" s="273"/>
      <c r="F108" s="272"/>
      <c r="H108" s="272"/>
      <c r="J108" s="272"/>
      <c r="L108" s="272"/>
      <c r="N108" s="272"/>
      <c r="P108" s="272"/>
    </row>
    <row r="109" spans="2:16" ht="24" customHeight="1">
      <c r="B109" s="273"/>
      <c r="D109" s="273"/>
      <c r="F109" s="272"/>
      <c r="H109" s="272"/>
      <c r="J109" s="272"/>
      <c r="L109" s="272"/>
      <c r="N109" s="272"/>
      <c r="P109" s="272"/>
    </row>
    <row r="110" spans="2:16" ht="24" customHeight="1">
      <c r="B110" s="273"/>
      <c r="D110" s="273"/>
      <c r="F110" s="272"/>
      <c r="H110" s="272"/>
      <c r="J110" s="272"/>
      <c r="L110" s="272"/>
      <c r="N110" s="272"/>
      <c r="P110" s="272"/>
    </row>
    <row r="111" spans="2:16" ht="24" customHeight="1">
      <c r="B111" s="273"/>
      <c r="D111" s="273"/>
      <c r="F111" s="272"/>
      <c r="H111" s="272"/>
      <c r="J111" s="272"/>
      <c r="L111" s="272"/>
      <c r="N111" s="272"/>
      <c r="P111" s="272"/>
    </row>
    <row r="112" spans="2:16" ht="24" customHeight="1">
      <c r="B112" s="273"/>
      <c r="D112" s="273"/>
      <c r="F112" s="272"/>
      <c r="H112" s="272"/>
      <c r="J112" s="272"/>
      <c r="L112" s="272"/>
      <c r="N112" s="272"/>
      <c r="P112" s="272"/>
    </row>
    <row r="114" spans="2:16" ht="24" customHeight="1">
      <c r="B114" s="273"/>
      <c r="D114" s="273"/>
      <c r="F114" s="272"/>
      <c r="H114" s="272"/>
      <c r="J114" s="272"/>
      <c r="L114" s="272"/>
      <c r="N114" s="272"/>
      <c r="P114" s="272"/>
    </row>
    <row r="115" spans="2:16" ht="24" customHeight="1">
      <c r="B115" s="273"/>
      <c r="D115" s="273"/>
      <c r="F115" s="272"/>
      <c r="H115" s="272"/>
      <c r="J115" s="272"/>
      <c r="L115" s="272"/>
      <c r="N115" s="272"/>
      <c r="P115" s="272"/>
    </row>
    <row r="116" spans="2:16" ht="24" customHeight="1">
      <c r="B116" s="273"/>
      <c r="D116" s="273"/>
      <c r="F116" s="272"/>
      <c r="H116" s="272"/>
      <c r="J116" s="272"/>
      <c r="L116" s="272"/>
      <c r="N116" s="272"/>
      <c r="P116" s="272"/>
    </row>
    <row r="117" spans="2:16" ht="24" customHeight="1">
      <c r="B117" s="273"/>
      <c r="D117" s="273"/>
      <c r="F117" s="272"/>
      <c r="H117" s="272"/>
      <c r="J117" s="272"/>
      <c r="L117" s="272"/>
      <c r="N117" s="272"/>
      <c r="P117" s="272"/>
    </row>
    <row r="118" spans="2:16" ht="24" customHeight="1">
      <c r="B118" s="273"/>
      <c r="D118" s="273"/>
      <c r="F118" s="272"/>
      <c r="H118" s="272"/>
      <c r="J118" s="272"/>
      <c r="L118" s="272"/>
      <c r="N118" s="272"/>
      <c r="P118" s="272"/>
    </row>
    <row r="136" spans="2:16" ht="24" customHeight="1">
      <c r="B136" s="273"/>
      <c r="D136" s="273"/>
      <c r="F136" s="272"/>
      <c r="H136" s="272"/>
      <c r="J136" s="272"/>
      <c r="L136" s="272"/>
      <c r="N136" s="272"/>
      <c r="P136" s="272"/>
    </row>
    <row r="137" spans="2:16" ht="24" customHeight="1">
      <c r="B137" s="273"/>
      <c r="D137" s="273"/>
      <c r="F137" s="272"/>
      <c r="H137" s="272"/>
      <c r="J137" s="272"/>
      <c r="L137" s="272"/>
      <c r="N137" s="272"/>
      <c r="P137" s="272"/>
    </row>
    <row r="138" spans="2:16" ht="24" customHeight="1">
      <c r="B138" s="273"/>
      <c r="D138" s="273"/>
      <c r="F138" s="272"/>
      <c r="H138" s="272"/>
      <c r="J138" s="272"/>
      <c r="L138" s="272"/>
      <c r="N138" s="272"/>
      <c r="P138" s="272"/>
    </row>
    <row r="139" spans="2:16" ht="24" customHeight="1">
      <c r="B139" s="273"/>
      <c r="D139" s="273"/>
      <c r="F139" s="272"/>
      <c r="H139" s="272"/>
      <c r="J139" s="272"/>
      <c r="L139" s="272"/>
      <c r="N139" s="272"/>
      <c r="P139" s="272"/>
    </row>
    <row r="140" spans="2:16" ht="24" customHeight="1">
      <c r="B140" s="273"/>
      <c r="D140" s="273"/>
      <c r="F140" s="272"/>
      <c r="H140" s="272"/>
      <c r="J140" s="272"/>
      <c r="L140" s="272"/>
      <c r="N140" s="272"/>
      <c r="P140" s="272"/>
    </row>
    <row r="141" spans="2:16" ht="24" customHeight="1">
      <c r="B141" s="273"/>
      <c r="D141" s="273"/>
      <c r="F141" s="272"/>
      <c r="H141" s="272"/>
      <c r="J141" s="272"/>
      <c r="L141" s="272"/>
      <c r="N141" s="272"/>
      <c r="P141" s="272"/>
    </row>
    <row r="162" spans="2:16" ht="24" customHeight="1">
      <c r="B162" s="273"/>
      <c r="D162" s="273"/>
      <c r="F162" s="272"/>
      <c r="H162" s="272"/>
      <c r="J162" s="272"/>
      <c r="L162" s="272"/>
      <c r="N162" s="272"/>
      <c r="P162" s="272"/>
    </row>
    <row r="163" spans="2:16" ht="24" customHeight="1">
      <c r="B163" s="273"/>
      <c r="D163" s="273"/>
      <c r="F163" s="272"/>
      <c r="H163" s="272"/>
      <c r="J163" s="272"/>
      <c r="L163" s="272"/>
      <c r="N163" s="272"/>
      <c r="P163" s="272"/>
    </row>
    <row r="165" spans="2:16" ht="24" customHeight="1">
      <c r="B165" s="273"/>
      <c r="D165" s="273"/>
      <c r="F165" s="272"/>
      <c r="H165" s="272"/>
      <c r="J165" s="272"/>
      <c r="L165" s="272"/>
      <c r="N165" s="272"/>
      <c r="P165" s="272"/>
    </row>
    <row r="166" spans="2:16" ht="24" customHeight="1">
      <c r="B166" s="273"/>
      <c r="D166" s="273"/>
      <c r="F166" s="272"/>
      <c r="H166" s="272"/>
      <c r="J166" s="272"/>
      <c r="L166" s="272"/>
      <c r="N166" s="272"/>
      <c r="P166" s="272"/>
    </row>
    <row r="167" spans="2:16" ht="24" customHeight="1">
      <c r="B167" s="273"/>
      <c r="D167" s="273"/>
      <c r="F167" s="272"/>
      <c r="H167" s="272"/>
      <c r="J167" s="272"/>
      <c r="L167" s="272"/>
      <c r="N167" s="272"/>
      <c r="P167" s="272"/>
    </row>
    <row r="168" spans="2:16" ht="24" customHeight="1">
      <c r="B168" s="273"/>
      <c r="D168" s="273"/>
      <c r="F168" s="272"/>
      <c r="H168" s="272"/>
      <c r="J168" s="272"/>
      <c r="L168" s="272"/>
      <c r="N168" s="272"/>
      <c r="P168" s="272"/>
    </row>
    <row r="169" spans="2:16" ht="24" customHeight="1">
      <c r="B169" s="273"/>
      <c r="D169" s="273"/>
      <c r="F169" s="272"/>
      <c r="H169" s="272"/>
      <c r="J169" s="272"/>
      <c r="L169" s="272"/>
      <c r="N169" s="272"/>
      <c r="P169" s="272"/>
    </row>
    <row r="170" spans="2:16" ht="24" customHeight="1">
      <c r="B170" s="273"/>
      <c r="D170" s="273"/>
      <c r="F170" s="272"/>
      <c r="H170" s="272"/>
      <c r="J170" s="272"/>
      <c r="L170" s="272"/>
      <c r="N170" s="272"/>
      <c r="P170" s="272"/>
    </row>
    <row r="183" spans="2:16" ht="24" customHeight="1">
      <c r="B183" s="273"/>
      <c r="C183" s="273"/>
      <c r="D183" s="273"/>
      <c r="F183" s="272"/>
      <c r="G183" s="272"/>
      <c r="H183" s="272"/>
      <c r="J183" s="272"/>
      <c r="K183" s="272"/>
      <c r="L183" s="272"/>
      <c r="N183" s="272"/>
      <c r="O183" s="272"/>
      <c r="P183" s="272"/>
    </row>
    <row r="184" spans="2:16" ht="24" customHeight="1">
      <c r="B184" s="273"/>
      <c r="C184" s="273"/>
      <c r="D184" s="273"/>
      <c r="F184" s="272"/>
      <c r="G184" s="272"/>
      <c r="H184" s="272"/>
      <c r="J184" s="272"/>
      <c r="K184" s="272"/>
      <c r="L184" s="272"/>
      <c r="N184" s="272"/>
      <c r="O184" s="272"/>
      <c r="P184" s="272"/>
    </row>
    <row r="185" spans="2:16" ht="24" customHeight="1">
      <c r="B185" s="273"/>
      <c r="C185" s="273"/>
      <c r="D185" s="273"/>
      <c r="F185" s="272"/>
      <c r="G185" s="272"/>
      <c r="H185" s="272"/>
      <c r="J185" s="272"/>
      <c r="K185" s="272"/>
      <c r="L185" s="272"/>
      <c r="N185" s="272"/>
      <c r="O185" s="272"/>
      <c r="P185" s="272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opLeftCell="G1" zoomScale="60" zoomScaleNormal="60" workbookViewId="0">
      <selection activeCell="N19" sqref="N19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14" t="s">
        <v>177</v>
      </c>
      <c r="B1" s="413"/>
      <c r="C1" s="413"/>
      <c r="D1" s="413"/>
      <c r="E1" s="412" t="s">
        <v>177</v>
      </c>
      <c r="F1" s="411"/>
      <c r="G1" s="411"/>
      <c r="H1" s="411"/>
      <c r="I1" s="410" t="s">
        <v>176</v>
      </c>
      <c r="J1" s="409"/>
      <c r="K1" s="409"/>
      <c r="L1" s="409"/>
      <c r="M1" s="408" t="s">
        <v>176</v>
      </c>
      <c r="N1" s="407"/>
      <c r="O1" s="407"/>
      <c r="P1" s="407"/>
      <c r="Q1" s="35" t="s">
        <v>175</v>
      </c>
    </row>
    <row r="2" spans="1:21" s="57" customFormat="1" ht="27.75" customHeight="1">
      <c r="A2" s="406" t="s">
        <v>174</v>
      </c>
      <c r="B2" s="406"/>
      <c r="C2" s="406"/>
      <c r="D2" s="406"/>
      <c r="E2" s="405" t="s">
        <v>173</v>
      </c>
      <c r="F2" s="404"/>
      <c r="G2" s="404"/>
      <c r="H2" s="404"/>
      <c r="I2" s="403" t="s">
        <v>172</v>
      </c>
      <c r="J2" s="402"/>
      <c r="K2" s="402"/>
      <c r="L2" s="402"/>
      <c r="M2" s="401" t="s">
        <v>171</v>
      </c>
      <c r="N2" s="400"/>
      <c r="O2" s="400"/>
      <c r="P2" s="400"/>
      <c r="Q2" s="57" t="s">
        <v>170</v>
      </c>
    </row>
    <row r="3" spans="1:21" s="57" customFormat="1" ht="13.5" customHeight="1">
      <c r="A3" s="399"/>
      <c r="B3" s="399"/>
      <c r="C3" s="399"/>
      <c r="D3" s="399"/>
      <c r="E3" s="398"/>
      <c r="F3" s="397"/>
      <c r="G3" s="397"/>
      <c r="H3" s="397"/>
      <c r="I3" s="396"/>
      <c r="J3" s="395"/>
      <c r="K3" s="395"/>
      <c r="L3" s="395"/>
      <c r="M3" s="394"/>
      <c r="N3" s="393"/>
      <c r="O3" s="393"/>
      <c r="P3" s="393"/>
    </row>
    <row r="4" spans="1:21" s="57" customFormat="1" ht="32.25" customHeight="1">
      <c r="A4" s="392" t="s">
        <v>9</v>
      </c>
      <c r="B4" s="391" t="s">
        <v>0</v>
      </c>
      <c r="C4" s="391" t="s">
        <v>1</v>
      </c>
      <c r="D4" s="391" t="s">
        <v>2</v>
      </c>
      <c r="E4" s="390" t="s">
        <v>9</v>
      </c>
      <c r="F4" s="389" t="s">
        <v>0</v>
      </c>
      <c r="G4" s="389" t="s">
        <v>1</v>
      </c>
      <c r="H4" s="389" t="s">
        <v>2</v>
      </c>
      <c r="I4" s="388" t="s">
        <v>9</v>
      </c>
      <c r="J4" s="387" t="s">
        <v>0</v>
      </c>
      <c r="K4" s="387" t="s">
        <v>1</v>
      </c>
      <c r="L4" s="387" t="s">
        <v>2</v>
      </c>
      <c r="M4" s="386" t="s">
        <v>9</v>
      </c>
      <c r="N4" s="385" t="s">
        <v>0</v>
      </c>
      <c r="O4" s="385" t="s">
        <v>1</v>
      </c>
      <c r="P4" s="385" t="s">
        <v>2</v>
      </c>
      <c r="Q4" s="384" t="s">
        <v>9</v>
      </c>
      <c r="R4" s="383" t="s">
        <v>0</v>
      </c>
      <c r="S4" s="383" t="s">
        <v>1</v>
      </c>
      <c r="T4" s="383" t="s">
        <v>2</v>
      </c>
    </row>
    <row r="5" spans="1:21" s="336" customFormat="1" ht="27.75" customHeight="1">
      <c r="A5" s="355"/>
      <c r="B5" s="355"/>
      <c r="C5" s="382" t="s">
        <v>21</v>
      </c>
      <c r="D5" s="355"/>
      <c r="E5" s="380"/>
      <c r="F5" s="380"/>
      <c r="G5" s="381" t="s">
        <v>21</v>
      </c>
      <c r="H5" s="380"/>
      <c r="I5" s="378"/>
      <c r="J5" s="378"/>
      <c r="K5" s="379" t="s">
        <v>21</v>
      </c>
      <c r="L5" s="378"/>
      <c r="M5" s="376"/>
      <c r="N5" s="376"/>
      <c r="O5" s="377" t="s">
        <v>21</v>
      </c>
      <c r="P5" s="376"/>
      <c r="Q5" s="347"/>
      <c r="S5" s="346" t="s">
        <v>21</v>
      </c>
    </row>
    <row r="6" spans="1:21" s="364" customFormat="1" ht="21.75" customHeight="1">
      <c r="A6" s="375" t="s">
        <v>19</v>
      </c>
      <c r="B6" s="344">
        <v>2056013</v>
      </c>
      <c r="C6" s="344">
        <v>992301</v>
      </c>
      <c r="D6" s="344">
        <v>1063712</v>
      </c>
      <c r="E6" s="372" t="s">
        <v>19</v>
      </c>
      <c r="F6" s="342">
        <v>2055690</v>
      </c>
      <c r="G6" s="342">
        <v>992241</v>
      </c>
      <c r="H6" s="342">
        <v>1063449</v>
      </c>
      <c r="I6" s="370" t="s">
        <v>19</v>
      </c>
      <c r="J6" s="365">
        <v>2054924</v>
      </c>
      <c r="K6" s="365">
        <v>992005</v>
      </c>
      <c r="L6" s="365">
        <v>1062919</v>
      </c>
      <c r="M6" s="369" t="s">
        <v>19</v>
      </c>
      <c r="N6" s="338">
        <v>2054008</v>
      </c>
      <c r="O6" s="338">
        <v>991710</v>
      </c>
      <c r="P6" s="338">
        <v>1062298</v>
      </c>
      <c r="Q6" s="374" t="s">
        <v>19</v>
      </c>
      <c r="R6" s="373">
        <f t="shared" ref="R6:T8" si="0">(N6+J6+F6+B6)/4</f>
        <v>2055158.75</v>
      </c>
      <c r="S6" s="373">
        <f t="shared" si="0"/>
        <v>992064.25</v>
      </c>
      <c r="T6" s="373">
        <f t="shared" si="0"/>
        <v>1063094.5</v>
      </c>
      <c r="U6" s="358"/>
    </row>
    <row r="7" spans="1:21" s="58" customFormat="1" ht="21.75" customHeight="1">
      <c r="A7" s="309" t="s">
        <v>18</v>
      </c>
      <c r="B7" s="344">
        <v>1379330</v>
      </c>
      <c r="C7" s="344">
        <v>759535</v>
      </c>
      <c r="D7" s="344">
        <v>619795</v>
      </c>
      <c r="E7" s="372" t="s">
        <v>18</v>
      </c>
      <c r="F7" s="342">
        <v>1340769</v>
      </c>
      <c r="G7" s="342">
        <v>751011</v>
      </c>
      <c r="H7" s="371">
        <v>589758</v>
      </c>
      <c r="I7" s="370" t="s">
        <v>18</v>
      </c>
      <c r="J7" s="365">
        <v>1331745</v>
      </c>
      <c r="K7" s="365">
        <v>735338</v>
      </c>
      <c r="L7" s="365">
        <v>596407</v>
      </c>
      <c r="M7" s="369" t="s">
        <v>18</v>
      </c>
      <c r="N7" s="338">
        <v>1264052</v>
      </c>
      <c r="O7" s="338">
        <v>707975</v>
      </c>
      <c r="P7" s="338">
        <v>556077</v>
      </c>
      <c r="Q7" s="305" t="s">
        <v>18</v>
      </c>
      <c r="R7" s="359">
        <f t="shared" si="0"/>
        <v>1328974</v>
      </c>
      <c r="S7" s="359">
        <f t="shared" si="0"/>
        <v>738464.75</v>
      </c>
      <c r="T7" s="359">
        <f t="shared" si="0"/>
        <v>590509.25</v>
      </c>
      <c r="U7" s="358"/>
    </row>
    <row r="8" spans="1:21" s="58" customFormat="1" ht="21.75" customHeight="1">
      <c r="A8" s="309" t="s">
        <v>17</v>
      </c>
      <c r="B8" s="344">
        <v>1364796</v>
      </c>
      <c r="C8" s="344">
        <v>749450</v>
      </c>
      <c r="D8" s="344">
        <v>615346</v>
      </c>
      <c r="E8" s="312" t="s">
        <v>17</v>
      </c>
      <c r="F8" s="342">
        <v>1335269</v>
      </c>
      <c r="G8" s="342">
        <v>745511</v>
      </c>
      <c r="H8" s="342">
        <v>589758</v>
      </c>
      <c r="I8" s="311" t="s">
        <v>17</v>
      </c>
      <c r="J8" s="365">
        <v>1287643</v>
      </c>
      <c r="K8" s="365">
        <v>705094</v>
      </c>
      <c r="L8" s="365">
        <v>582549</v>
      </c>
      <c r="M8" s="310" t="s">
        <v>17</v>
      </c>
      <c r="N8" s="338">
        <v>1141244</v>
      </c>
      <c r="O8" s="338">
        <v>623772</v>
      </c>
      <c r="P8" s="338">
        <v>517472</v>
      </c>
      <c r="Q8" s="305" t="s">
        <v>17</v>
      </c>
      <c r="R8" s="359">
        <f t="shared" si="0"/>
        <v>1282238</v>
      </c>
      <c r="S8" s="359">
        <f t="shared" si="0"/>
        <v>705956.75</v>
      </c>
      <c r="T8" s="359">
        <f t="shared" si="0"/>
        <v>576281.25</v>
      </c>
      <c r="U8" s="358"/>
    </row>
    <row r="9" spans="1:21" s="58" customFormat="1" ht="21.75" customHeight="1">
      <c r="A9" s="309" t="s">
        <v>16</v>
      </c>
      <c r="B9" s="344">
        <v>1347607</v>
      </c>
      <c r="C9" s="344">
        <v>741216</v>
      </c>
      <c r="D9" s="344">
        <v>606391</v>
      </c>
      <c r="E9" s="308" t="s">
        <v>16</v>
      </c>
      <c r="F9" s="342">
        <v>1289307</v>
      </c>
      <c r="G9" s="342">
        <v>725790</v>
      </c>
      <c r="H9" s="342">
        <v>563517</v>
      </c>
      <c r="I9" s="307" t="s">
        <v>16</v>
      </c>
      <c r="J9" s="365">
        <v>1235110</v>
      </c>
      <c r="K9" s="365">
        <v>689798</v>
      </c>
      <c r="L9" s="365">
        <v>545312</v>
      </c>
      <c r="M9" s="306" t="s">
        <v>16</v>
      </c>
      <c r="N9" s="338">
        <v>1123034</v>
      </c>
      <c r="O9" s="338">
        <v>615785</v>
      </c>
      <c r="P9" s="338">
        <v>507249</v>
      </c>
      <c r="Q9" s="305" t="s">
        <v>16</v>
      </c>
      <c r="R9" s="359">
        <f>(N9+J9+F9+B9)/4</f>
        <v>1248764.5</v>
      </c>
      <c r="S9" s="359">
        <f>(O9+K9+G9+C9)/4+0.3</f>
        <v>693147.55</v>
      </c>
      <c r="T9" s="359">
        <f>(P9+L9+H9+D9)/4</f>
        <v>555617.25</v>
      </c>
      <c r="U9" s="358"/>
    </row>
    <row r="10" spans="1:21" s="58" customFormat="1" ht="21.75" customHeight="1">
      <c r="A10" s="309" t="s">
        <v>15</v>
      </c>
      <c r="B10" s="344">
        <v>17189</v>
      </c>
      <c r="C10" s="344">
        <v>8234</v>
      </c>
      <c r="D10" s="344">
        <v>8955</v>
      </c>
      <c r="E10" s="368" t="s">
        <v>15</v>
      </c>
      <c r="F10" s="342">
        <v>45962</v>
      </c>
      <c r="G10" s="342">
        <v>19721</v>
      </c>
      <c r="H10" s="342">
        <v>26241</v>
      </c>
      <c r="I10" s="367" t="s">
        <v>15</v>
      </c>
      <c r="J10" s="365">
        <v>52533</v>
      </c>
      <c r="K10" s="365">
        <v>15295</v>
      </c>
      <c r="L10" s="365">
        <v>37238</v>
      </c>
      <c r="M10" s="366" t="s">
        <v>15</v>
      </c>
      <c r="N10" s="338">
        <v>18210</v>
      </c>
      <c r="O10" s="338">
        <v>7987</v>
      </c>
      <c r="P10" s="338">
        <v>10223</v>
      </c>
      <c r="Q10" s="305" t="s">
        <v>15</v>
      </c>
      <c r="R10" s="359">
        <f>(N10+J10+F10+B10)/4-0.03</f>
        <v>33473.47</v>
      </c>
      <c r="S10" s="359">
        <f>(O10+K10+G10+C10)/4</f>
        <v>12809.25</v>
      </c>
      <c r="T10" s="359">
        <f>((P10+L10+H10+D10)/4)</f>
        <v>20664.25</v>
      </c>
      <c r="U10" s="358"/>
    </row>
    <row r="11" spans="1:21" s="58" customFormat="1" ht="21.75" customHeight="1">
      <c r="A11" s="309" t="s">
        <v>14</v>
      </c>
      <c r="B11" s="344">
        <v>14534</v>
      </c>
      <c r="C11" s="344">
        <v>10085</v>
      </c>
      <c r="D11" s="344">
        <v>4449</v>
      </c>
      <c r="E11" s="368" t="s">
        <v>14</v>
      </c>
      <c r="F11" s="342">
        <v>5501</v>
      </c>
      <c r="G11" s="342">
        <v>5501</v>
      </c>
      <c r="H11" s="342">
        <v>0</v>
      </c>
      <c r="I11" s="367" t="s">
        <v>14</v>
      </c>
      <c r="J11" s="365">
        <v>44102</v>
      </c>
      <c r="K11" s="365">
        <v>30245</v>
      </c>
      <c r="L11" s="365">
        <v>13857</v>
      </c>
      <c r="M11" s="366" t="s">
        <v>14</v>
      </c>
      <c r="N11" s="338">
        <v>122808</v>
      </c>
      <c r="O11" s="338">
        <v>84203</v>
      </c>
      <c r="P11" s="338">
        <v>38605</v>
      </c>
      <c r="Q11" s="305" t="s">
        <v>14</v>
      </c>
      <c r="R11" s="359">
        <f>(N11+J11+F11+B11)/4</f>
        <v>46736.25</v>
      </c>
      <c r="S11" s="359">
        <f>(O11+K11+G11+C11)/4-0.09</f>
        <v>32508.41</v>
      </c>
      <c r="T11" s="359">
        <f>((P11+L11+H11+D11)/4)</f>
        <v>14227.75</v>
      </c>
      <c r="U11" s="358"/>
    </row>
    <row r="12" spans="1:21" s="58" customFormat="1" ht="21.75" customHeight="1">
      <c r="A12" s="309" t="s">
        <v>13</v>
      </c>
      <c r="B12" s="344">
        <v>676683</v>
      </c>
      <c r="C12" s="344">
        <v>232766</v>
      </c>
      <c r="D12" s="344">
        <v>443917</v>
      </c>
      <c r="E12" s="308" t="s">
        <v>13</v>
      </c>
      <c r="F12" s="342">
        <v>714921</v>
      </c>
      <c r="G12" s="342">
        <v>241230</v>
      </c>
      <c r="H12" s="342">
        <v>473691</v>
      </c>
      <c r="I12" s="307" t="s">
        <v>13</v>
      </c>
      <c r="J12" s="365">
        <v>723179</v>
      </c>
      <c r="K12" s="365">
        <v>256667</v>
      </c>
      <c r="L12" s="365">
        <v>466512</v>
      </c>
      <c r="M12" s="306" t="s">
        <v>13</v>
      </c>
      <c r="N12" s="338">
        <v>789956</v>
      </c>
      <c r="O12" s="338">
        <v>283735</v>
      </c>
      <c r="P12" s="338">
        <v>506221</v>
      </c>
      <c r="Q12" s="305" t="s">
        <v>13</v>
      </c>
      <c r="R12" s="359">
        <f>(N12+J12+F12+B12)/4</f>
        <v>726184.75</v>
      </c>
      <c r="S12" s="359">
        <f>(O12+K12+G12+C12)/4-0.09</f>
        <v>253599.41</v>
      </c>
      <c r="T12" s="359">
        <f>(P12+L12+H12+D12)/4+0.3</f>
        <v>472585.55</v>
      </c>
      <c r="U12" s="358"/>
    </row>
    <row r="13" spans="1:21" s="58" customFormat="1" ht="21.75" customHeight="1">
      <c r="A13" s="309" t="s">
        <v>12</v>
      </c>
      <c r="B13" s="344">
        <v>167894</v>
      </c>
      <c r="C13" s="344">
        <v>9258</v>
      </c>
      <c r="D13" s="344">
        <v>158636</v>
      </c>
      <c r="E13" s="288" t="s">
        <v>12</v>
      </c>
      <c r="F13" s="342">
        <v>188941</v>
      </c>
      <c r="G13" s="342">
        <v>20767</v>
      </c>
      <c r="H13" s="342">
        <v>168175</v>
      </c>
      <c r="I13" s="286" t="s">
        <v>12</v>
      </c>
      <c r="J13" s="365">
        <v>176780</v>
      </c>
      <c r="K13" s="365">
        <v>8554</v>
      </c>
      <c r="L13" s="365">
        <v>168226</v>
      </c>
      <c r="M13" s="284" t="s">
        <v>12</v>
      </c>
      <c r="N13" s="338">
        <v>200436</v>
      </c>
      <c r="O13" s="338">
        <v>6603</v>
      </c>
      <c r="P13" s="338">
        <v>193833</v>
      </c>
      <c r="Q13" s="305" t="s">
        <v>12</v>
      </c>
      <c r="R13" s="359">
        <f>(N13+J13+F13+B13)/4</f>
        <v>183512.75</v>
      </c>
      <c r="S13" s="359">
        <f>(O13+K13+G13+C13)/4-0.1</f>
        <v>11295.4</v>
      </c>
      <c r="T13" s="359">
        <f>(P13+L13+H13+D13)/4+0.09</f>
        <v>172217.59</v>
      </c>
      <c r="U13" s="358"/>
    </row>
    <row r="14" spans="1:21" s="364" customFormat="1" ht="21.75" customHeight="1">
      <c r="A14" s="309" t="s">
        <v>11</v>
      </c>
      <c r="B14" s="344">
        <v>156802</v>
      </c>
      <c r="C14" s="344">
        <v>70609</v>
      </c>
      <c r="D14" s="344">
        <v>86193</v>
      </c>
      <c r="E14" s="288" t="s">
        <v>11</v>
      </c>
      <c r="F14" s="342">
        <v>168196</v>
      </c>
      <c r="G14" s="342">
        <v>74947</v>
      </c>
      <c r="H14" s="342">
        <v>93249</v>
      </c>
      <c r="I14" s="286" t="s">
        <v>11</v>
      </c>
      <c r="J14" s="365">
        <v>167388</v>
      </c>
      <c r="K14" s="365">
        <v>84972</v>
      </c>
      <c r="L14" s="365">
        <v>82416</v>
      </c>
      <c r="M14" s="284" t="s">
        <v>11</v>
      </c>
      <c r="N14" s="338">
        <v>166868</v>
      </c>
      <c r="O14" s="338">
        <v>80327</v>
      </c>
      <c r="P14" s="338">
        <v>86541</v>
      </c>
      <c r="Q14" s="305" t="s">
        <v>11</v>
      </c>
      <c r="R14" s="359">
        <f>(N14+J14+F14+B14)/4</f>
        <v>164813.5</v>
      </c>
      <c r="S14" s="359">
        <f>(O14+K14+G14+C14)/4</f>
        <v>77713.75</v>
      </c>
      <c r="T14" s="359">
        <f>(P14+L14+H14+D14)/4</f>
        <v>87099.75</v>
      </c>
      <c r="U14" s="358"/>
    </row>
    <row r="15" spans="1:21" s="58" customFormat="1" ht="21.75" customHeight="1">
      <c r="A15" s="304" t="s">
        <v>10</v>
      </c>
      <c r="B15" s="363">
        <v>351987</v>
      </c>
      <c r="C15" s="363">
        <v>152899</v>
      </c>
      <c r="D15" s="363">
        <v>199088</v>
      </c>
      <c r="E15" s="343" t="s">
        <v>10</v>
      </c>
      <c r="F15" s="362">
        <v>357784</v>
      </c>
      <c r="G15" s="362">
        <v>145516</v>
      </c>
      <c r="H15" s="362">
        <v>212267</v>
      </c>
      <c r="I15" s="341" t="s">
        <v>10</v>
      </c>
      <c r="J15" s="361">
        <v>379011</v>
      </c>
      <c r="K15" s="361">
        <v>163140</v>
      </c>
      <c r="L15" s="361">
        <v>215871</v>
      </c>
      <c r="M15" s="339" t="s">
        <v>10</v>
      </c>
      <c r="N15" s="360">
        <v>422652</v>
      </c>
      <c r="O15" s="360">
        <v>196805</v>
      </c>
      <c r="P15" s="360">
        <v>225847</v>
      </c>
      <c r="Q15" s="300" t="s">
        <v>10</v>
      </c>
      <c r="R15" s="359">
        <f>(N15+J15+F15+B15)/4-0.03</f>
        <v>377858.47</v>
      </c>
      <c r="S15" s="359">
        <f>(O15+K15+G15+C15)/4</f>
        <v>164590</v>
      </c>
      <c r="T15" s="359">
        <f>(P15+L15+H15+D15)/4</f>
        <v>213268.25</v>
      </c>
      <c r="U15" s="358"/>
    </row>
    <row r="16" spans="1:21" s="58" customFormat="1" ht="9" customHeight="1">
      <c r="A16" s="357"/>
      <c r="B16" s="344"/>
      <c r="C16" s="344"/>
      <c r="D16" s="344"/>
      <c r="E16" s="308"/>
      <c r="F16" s="342"/>
      <c r="G16" s="342"/>
      <c r="H16" s="342"/>
      <c r="I16" s="307"/>
      <c r="J16" s="340"/>
      <c r="K16" s="340"/>
      <c r="L16" s="340"/>
      <c r="M16" s="306"/>
      <c r="N16" s="338"/>
      <c r="O16" s="338"/>
      <c r="P16" s="338"/>
      <c r="Q16" s="356"/>
      <c r="R16" s="282"/>
      <c r="S16" s="282"/>
      <c r="T16" s="282"/>
    </row>
    <row r="17" spans="1:20" s="282" customFormat="1" ht="21.75" customHeight="1">
      <c r="A17" s="355"/>
      <c r="B17" s="354"/>
      <c r="C17" s="354" t="s">
        <v>20</v>
      </c>
      <c r="D17" s="354"/>
      <c r="E17" s="353"/>
      <c r="F17" s="352"/>
      <c r="G17" s="352" t="s">
        <v>20</v>
      </c>
      <c r="H17" s="352"/>
      <c r="I17" s="351"/>
      <c r="J17" s="350"/>
      <c r="K17" s="350" t="s">
        <v>20</v>
      </c>
      <c r="L17" s="350"/>
      <c r="M17" s="349"/>
      <c r="N17" s="348"/>
      <c r="O17" s="348" t="s">
        <v>20</v>
      </c>
      <c r="P17" s="348"/>
      <c r="Q17" s="347"/>
      <c r="S17" s="346" t="s">
        <v>20</v>
      </c>
    </row>
    <row r="18" spans="1:20" s="336" customFormat="1" ht="14.25" customHeight="1">
      <c r="A18" s="345"/>
      <c r="B18" s="344"/>
      <c r="C18" s="344"/>
      <c r="D18" s="344"/>
      <c r="E18" s="343"/>
      <c r="F18" s="342"/>
      <c r="G18" s="342"/>
      <c r="H18" s="342"/>
      <c r="I18" s="341"/>
      <c r="J18" s="340"/>
      <c r="K18" s="340"/>
      <c r="L18" s="340"/>
      <c r="M18" s="339"/>
      <c r="N18" s="338"/>
      <c r="O18" s="338"/>
      <c r="P18" s="338"/>
      <c r="Q18" s="337"/>
    </row>
    <row r="19" spans="1:20" s="328" customFormat="1" ht="21.75" customHeight="1">
      <c r="A19" s="335" t="s">
        <v>19</v>
      </c>
      <c r="B19" s="334">
        <v>100</v>
      </c>
      <c r="C19" s="334">
        <v>100</v>
      </c>
      <c r="D19" s="334">
        <v>100</v>
      </c>
      <c r="E19" s="333" t="s">
        <v>19</v>
      </c>
      <c r="F19" s="315">
        <v>100</v>
      </c>
      <c r="G19" s="315">
        <v>100</v>
      </c>
      <c r="H19" s="315">
        <v>100</v>
      </c>
      <c r="I19" s="332" t="s">
        <v>19</v>
      </c>
      <c r="J19" s="285">
        <v>100</v>
      </c>
      <c r="K19" s="285">
        <v>100</v>
      </c>
      <c r="L19" s="285">
        <v>100</v>
      </c>
      <c r="M19" s="331" t="s">
        <v>19</v>
      </c>
      <c r="N19" s="283">
        <v>100</v>
      </c>
      <c r="O19" s="283">
        <v>100</v>
      </c>
      <c r="P19" s="283">
        <v>100</v>
      </c>
      <c r="Q19" s="330" t="s">
        <v>19</v>
      </c>
      <c r="R19" s="329">
        <v>100</v>
      </c>
      <c r="S19" s="329">
        <v>100</v>
      </c>
      <c r="T19" s="329">
        <v>100</v>
      </c>
    </row>
    <row r="20" spans="1:20" s="58" customFormat="1" ht="21.75" customHeight="1">
      <c r="A20" s="309" t="s">
        <v>18</v>
      </c>
      <c r="B20" s="326">
        <v>67.087610827363449</v>
      </c>
      <c r="C20" s="326">
        <v>76.542803040609655</v>
      </c>
      <c r="D20" s="326">
        <v>58.267181342318224</v>
      </c>
      <c r="E20" s="288" t="s">
        <v>18</v>
      </c>
      <c r="F20" s="287">
        <v>65.222334106796254</v>
      </c>
      <c r="G20" s="287">
        <v>75.688366032042623</v>
      </c>
      <c r="H20" s="287">
        <v>55.457102315202704</v>
      </c>
      <c r="I20" s="302" t="s">
        <v>18</v>
      </c>
      <c r="J20" s="327">
        <v>64.807506263005351</v>
      </c>
      <c r="K20" s="327">
        <v>74.126440894955167</v>
      </c>
      <c r="L20" s="327">
        <v>56.11029626904778</v>
      </c>
      <c r="M20" s="301" t="s">
        <v>18</v>
      </c>
      <c r="N20" s="318">
        <v>61.570753492683572</v>
      </c>
      <c r="O20" s="318">
        <v>71.389317441590791</v>
      </c>
      <c r="P20" s="318">
        <v>52.34661083801344</v>
      </c>
      <c r="Q20" s="305" t="s">
        <v>18</v>
      </c>
      <c r="R20" s="299">
        <f t="shared" ref="R20:T28" si="1">R7*100/R$6</f>
        <v>64.665272208290475</v>
      </c>
      <c r="S20" s="299">
        <f t="shared" si="1"/>
        <v>74.4371899299869</v>
      </c>
      <c r="T20" s="299">
        <f t="shared" si="1"/>
        <v>55.546261409498406</v>
      </c>
    </row>
    <row r="21" spans="1:20" s="58" customFormat="1" ht="21.75" customHeight="1">
      <c r="A21" s="309" t="s">
        <v>17</v>
      </c>
      <c r="B21" s="326">
        <v>66.380708682289466</v>
      </c>
      <c r="C21" s="326">
        <v>75.526478356869532</v>
      </c>
      <c r="D21" s="326">
        <v>57.848929033422579</v>
      </c>
      <c r="E21" s="288" t="s">
        <v>17</v>
      </c>
      <c r="F21" s="287">
        <v>64.924784038449374</v>
      </c>
      <c r="G21" s="287">
        <v>75.134065211979745</v>
      </c>
      <c r="H21" s="287">
        <v>55.457102315202704</v>
      </c>
      <c r="I21" s="302" t="s">
        <v>17</v>
      </c>
      <c r="J21" s="325">
        <v>62.661344166499589</v>
      </c>
      <c r="K21" s="325">
        <v>71.077665939183774</v>
      </c>
      <c r="L21" s="324">
        <v>54.806528060934085</v>
      </c>
      <c r="M21" s="301" t="s">
        <v>17</v>
      </c>
      <c r="N21" s="323">
        <v>55.591808912136663</v>
      </c>
      <c r="O21" s="323">
        <v>62.898629639713221</v>
      </c>
      <c r="P21" s="323">
        <v>48.712508166258431</v>
      </c>
      <c r="Q21" s="305" t="s">
        <v>17</v>
      </c>
      <c r="R21" s="299">
        <f t="shared" si="1"/>
        <v>62.391189974983682</v>
      </c>
      <c r="S21" s="299">
        <f t="shared" si="1"/>
        <v>71.160386033465073</v>
      </c>
      <c r="T21" s="299">
        <f t="shared" si="1"/>
        <v>54.207904377268434</v>
      </c>
    </row>
    <row r="22" spans="1:20" s="58" customFormat="1" ht="21.75" customHeight="1">
      <c r="A22" s="309" t="s">
        <v>16</v>
      </c>
      <c r="B22" s="322">
        <v>65.574673112475452</v>
      </c>
      <c r="C22" s="322">
        <v>74.696689814884792</v>
      </c>
      <c r="D22" s="322">
        <v>57.007065822327846</v>
      </c>
      <c r="E22" s="308" t="s">
        <v>16</v>
      </c>
      <c r="F22" s="321">
        <v>62.718941085474953</v>
      </c>
      <c r="G22" s="321">
        <v>73.146544035168873</v>
      </c>
      <c r="H22" s="321">
        <v>52.989565084926497</v>
      </c>
      <c r="I22" s="307" t="s">
        <v>16</v>
      </c>
      <c r="J22" s="320">
        <v>60.104899256614843</v>
      </c>
      <c r="K22" s="319">
        <v>69.565738227125877</v>
      </c>
      <c r="L22" s="319">
        <v>51.303250765110043</v>
      </c>
      <c r="M22" s="306" t="s">
        <v>16</v>
      </c>
      <c r="N22" s="318">
        <v>54.675249560858575</v>
      </c>
      <c r="O22" s="318">
        <v>62.093253067933169</v>
      </c>
      <c r="P22" s="318">
        <v>47.720160501102328</v>
      </c>
      <c r="Q22" s="305" t="s">
        <v>16</v>
      </c>
      <c r="R22" s="299">
        <f t="shared" si="1"/>
        <v>60.762435018705979</v>
      </c>
      <c r="S22" s="299">
        <f t="shared" si="1"/>
        <v>69.869219659916183</v>
      </c>
      <c r="T22" s="299">
        <f t="shared" si="1"/>
        <v>52.26414490903678</v>
      </c>
    </row>
    <row r="23" spans="1:20" s="58" customFormat="1" ht="21.75" customHeight="1">
      <c r="A23" s="309" t="s">
        <v>15</v>
      </c>
      <c r="B23" s="317">
        <v>0.83603556981400406</v>
      </c>
      <c r="C23" s="317">
        <v>0.8297885419847405</v>
      </c>
      <c r="D23" s="317">
        <v>0.84186321109473239</v>
      </c>
      <c r="E23" s="316" t="s">
        <v>15</v>
      </c>
      <c r="F23" s="315">
        <v>2.2358429529744273</v>
      </c>
      <c r="G23" s="315">
        <v>1.9875211768108756</v>
      </c>
      <c r="H23" s="315">
        <v>2.4675372302762049</v>
      </c>
      <c r="I23" s="314" t="s">
        <v>15</v>
      </c>
      <c r="J23" s="285">
        <v>2.5564449098847453</v>
      </c>
      <c r="K23" s="285">
        <v>1.5418269061143846</v>
      </c>
      <c r="L23" s="285">
        <v>3.5033713763701657</v>
      </c>
      <c r="M23" s="313" t="s">
        <v>15</v>
      </c>
      <c r="N23" s="283">
        <v>0.8865593512780866</v>
      </c>
      <c r="O23" s="283">
        <v>0.80537657178005662</v>
      </c>
      <c r="P23" s="283">
        <v>0.96234766515610493</v>
      </c>
      <c r="Q23" s="305" t="s">
        <v>15</v>
      </c>
      <c r="R23" s="299">
        <f t="shared" si="1"/>
        <v>1.6287534965364598</v>
      </c>
      <c r="S23" s="299">
        <f t="shared" si="1"/>
        <v>1.2911714135450401</v>
      </c>
      <c r="T23" s="299">
        <f t="shared" si="1"/>
        <v>1.9437829844853867</v>
      </c>
    </row>
    <row r="24" spans="1:20" s="58" customFormat="1" ht="21.75" customHeight="1">
      <c r="A24" s="309" t="s">
        <v>14</v>
      </c>
      <c r="B24" s="317">
        <v>0.70690214507398541</v>
      </c>
      <c r="C24" s="317">
        <v>1.0163246837401152</v>
      </c>
      <c r="D24" s="317">
        <v>0.45825230889564089</v>
      </c>
      <c r="E24" s="316" t="s">
        <v>14</v>
      </c>
      <c r="F24" s="315">
        <v>0.26759871381385325</v>
      </c>
      <c r="G24" s="315">
        <v>0.55440160203015199</v>
      </c>
      <c r="H24" s="315" t="s">
        <v>8</v>
      </c>
      <c r="I24" s="314" t="s">
        <v>14</v>
      </c>
      <c r="J24" s="285">
        <v>2.1461620965057588</v>
      </c>
      <c r="K24" s="285">
        <v>3.0488757617149109</v>
      </c>
      <c r="L24" s="285">
        <v>1.3036741275675756</v>
      </c>
      <c r="M24" s="313" t="s">
        <v>14</v>
      </c>
      <c r="N24" s="283">
        <v>5.9789445805469112</v>
      </c>
      <c r="O24" s="283">
        <v>8.4906878018775647</v>
      </c>
      <c r="P24" s="283">
        <v>3.6341026717550067</v>
      </c>
      <c r="Q24" s="305" t="s">
        <v>14</v>
      </c>
      <c r="R24" s="299">
        <f t="shared" si="1"/>
        <v>2.2740943978172004</v>
      </c>
      <c r="S24" s="299">
        <f t="shared" si="1"/>
        <v>3.2768452244902484</v>
      </c>
      <c r="T24" s="299">
        <f t="shared" si="1"/>
        <v>1.3383335159762373</v>
      </c>
    </row>
    <row r="25" spans="1:20" s="58" customFormat="1" ht="21.75" customHeight="1">
      <c r="A25" s="309" t="s">
        <v>13</v>
      </c>
      <c r="B25" s="303">
        <v>32.912389172636551</v>
      </c>
      <c r="C25" s="303">
        <v>23.457196959390345</v>
      </c>
      <c r="D25" s="303">
        <v>41.732818657681776</v>
      </c>
      <c r="E25" s="312" t="s">
        <v>13</v>
      </c>
      <c r="F25" s="287">
        <v>34.777665893203739</v>
      </c>
      <c r="G25" s="287">
        <v>24.311633967957381</v>
      </c>
      <c r="H25" s="287">
        <v>44.542897684797296</v>
      </c>
      <c r="I25" s="311" t="s">
        <v>13</v>
      </c>
      <c r="J25" s="285">
        <v>35.192493736994656</v>
      </c>
      <c r="K25" s="285">
        <v>25.873559105044833</v>
      </c>
      <c r="L25" s="285">
        <v>43.88970373095222</v>
      </c>
      <c r="M25" s="310" t="s">
        <v>13</v>
      </c>
      <c r="N25" s="283">
        <v>38.429246507316428</v>
      </c>
      <c r="O25" s="283">
        <v>28.610682558409213</v>
      </c>
      <c r="P25" s="283">
        <v>47.65338916198656</v>
      </c>
      <c r="Q25" s="305" t="s">
        <v>13</v>
      </c>
      <c r="R25" s="299">
        <f t="shared" si="1"/>
        <v>35.334727791709518</v>
      </c>
      <c r="S25" s="299">
        <f t="shared" si="1"/>
        <v>25.562800998020037</v>
      </c>
      <c r="T25" s="299">
        <f t="shared" si="1"/>
        <v>44.453766810006073</v>
      </c>
    </row>
    <row r="26" spans="1:20" s="58" customFormat="1" ht="21.75" customHeight="1">
      <c r="A26" s="309" t="s">
        <v>12</v>
      </c>
      <c r="B26" s="303">
        <v>8.1659989503957409</v>
      </c>
      <c r="C26" s="303">
        <v>0.93298303639722224</v>
      </c>
      <c r="D26" s="303">
        <v>14.913435215547066</v>
      </c>
      <c r="E26" s="308" t="s">
        <v>12</v>
      </c>
      <c r="F26" s="287">
        <v>9.1911231751869202</v>
      </c>
      <c r="G26" s="287">
        <v>2.0929391145901048</v>
      </c>
      <c r="H26" s="287">
        <v>15.814110502713341</v>
      </c>
      <c r="I26" s="307" t="s">
        <v>12</v>
      </c>
      <c r="J26" s="285">
        <v>8.6027512453015298</v>
      </c>
      <c r="K26" s="285">
        <v>0.86229404085664896</v>
      </c>
      <c r="L26" s="285">
        <v>15.82679395137353</v>
      </c>
      <c r="M26" s="306" t="s">
        <v>12</v>
      </c>
      <c r="N26" s="283">
        <v>9.72828721212381</v>
      </c>
      <c r="O26" s="283">
        <v>0.66581964485585499</v>
      </c>
      <c r="P26" s="283">
        <v>18.246574878235673</v>
      </c>
      <c r="Q26" s="305" t="s">
        <v>12</v>
      </c>
      <c r="R26" s="299">
        <f t="shared" si="1"/>
        <v>8.9293710279072123</v>
      </c>
      <c r="S26" s="299">
        <f t="shared" si="1"/>
        <v>1.138575450128356</v>
      </c>
      <c r="T26" s="299">
        <f t="shared" si="1"/>
        <v>16.199650172209527</v>
      </c>
    </row>
    <row r="27" spans="1:20" s="58" customFormat="1" ht="21.75" customHeight="1">
      <c r="A27" s="304" t="s">
        <v>11</v>
      </c>
      <c r="B27" s="303">
        <v>7.626508198148553</v>
      </c>
      <c r="C27" s="303">
        <v>7.1156836484091013</v>
      </c>
      <c r="D27" s="303">
        <v>8.1030391684967356</v>
      </c>
      <c r="E27" s="288" t="s">
        <v>11</v>
      </c>
      <c r="F27" s="287">
        <v>8.1819729628494571</v>
      </c>
      <c r="G27" s="287">
        <v>7.5233061020457725</v>
      </c>
      <c r="H27" s="287">
        <v>8.7385446128587265</v>
      </c>
      <c r="I27" s="302" t="s">
        <v>11</v>
      </c>
      <c r="J27" s="285">
        <v>8.175702712119767</v>
      </c>
      <c r="K27" s="285">
        <v>8.5656826326480218</v>
      </c>
      <c r="L27" s="285">
        <v>7.753742288923239</v>
      </c>
      <c r="M27" s="301" t="s">
        <v>11</v>
      </c>
      <c r="N27" s="283">
        <v>8.1240189911626448</v>
      </c>
      <c r="O27" s="283">
        <v>8.0998477377459128</v>
      </c>
      <c r="P27" s="283">
        <v>8.1465841035189754</v>
      </c>
      <c r="Q27" s="305" t="s">
        <v>11</v>
      </c>
      <c r="R27" s="299">
        <f t="shared" si="1"/>
        <v>8.0195021430826205</v>
      </c>
      <c r="S27" s="299">
        <f t="shared" si="1"/>
        <v>7.8335400151754282</v>
      </c>
      <c r="T27" s="299">
        <f t="shared" si="1"/>
        <v>8.1930392829612035</v>
      </c>
    </row>
    <row r="28" spans="1:20" s="58" customFormat="1" ht="21.75" customHeight="1">
      <c r="A28" s="304" t="s">
        <v>10</v>
      </c>
      <c r="B28" s="303">
        <v>17.119882024092259</v>
      </c>
      <c r="C28" s="303">
        <v>15.458530274584023</v>
      </c>
      <c r="D28" s="303">
        <v>18.716344273637976</v>
      </c>
      <c r="E28" s="288" t="s">
        <v>10</v>
      </c>
      <c r="F28" s="287">
        <v>17.404569755167365</v>
      </c>
      <c r="G28" s="287">
        <v>14.665388751321503</v>
      </c>
      <c r="H28" s="287">
        <v>19.96024256922523</v>
      </c>
      <c r="I28" s="302" t="s">
        <v>10</v>
      </c>
      <c r="J28" s="285">
        <v>18.444039779573355</v>
      </c>
      <c r="K28" s="285">
        <v>16.445481625596646</v>
      </c>
      <c r="L28" s="285">
        <v>20.309261571201567</v>
      </c>
      <c r="M28" s="301" t="s">
        <v>10</v>
      </c>
      <c r="N28" s="283">
        <v>20.576940304029975</v>
      </c>
      <c r="O28" s="283">
        <v>19.845015175807443</v>
      </c>
      <c r="P28" s="283">
        <v>21.260230180231911</v>
      </c>
      <c r="Q28" s="300" t="s">
        <v>10</v>
      </c>
      <c r="R28" s="299">
        <f t="shared" si="1"/>
        <v>18.385853160978439</v>
      </c>
      <c r="S28" s="299">
        <f t="shared" si="1"/>
        <v>16.590659324736276</v>
      </c>
      <c r="T28" s="299">
        <f t="shared" si="1"/>
        <v>20.06108111743594</v>
      </c>
    </row>
    <row r="29" spans="1:20" s="58" customFormat="1" ht="19.5" customHeight="1">
      <c r="A29" s="298"/>
      <c r="B29" s="297"/>
      <c r="C29" s="297"/>
      <c r="D29" s="297"/>
      <c r="E29" s="296"/>
      <c r="F29" s="295"/>
      <c r="G29" s="295"/>
      <c r="H29" s="295"/>
      <c r="I29" s="294"/>
      <c r="J29" s="293"/>
      <c r="K29" s="293"/>
      <c r="L29" s="293"/>
      <c r="M29" s="292"/>
      <c r="N29" s="291"/>
      <c r="O29" s="291"/>
      <c r="P29" s="291"/>
      <c r="Q29" s="6"/>
      <c r="R29" s="290"/>
      <c r="S29" s="290"/>
      <c r="T29" s="290"/>
    </row>
    <row r="30" spans="1:20" s="58" customFormat="1" ht="20.25" hidden="1" customHeight="1">
      <c r="A30" s="59"/>
      <c r="B30" s="289"/>
      <c r="C30" s="289"/>
      <c r="D30" s="289"/>
      <c r="E30" s="288"/>
      <c r="F30" s="287"/>
      <c r="G30" s="287"/>
      <c r="H30" s="287"/>
      <c r="I30" s="286"/>
      <c r="J30" s="285"/>
      <c r="K30" s="285"/>
      <c r="L30" s="285"/>
      <c r="M30" s="284"/>
      <c r="N30" s="283"/>
      <c r="O30" s="283"/>
      <c r="P30" s="283"/>
      <c r="Q30" s="59"/>
      <c r="R30" s="282"/>
      <c r="S30" s="282"/>
      <c r="T30" s="282"/>
    </row>
    <row r="31" spans="1:20" s="280" customFormat="1" ht="45" customHeight="1">
      <c r="A31" s="281"/>
      <c r="B31" s="281">
        <v>4</v>
      </c>
      <c r="C31" s="281"/>
      <c r="D31" s="281"/>
      <c r="E31" s="281"/>
      <c r="F31" s="281">
        <v>3</v>
      </c>
      <c r="G31" s="281"/>
      <c r="H31" s="281"/>
      <c r="I31" s="281"/>
      <c r="J31" s="281">
        <v>2</v>
      </c>
      <c r="K31" s="281"/>
      <c r="L31" s="281"/>
      <c r="M31" s="281"/>
      <c r="N31" s="281">
        <v>1</v>
      </c>
      <c r="O31" s="281"/>
      <c r="P31" s="281"/>
      <c r="Q31" s="281"/>
      <c r="R31" s="1177">
        <v>2563</v>
      </c>
      <c r="S31" s="1177"/>
    </row>
    <row r="32" spans="1:20" s="274" customFormat="1" ht="24" customHeight="1">
      <c r="B32" s="277"/>
      <c r="C32" s="277"/>
      <c r="D32" s="277"/>
      <c r="E32" s="278"/>
      <c r="F32" s="279"/>
      <c r="G32" s="279"/>
      <c r="H32" s="279"/>
      <c r="I32" s="278"/>
      <c r="J32" s="277"/>
      <c r="K32" s="277"/>
      <c r="L32" s="277"/>
      <c r="M32" s="276"/>
      <c r="N32" s="275"/>
      <c r="O32" s="275"/>
      <c r="P32" s="275"/>
    </row>
    <row r="33" spans="2:16" s="274" customFormat="1" ht="24" customHeight="1">
      <c r="B33" s="277"/>
      <c r="C33" s="277"/>
      <c r="D33" s="277"/>
      <c r="E33" s="278"/>
      <c r="F33" s="279"/>
      <c r="G33" s="279"/>
      <c r="H33" s="279"/>
      <c r="I33" s="278"/>
      <c r="J33" s="277"/>
      <c r="K33" s="277"/>
      <c r="L33" s="277"/>
      <c r="M33" s="276"/>
      <c r="N33" s="275"/>
      <c r="O33" s="275"/>
      <c r="P33" s="275"/>
    </row>
    <row r="34" spans="2:16" s="274" customFormat="1" ht="24" customHeight="1">
      <c r="B34" s="277"/>
      <c r="C34" s="277"/>
      <c r="D34" s="277"/>
      <c r="E34" s="278"/>
      <c r="F34" s="279"/>
      <c r="G34" s="279"/>
      <c r="H34" s="279"/>
      <c r="I34" s="278"/>
      <c r="J34" s="277"/>
      <c r="K34" s="277"/>
      <c r="L34" s="277"/>
      <c r="M34" s="276"/>
      <c r="N34" s="275"/>
      <c r="O34" s="275"/>
      <c r="P34" s="275"/>
    </row>
    <row r="35" spans="2:16" s="274" customFormat="1" ht="24" customHeight="1">
      <c r="B35" s="277"/>
      <c r="C35" s="277"/>
      <c r="D35" s="277"/>
      <c r="E35" s="278"/>
      <c r="F35" s="279"/>
      <c r="G35" s="279"/>
      <c r="H35" s="279"/>
      <c r="I35" s="278"/>
      <c r="J35" s="277"/>
      <c r="K35" s="277"/>
      <c r="L35" s="277"/>
      <c r="M35" s="276"/>
      <c r="N35" s="275"/>
      <c r="O35" s="275"/>
      <c r="P35" s="275"/>
    </row>
    <row r="36" spans="2:16" s="274" customFormat="1" ht="24" customHeight="1">
      <c r="B36" s="277"/>
      <c r="C36" s="277"/>
      <c r="D36" s="277"/>
      <c r="E36" s="278"/>
      <c r="F36" s="279"/>
      <c r="G36" s="279"/>
      <c r="H36" s="279"/>
      <c r="I36" s="278"/>
      <c r="J36" s="277"/>
      <c r="K36" s="277"/>
      <c r="L36" s="277"/>
      <c r="M36" s="276"/>
      <c r="N36" s="275"/>
      <c r="O36" s="275"/>
      <c r="P36" s="275"/>
    </row>
    <row r="37" spans="2:16" s="274" customFormat="1" ht="24" customHeight="1">
      <c r="B37" s="277"/>
      <c r="C37" s="277"/>
      <c r="D37" s="277"/>
      <c r="E37" s="278"/>
      <c r="F37" s="279"/>
      <c r="G37" s="279"/>
      <c r="H37" s="279"/>
      <c r="I37" s="278"/>
      <c r="J37" s="277"/>
      <c r="K37" s="277"/>
      <c r="L37" s="277"/>
      <c r="M37" s="276"/>
      <c r="N37" s="275"/>
      <c r="O37" s="275"/>
      <c r="P37" s="275"/>
    </row>
    <row r="38" spans="2:16" s="274" customFormat="1" ht="24" customHeight="1">
      <c r="B38" s="277"/>
      <c r="C38" s="277"/>
      <c r="D38" s="277"/>
      <c r="E38" s="278"/>
      <c r="F38" s="279"/>
      <c r="G38" s="279"/>
      <c r="H38" s="279"/>
      <c r="I38" s="278"/>
      <c r="J38" s="277"/>
      <c r="K38" s="277"/>
      <c r="L38" s="277"/>
      <c r="M38" s="276"/>
      <c r="N38" s="275"/>
      <c r="O38" s="275"/>
      <c r="P38" s="275"/>
    </row>
    <row r="39" spans="2:16" s="274" customFormat="1" ht="24" customHeight="1">
      <c r="B39" s="277"/>
      <c r="C39" s="277"/>
      <c r="D39" s="277"/>
      <c r="E39" s="278"/>
      <c r="F39" s="279"/>
      <c r="G39" s="279"/>
      <c r="H39" s="279"/>
      <c r="I39" s="278"/>
      <c r="J39" s="277"/>
      <c r="K39" s="277"/>
      <c r="L39" s="277"/>
      <c r="M39" s="276"/>
      <c r="N39" s="275"/>
      <c r="O39" s="275"/>
      <c r="P39" s="275"/>
    </row>
    <row r="40" spans="2:16" s="274" customFormat="1" ht="24" customHeight="1">
      <c r="B40" s="277"/>
      <c r="C40" s="277"/>
      <c r="D40" s="277"/>
      <c r="E40" s="278"/>
      <c r="F40" s="279"/>
      <c r="G40" s="279"/>
      <c r="H40" s="279"/>
      <c r="I40" s="278"/>
      <c r="J40" s="277"/>
      <c r="K40" s="277"/>
      <c r="L40" s="277"/>
      <c r="M40" s="276"/>
      <c r="N40" s="275"/>
      <c r="O40" s="275"/>
      <c r="P40" s="275"/>
    </row>
    <row r="41" spans="2:16" s="274" customFormat="1" ht="24" customHeight="1">
      <c r="B41" s="277"/>
      <c r="C41" s="277"/>
      <c r="D41" s="277"/>
      <c r="E41" s="278"/>
      <c r="F41" s="279"/>
      <c r="G41" s="279"/>
      <c r="H41" s="279"/>
      <c r="I41" s="278"/>
      <c r="J41" s="277"/>
      <c r="K41" s="277"/>
      <c r="L41" s="277"/>
      <c r="M41" s="276"/>
      <c r="N41" s="275"/>
      <c r="O41" s="275"/>
      <c r="P41" s="275"/>
    </row>
    <row r="42" spans="2:16" s="274" customFormat="1" ht="24" customHeight="1">
      <c r="B42" s="277"/>
      <c r="C42" s="277"/>
      <c r="D42" s="277"/>
      <c r="E42" s="278"/>
      <c r="F42" s="279"/>
      <c r="G42" s="279"/>
      <c r="H42" s="279"/>
      <c r="I42" s="278"/>
      <c r="J42" s="277"/>
      <c r="K42" s="277"/>
      <c r="L42" s="277"/>
      <c r="M42" s="276"/>
      <c r="N42" s="275"/>
      <c r="O42" s="275"/>
      <c r="P42" s="275"/>
    </row>
    <row r="43" spans="2:16" s="274" customFormat="1" ht="24" customHeight="1">
      <c r="B43" s="277"/>
      <c r="C43" s="277"/>
      <c r="D43" s="277"/>
      <c r="E43" s="278"/>
      <c r="F43" s="279"/>
      <c r="G43" s="279"/>
      <c r="H43" s="279"/>
      <c r="I43" s="278"/>
      <c r="J43" s="277"/>
      <c r="K43" s="277"/>
      <c r="L43" s="277"/>
      <c r="M43" s="276"/>
      <c r="N43" s="275"/>
      <c r="O43" s="275"/>
      <c r="P43" s="275"/>
    </row>
    <row r="44" spans="2:16" s="274" customFormat="1" ht="24" customHeight="1">
      <c r="B44" s="277"/>
      <c r="C44" s="277"/>
      <c r="D44" s="277"/>
      <c r="E44" s="278"/>
      <c r="F44" s="279"/>
      <c r="G44" s="279"/>
      <c r="H44" s="279"/>
      <c r="I44" s="278"/>
      <c r="J44" s="277"/>
      <c r="K44" s="277"/>
      <c r="L44" s="277"/>
      <c r="M44" s="276"/>
      <c r="N44" s="275"/>
      <c r="O44" s="275"/>
      <c r="P44" s="275"/>
    </row>
    <row r="45" spans="2:16" s="274" customFormat="1" ht="24" customHeight="1">
      <c r="B45" s="277"/>
      <c r="C45" s="277"/>
      <c r="D45" s="277"/>
      <c r="E45" s="278"/>
      <c r="F45" s="279"/>
      <c r="G45" s="279"/>
      <c r="H45" s="279"/>
      <c r="I45" s="278"/>
      <c r="J45" s="277"/>
      <c r="K45" s="277"/>
      <c r="L45" s="277"/>
      <c r="M45" s="276"/>
      <c r="N45" s="275"/>
      <c r="O45" s="275"/>
      <c r="P45" s="275"/>
    </row>
    <row r="46" spans="2:16" s="274" customFormat="1" ht="24" customHeight="1">
      <c r="B46" s="277"/>
      <c r="C46" s="277"/>
      <c r="D46" s="277"/>
      <c r="E46" s="278"/>
      <c r="F46" s="279"/>
      <c r="G46" s="279"/>
      <c r="H46" s="279"/>
      <c r="I46" s="278"/>
      <c r="J46" s="277"/>
      <c r="K46" s="277"/>
      <c r="L46" s="277"/>
      <c r="M46" s="276"/>
      <c r="N46" s="275"/>
      <c r="O46" s="275"/>
      <c r="P46" s="275"/>
    </row>
    <row r="47" spans="2:16" s="274" customFormat="1" ht="24" customHeight="1">
      <c r="B47" s="277"/>
      <c r="C47" s="277"/>
      <c r="D47" s="277"/>
      <c r="E47" s="278"/>
      <c r="F47" s="279"/>
      <c r="G47" s="279"/>
      <c r="H47" s="279"/>
      <c r="I47" s="278"/>
      <c r="J47" s="277"/>
      <c r="K47" s="277"/>
      <c r="L47" s="277"/>
      <c r="M47" s="276"/>
      <c r="N47" s="275"/>
      <c r="O47" s="275"/>
      <c r="P47" s="275"/>
    </row>
    <row r="48" spans="2:16" s="274" customFormat="1" ht="24" customHeight="1">
      <c r="B48" s="277"/>
      <c r="C48" s="277"/>
      <c r="D48" s="277"/>
      <c r="E48" s="278"/>
      <c r="F48" s="279"/>
      <c r="G48" s="279"/>
      <c r="H48" s="279"/>
      <c r="I48" s="278"/>
      <c r="J48" s="277"/>
      <c r="K48" s="277"/>
      <c r="L48" s="277"/>
      <c r="M48" s="276"/>
      <c r="N48" s="275"/>
      <c r="O48" s="275"/>
      <c r="P48" s="275"/>
    </row>
    <row r="49" spans="2:16" s="274" customFormat="1" ht="24" customHeight="1">
      <c r="B49" s="277"/>
      <c r="C49" s="277"/>
      <c r="D49" s="277"/>
      <c r="E49" s="278"/>
      <c r="F49" s="279"/>
      <c r="G49" s="279"/>
      <c r="H49" s="279"/>
      <c r="I49" s="278"/>
      <c r="J49" s="277"/>
      <c r="K49" s="277"/>
      <c r="L49" s="277"/>
      <c r="M49" s="276"/>
      <c r="N49" s="275"/>
      <c r="O49" s="275"/>
      <c r="P49" s="275"/>
    </row>
    <row r="50" spans="2:16" s="274" customFormat="1" ht="24" customHeight="1">
      <c r="B50" s="277"/>
      <c r="C50" s="277"/>
      <c r="D50" s="277"/>
      <c r="E50" s="278"/>
      <c r="F50" s="279"/>
      <c r="G50" s="279"/>
      <c r="H50" s="279"/>
      <c r="I50" s="278"/>
      <c r="J50" s="277"/>
      <c r="K50" s="277"/>
      <c r="L50" s="277"/>
      <c r="M50" s="276"/>
      <c r="N50" s="275"/>
      <c r="O50" s="275"/>
      <c r="P50" s="275"/>
    </row>
    <row r="51" spans="2:16" s="274" customFormat="1" ht="24" customHeight="1">
      <c r="B51" s="277"/>
      <c r="C51" s="277"/>
      <c r="D51" s="277"/>
      <c r="E51" s="278"/>
      <c r="F51" s="279"/>
      <c r="G51" s="279"/>
      <c r="H51" s="279"/>
      <c r="I51" s="278"/>
      <c r="J51" s="277"/>
      <c r="K51" s="277"/>
      <c r="L51" s="277"/>
      <c r="M51" s="276"/>
      <c r="N51" s="275"/>
      <c r="O51" s="275"/>
      <c r="P51" s="275"/>
    </row>
    <row r="52" spans="2:16" s="274" customFormat="1" ht="24" customHeight="1">
      <c r="B52" s="277"/>
      <c r="C52" s="277"/>
      <c r="D52" s="277"/>
      <c r="E52" s="278"/>
      <c r="F52" s="279"/>
      <c r="G52" s="279"/>
      <c r="H52" s="279"/>
      <c r="I52" s="278"/>
      <c r="J52" s="277"/>
      <c r="K52" s="277"/>
      <c r="L52" s="277"/>
      <c r="M52" s="276"/>
      <c r="N52" s="275"/>
      <c r="O52" s="275"/>
      <c r="P52" s="275"/>
    </row>
    <row r="53" spans="2:16" s="274" customFormat="1" ht="24" customHeight="1">
      <c r="B53" s="277"/>
      <c r="C53" s="277"/>
      <c r="D53" s="277"/>
      <c r="E53" s="278"/>
      <c r="F53" s="279"/>
      <c r="G53" s="279"/>
      <c r="H53" s="279"/>
      <c r="I53" s="278"/>
      <c r="J53" s="277"/>
      <c r="K53" s="277"/>
      <c r="L53" s="277"/>
      <c r="M53" s="276"/>
      <c r="N53" s="275"/>
      <c r="O53" s="275"/>
      <c r="P53" s="275"/>
    </row>
    <row r="54" spans="2:16" s="274" customFormat="1" ht="24" customHeight="1">
      <c r="B54" s="277"/>
      <c r="C54" s="277"/>
      <c r="D54" s="277"/>
      <c r="E54" s="278"/>
      <c r="F54" s="279"/>
      <c r="G54" s="279"/>
      <c r="H54" s="279"/>
      <c r="I54" s="278"/>
      <c r="J54" s="277"/>
      <c r="K54" s="277"/>
      <c r="L54" s="277"/>
      <c r="M54" s="276"/>
      <c r="N54" s="275"/>
      <c r="O54" s="275"/>
      <c r="P54" s="275"/>
    </row>
    <row r="55" spans="2:16" s="274" customFormat="1" ht="24" customHeight="1">
      <c r="B55" s="277"/>
      <c r="C55" s="277"/>
      <c r="D55" s="277"/>
      <c r="E55" s="278"/>
      <c r="F55" s="279"/>
      <c r="G55" s="279"/>
      <c r="H55" s="279"/>
      <c r="I55" s="278"/>
      <c r="J55" s="277"/>
      <c r="K55" s="277"/>
      <c r="L55" s="277"/>
      <c r="M55" s="276"/>
      <c r="N55" s="275"/>
      <c r="O55" s="275"/>
      <c r="P55" s="275"/>
    </row>
    <row r="56" spans="2:16" s="274" customFormat="1" ht="24" customHeight="1">
      <c r="B56" s="277"/>
      <c r="C56" s="277"/>
      <c r="D56" s="277"/>
      <c r="E56" s="278"/>
      <c r="F56" s="279"/>
      <c r="G56" s="279"/>
      <c r="H56" s="279"/>
      <c r="I56" s="278"/>
      <c r="J56" s="277"/>
      <c r="K56" s="277"/>
      <c r="L56" s="277"/>
      <c r="M56" s="276"/>
      <c r="N56" s="275"/>
      <c r="O56" s="275"/>
      <c r="P56" s="275"/>
    </row>
    <row r="57" spans="2:16" s="274" customFormat="1" ht="24" customHeight="1">
      <c r="B57" s="277"/>
      <c r="C57" s="277"/>
      <c r="D57" s="277"/>
      <c r="E57" s="278"/>
      <c r="F57" s="279"/>
      <c r="G57" s="279"/>
      <c r="H57" s="279"/>
      <c r="I57" s="278"/>
      <c r="J57" s="277"/>
      <c r="K57" s="277"/>
      <c r="L57" s="277"/>
      <c r="M57" s="276"/>
      <c r="N57" s="275"/>
      <c r="O57" s="275"/>
      <c r="P57" s="275"/>
    </row>
    <row r="58" spans="2:16" s="274" customFormat="1" ht="24" customHeight="1">
      <c r="B58" s="277"/>
      <c r="C58" s="277"/>
      <c r="D58" s="277"/>
      <c r="E58" s="278"/>
      <c r="F58" s="279"/>
      <c r="G58" s="279"/>
      <c r="H58" s="279"/>
      <c r="I58" s="278"/>
      <c r="J58" s="277"/>
      <c r="K58" s="277"/>
      <c r="L58" s="277"/>
      <c r="M58" s="276"/>
      <c r="N58" s="275"/>
      <c r="O58" s="275"/>
      <c r="P58" s="275"/>
    </row>
    <row r="74" spans="2:16" ht="24" customHeight="1">
      <c r="B74" s="273"/>
      <c r="D74" s="273"/>
      <c r="F74" s="272"/>
      <c r="H74" s="272"/>
      <c r="J74" s="272"/>
      <c r="L74" s="272"/>
      <c r="N74" s="272"/>
      <c r="P74" s="272"/>
    </row>
    <row r="75" spans="2:16" ht="24" customHeight="1">
      <c r="B75" s="273"/>
      <c r="D75" s="273"/>
      <c r="F75" s="272"/>
      <c r="H75" s="272"/>
      <c r="J75" s="272"/>
      <c r="L75" s="272"/>
      <c r="N75" s="272"/>
      <c r="P75" s="272"/>
    </row>
    <row r="76" spans="2:16" ht="24" customHeight="1">
      <c r="B76" s="273"/>
      <c r="D76" s="273"/>
      <c r="F76" s="272"/>
      <c r="H76" s="272"/>
      <c r="J76" s="272"/>
      <c r="L76" s="272"/>
      <c r="N76" s="272"/>
      <c r="P76" s="272"/>
    </row>
    <row r="78" spans="2:16" ht="24" customHeight="1">
      <c r="B78" s="273"/>
      <c r="D78" s="273"/>
      <c r="F78" s="272"/>
      <c r="H78" s="272"/>
      <c r="J78" s="272"/>
      <c r="L78" s="272"/>
      <c r="N78" s="272"/>
      <c r="P78" s="272"/>
    </row>
    <row r="79" spans="2:16" ht="24" customHeight="1">
      <c r="B79" s="273"/>
      <c r="F79" s="272"/>
      <c r="J79" s="272"/>
      <c r="N79" s="272"/>
    </row>
    <row r="80" spans="2:16" ht="24" customHeight="1">
      <c r="B80" s="273"/>
      <c r="D80" s="273"/>
      <c r="F80" s="272"/>
      <c r="H80" s="272"/>
      <c r="J80" s="272"/>
      <c r="L80" s="272"/>
      <c r="N80" s="272"/>
      <c r="P80" s="272"/>
    </row>
    <row r="81" spans="2:16" ht="24" customHeight="1">
      <c r="B81" s="273"/>
      <c r="D81" s="273"/>
      <c r="F81" s="272"/>
      <c r="H81" s="272"/>
      <c r="J81" s="272"/>
      <c r="L81" s="272"/>
      <c r="N81" s="272"/>
      <c r="P81" s="272"/>
    </row>
    <row r="83" spans="2:16" ht="24" customHeight="1">
      <c r="B83" s="273"/>
      <c r="D83" s="273"/>
      <c r="F83" s="272"/>
      <c r="H83" s="272"/>
      <c r="J83" s="272"/>
      <c r="L83" s="272"/>
      <c r="N83" s="272"/>
      <c r="P83" s="272"/>
    </row>
    <row r="85" spans="2:16" ht="24" customHeight="1">
      <c r="B85" s="273"/>
      <c r="D85" s="273"/>
      <c r="F85" s="272"/>
      <c r="H85" s="272"/>
      <c r="J85" s="272"/>
      <c r="L85" s="272"/>
      <c r="N85" s="272"/>
      <c r="P85" s="272"/>
    </row>
    <row r="87" spans="2:16" ht="24" customHeight="1">
      <c r="B87" s="273"/>
      <c r="D87" s="273"/>
      <c r="F87" s="272"/>
      <c r="H87" s="272"/>
      <c r="J87" s="272"/>
      <c r="L87" s="272"/>
      <c r="N87" s="272"/>
      <c r="P87" s="272"/>
    </row>
    <row r="100" spans="2:16" ht="24" customHeight="1">
      <c r="B100" s="273"/>
      <c r="D100" s="273"/>
      <c r="F100" s="272"/>
      <c r="H100" s="272"/>
      <c r="J100" s="272"/>
      <c r="L100" s="272"/>
      <c r="N100" s="272"/>
      <c r="P100" s="272"/>
    </row>
    <row r="101" spans="2:16" ht="24" customHeight="1">
      <c r="B101" s="273"/>
      <c r="D101" s="273"/>
      <c r="F101" s="272"/>
      <c r="H101" s="272"/>
      <c r="J101" s="272"/>
      <c r="L101" s="272"/>
      <c r="N101" s="272"/>
      <c r="P101" s="272"/>
    </row>
    <row r="104" spans="2:16" ht="24" customHeight="1">
      <c r="B104" s="273"/>
      <c r="D104" s="273"/>
      <c r="F104" s="272"/>
      <c r="H104" s="272"/>
      <c r="J104" s="272"/>
      <c r="L104" s="272"/>
      <c r="N104" s="272"/>
      <c r="P104" s="272"/>
    </row>
    <row r="106" spans="2:16" ht="24" customHeight="1">
      <c r="B106" s="273"/>
      <c r="D106" s="273"/>
      <c r="F106" s="272"/>
      <c r="H106" s="272"/>
      <c r="J106" s="272"/>
      <c r="L106" s="272"/>
      <c r="N106" s="272"/>
      <c r="P106" s="272"/>
    </row>
    <row r="108" spans="2:16" ht="24" customHeight="1">
      <c r="B108" s="273"/>
      <c r="D108" s="273"/>
      <c r="F108" s="272"/>
      <c r="H108" s="272"/>
      <c r="J108" s="272"/>
      <c r="L108" s="272"/>
      <c r="N108" s="272"/>
      <c r="P108" s="272"/>
    </row>
    <row r="109" spans="2:16" ht="24" customHeight="1">
      <c r="B109" s="273"/>
      <c r="D109" s="273"/>
      <c r="F109" s="272"/>
      <c r="H109" s="272"/>
      <c r="J109" s="272"/>
      <c r="L109" s="272"/>
      <c r="N109" s="272"/>
      <c r="P109" s="272"/>
    </row>
    <row r="110" spans="2:16" ht="24" customHeight="1">
      <c r="B110" s="273"/>
      <c r="D110" s="273"/>
      <c r="F110" s="272"/>
      <c r="H110" s="272"/>
      <c r="J110" s="272"/>
      <c r="L110" s="272"/>
      <c r="N110" s="272"/>
      <c r="P110" s="272"/>
    </row>
    <row r="111" spans="2:16" ht="24" customHeight="1">
      <c r="B111" s="273"/>
      <c r="D111" s="273"/>
      <c r="F111" s="272"/>
      <c r="H111" s="272"/>
      <c r="J111" s="272"/>
      <c r="L111" s="272"/>
      <c r="N111" s="272"/>
      <c r="P111" s="272"/>
    </row>
    <row r="112" spans="2:16" ht="24" customHeight="1">
      <c r="B112" s="273"/>
      <c r="D112" s="273"/>
      <c r="F112" s="272"/>
      <c r="H112" s="272"/>
      <c r="J112" s="272"/>
      <c r="L112" s="272"/>
      <c r="N112" s="272"/>
      <c r="P112" s="272"/>
    </row>
    <row r="114" spans="2:16" ht="24" customHeight="1">
      <c r="B114" s="273"/>
      <c r="D114" s="273"/>
      <c r="F114" s="272"/>
      <c r="H114" s="272"/>
      <c r="J114" s="272"/>
      <c r="L114" s="272"/>
      <c r="N114" s="272"/>
      <c r="P114" s="272"/>
    </row>
    <row r="115" spans="2:16" ht="24" customHeight="1">
      <c r="B115" s="273"/>
      <c r="D115" s="273"/>
      <c r="F115" s="272"/>
      <c r="H115" s="272"/>
      <c r="J115" s="272"/>
      <c r="L115" s="272"/>
      <c r="N115" s="272"/>
      <c r="P115" s="272"/>
    </row>
    <row r="116" spans="2:16" ht="24" customHeight="1">
      <c r="B116" s="273"/>
      <c r="D116" s="273"/>
      <c r="F116" s="272"/>
      <c r="H116" s="272"/>
      <c r="J116" s="272"/>
      <c r="L116" s="272"/>
      <c r="N116" s="272"/>
      <c r="P116" s="272"/>
    </row>
    <row r="117" spans="2:16" ht="24" customHeight="1">
      <c r="B117" s="273"/>
      <c r="D117" s="273"/>
      <c r="F117" s="272"/>
      <c r="H117" s="272"/>
      <c r="J117" s="272"/>
      <c r="L117" s="272"/>
      <c r="N117" s="272"/>
      <c r="P117" s="272"/>
    </row>
    <row r="118" spans="2:16" ht="24" customHeight="1">
      <c r="B118" s="273"/>
      <c r="D118" s="273"/>
      <c r="F118" s="272"/>
      <c r="H118" s="272"/>
      <c r="J118" s="272"/>
      <c r="L118" s="272"/>
      <c r="N118" s="272"/>
      <c r="P118" s="272"/>
    </row>
    <row r="136" spans="2:16" ht="24" customHeight="1">
      <c r="B136" s="273"/>
      <c r="D136" s="273"/>
      <c r="F136" s="272"/>
      <c r="H136" s="272"/>
      <c r="J136" s="272"/>
      <c r="L136" s="272"/>
      <c r="N136" s="272"/>
      <c r="P136" s="272"/>
    </row>
    <row r="137" spans="2:16" ht="24" customHeight="1">
      <c r="B137" s="273"/>
      <c r="D137" s="273"/>
      <c r="F137" s="272"/>
      <c r="H137" s="272"/>
      <c r="J137" s="272"/>
      <c r="L137" s="272"/>
      <c r="N137" s="272"/>
      <c r="P137" s="272"/>
    </row>
    <row r="138" spans="2:16" ht="24" customHeight="1">
      <c r="B138" s="273"/>
      <c r="D138" s="273"/>
      <c r="F138" s="272"/>
      <c r="H138" s="272"/>
      <c r="J138" s="272"/>
      <c r="L138" s="272"/>
      <c r="N138" s="272"/>
      <c r="P138" s="272"/>
    </row>
    <row r="139" spans="2:16" ht="24" customHeight="1">
      <c r="B139" s="273"/>
      <c r="D139" s="273"/>
      <c r="F139" s="272"/>
      <c r="H139" s="272"/>
      <c r="J139" s="272"/>
      <c r="L139" s="272"/>
      <c r="N139" s="272"/>
      <c r="P139" s="272"/>
    </row>
    <row r="140" spans="2:16" ht="24" customHeight="1">
      <c r="B140" s="273"/>
      <c r="D140" s="273"/>
      <c r="F140" s="272"/>
      <c r="H140" s="272"/>
      <c r="J140" s="272"/>
      <c r="L140" s="272"/>
      <c r="N140" s="272"/>
      <c r="P140" s="272"/>
    </row>
    <row r="141" spans="2:16" ht="24" customHeight="1">
      <c r="B141" s="273"/>
      <c r="D141" s="273"/>
      <c r="F141" s="272"/>
      <c r="H141" s="272"/>
      <c r="J141" s="272"/>
      <c r="L141" s="272"/>
      <c r="N141" s="272"/>
      <c r="P141" s="272"/>
    </row>
    <row r="162" spans="2:16" ht="24" customHeight="1">
      <c r="B162" s="273"/>
      <c r="D162" s="273"/>
      <c r="F162" s="272"/>
      <c r="H162" s="272"/>
      <c r="J162" s="272"/>
      <c r="L162" s="272"/>
      <c r="N162" s="272"/>
      <c r="P162" s="272"/>
    </row>
    <row r="163" spans="2:16" ht="24" customHeight="1">
      <c r="B163" s="273"/>
      <c r="D163" s="273"/>
      <c r="F163" s="272"/>
      <c r="H163" s="272"/>
      <c r="J163" s="272"/>
      <c r="L163" s="272"/>
      <c r="N163" s="272"/>
      <c r="P163" s="272"/>
    </row>
    <row r="165" spans="2:16" ht="24" customHeight="1">
      <c r="B165" s="273"/>
      <c r="D165" s="273"/>
      <c r="F165" s="272"/>
      <c r="H165" s="272"/>
      <c r="J165" s="272"/>
      <c r="L165" s="272"/>
      <c r="N165" s="272"/>
      <c r="P165" s="272"/>
    </row>
    <row r="166" spans="2:16" ht="24" customHeight="1">
      <c r="B166" s="273"/>
      <c r="D166" s="273"/>
      <c r="F166" s="272"/>
      <c r="H166" s="272"/>
      <c r="J166" s="272"/>
      <c r="L166" s="272"/>
      <c r="N166" s="272"/>
      <c r="P166" s="272"/>
    </row>
    <row r="167" spans="2:16" ht="24" customHeight="1">
      <c r="B167" s="273"/>
      <c r="D167" s="273"/>
      <c r="F167" s="272"/>
      <c r="H167" s="272"/>
      <c r="J167" s="272"/>
      <c r="L167" s="272"/>
      <c r="N167" s="272"/>
      <c r="P167" s="272"/>
    </row>
    <row r="168" spans="2:16" ht="24" customHeight="1">
      <c r="B168" s="273"/>
      <c r="D168" s="273"/>
      <c r="F168" s="272"/>
      <c r="H168" s="272"/>
      <c r="J168" s="272"/>
      <c r="L168" s="272"/>
      <c r="N168" s="272"/>
      <c r="P168" s="272"/>
    </row>
    <row r="169" spans="2:16" ht="24" customHeight="1">
      <c r="B169" s="273"/>
      <c r="D169" s="273"/>
      <c r="F169" s="272"/>
      <c r="H169" s="272"/>
      <c r="J169" s="272"/>
      <c r="L169" s="272"/>
      <c r="N169" s="272"/>
      <c r="P169" s="272"/>
    </row>
    <row r="170" spans="2:16" ht="24" customHeight="1">
      <c r="B170" s="273"/>
      <c r="D170" s="273"/>
      <c r="F170" s="272"/>
      <c r="H170" s="272"/>
      <c r="J170" s="272"/>
      <c r="L170" s="272"/>
      <c r="N170" s="272"/>
      <c r="P170" s="272"/>
    </row>
    <row r="183" spans="2:16" ht="24" customHeight="1">
      <c r="B183" s="273"/>
      <c r="C183" s="273"/>
      <c r="D183" s="273"/>
      <c r="F183" s="272"/>
      <c r="G183" s="272"/>
      <c r="H183" s="272"/>
      <c r="J183" s="272"/>
      <c r="K183" s="272"/>
      <c r="L183" s="272"/>
      <c r="N183" s="272"/>
      <c r="O183" s="272"/>
      <c r="P183" s="272"/>
    </row>
    <row r="184" spans="2:16" ht="24" customHeight="1">
      <c r="B184" s="273"/>
      <c r="C184" s="273"/>
      <c r="D184" s="273"/>
      <c r="F184" s="272"/>
      <c r="G184" s="272"/>
      <c r="H184" s="272"/>
      <c r="J184" s="272"/>
      <c r="K184" s="272"/>
      <c r="L184" s="272"/>
      <c r="N184" s="272"/>
      <c r="O184" s="272"/>
      <c r="P184" s="272"/>
    </row>
    <row r="185" spans="2:16" ht="24" customHeight="1">
      <c r="B185" s="273"/>
      <c r="C185" s="273"/>
      <c r="D185" s="273"/>
      <c r="F185" s="272"/>
      <c r="G185" s="272"/>
      <c r="H185" s="272"/>
      <c r="J185" s="272"/>
      <c r="K185" s="272"/>
      <c r="L185" s="272"/>
      <c r="N185" s="272"/>
      <c r="O185" s="272"/>
      <c r="P185" s="272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19</vt:i4>
      </vt:variant>
      <vt:variant>
        <vt:lpstr>ช่วงที่มีชื่อ</vt:lpstr>
      </vt:variant>
      <vt:variant>
        <vt:i4>3</vt:i4>
      </vt:variant>
    </vt:vector>
  </HeadingPairs>
  <TitlesOfParts>
    <vt:vector size="22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 7</vt:lpstr>
      <vt:lpstr>ตารางที่1ไตรมาส 1234 พ.ศ.2563</vt:lpstr>
      <vt:lpstr>ตารางที่1ไตรมาส 1234พ.ศ.2563</vt:lpstr>
      <vt:lpstr>ตารางที่2ไตรมาส 1234พ.ศ. 2563</vt:lpstr>
      <vt:lpstr>ตารางที่3ไตรมาส123 4พ.ศ. 2563</vt:lpstr>
      <vt:lpstr>ตารางที่4ไตรมาส 1234 พ.ศ. 2563 </vt:lpstr>
      <vt:lpstr>ตารางที่5ไตรมาส1234 พ.ศ.2563</vt:lpstr>
      <vt:lpstr>ตารางที่6ไตรมาส1234 พ.ศ.2563</vt:lpstr>
      <vt:lpstr>ตารางที่7ไตรมาส 1234 พ.ศ. 2563 </vt:lpstr>
      <vt:lpstr> กุมภาพันธ์</vt:lpstr>
      <vt:lpstr>พฤษภาคม </vt:lpstr>
      <vt:lpstr>สิงหาคม</vt:lpstr>
      <vt:lpstr>พฤศจิกายน</vt:lpstr>
      <vt:lpstr>'ตารางที่1ไตรมาส 1234 พ.ศ.2563'!Print_Area</vt:lpstr>
      <vt:lpstr>'ตารางที่1ไตรมาส 1234พ.ศ.2563'!Print_Area</vt:lpstr>
      <vt:lpstr>' กุมภาพันธ์'!Print_Titles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Microsoft</cp:lastModifiedBy>
  <cp:lastPrinted>2020-01-27T09:28:18Z</cp:lastPrinted>
  <dcterms:created xsi:type="dcterms:W3CDTF">2004-08-16T17:13:42Z</dcterms:created>
  <dcterms:modified xsi:type="dcterms:W3CDTF">2021-03-18T10:13:23Z</dcterms:modified>
</cp:coreProperties>
</file>