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600" windowHeight="6015" tabRatio="821" activeTab="1"/>
  </bookViews>
  <sheets>
    <sheet name="T-3.7" sheetId="32" r:id="rId1"/>
    <sheet name="T-3.7(2)" sheetId="33" r:id="rId2"/>
  </sheets>
  <definedNames>
    <definedName name="_xlnm.Print_Area" localSheetId="0">'T-3.7'!$A$1:$W$29</definedName>
    <definedName name="_xlnm.Print_Area" localSheetId="1">'T-3.7(2)'!$A$1:$W$34</definedName>
  </definedNames>
  <calcPr calcId="125725"/>
</workbook>
</file>

<file path=xl/calcChain.xml><?xml version="1.0" encoding="utf-8"?>
<calcChain xmlns="http://schemas.openxmlformats.org/spreadsheetml/2006/main">
  <c r="I14" i="33"/>
  <c r="J14"/>
  <c r="I15"/>
  <c r="J15"/>
  <c r="H15" s="1"/>
  <c r="I16"/>
  <c r="J16"/>
  <c r="H16" s="1"/>
  <c r="S28" i="32"/>
  <c r="S27" s="1"/>
  <c r="S26" s="1"/>
  <c r="S25" s="1"/>
  <c r="S24" s="1"/>
  <c r="S23" s="1"/>
  <c r="S22" s="1"/>
  <c r="S21" s="1"/>
  <c r="S20" s="1"/>
  <c r="S19" s="1"/>
  <c r="S18" s="1"/>
  <c r="S17" s="1"/>
  <c r="S16" s="1"/>
  <c r="S15" s="1"/>
  <c r="S14" s="1"/>
  <c r="Q29"/>
  <c r="Q28" s="1"/>
  <c r="Q27" s="1"/>
  <c r="Q26" s="1"/>
  <c r="Q25" s="1"/>
  <c r="Q24" s="1"/>
  <c r="Q23" s="1"/>
  <c r="Q22" s="1"/>
  <c r="Q21" s="1"/>
  <c r="Q20" s="1"/>
  <c r="Q19" s="1"/>
  <c r="Q18" s="1"/>
  <c r="Q17" s="1"/>
  <c r="Q16" s="1"/>
  <c r="Q15" s="1"/>
  <c r="Q14" s="1"/>
  <c r="R29"/>
  <c r="R28" s="1"/>
  <c r="R27" s="1"/>
  <c r="R26" s="1"/>
  <c r="R25" s="1"/>
  <c r="R24" s="1"/>
  <c r="R23" s="1"/>
  <c r="R22" s="1"/>
  <c r="R21" s="1"/>
  <c r="R20" s="1"/>
  <c r="R19" s="1"/>
  <c r="R18" s="1"/>
  <c r="R17" s="1"/>
  <c r="R16" s="1"/>
  <c r="R15" s="1"/>
  <c r="R14" s="1"/>
  <c r="S29"/>
  <c r="J13" i="33" l="1"/>
  <c r="P18" i="32"/>
  <c r="O18" s="1"/>
  <c r="I13" i="33"/>
  <c r="H14"/>
  <c r="H13" s="1"/>
  <c r="P25" i="32" l="1"/>
  <c r="P24"/>
  <c r="P23"/>
  <c r="P22"/>
  <c r="P21"/>
  <c r="P20"/>
  <c r="O25"/>
  <c r="O24"/>
  <c r="O23"/>
  <c r="O22"/>
  <c r="O21"/>
  <c r="O20"/>
  <c r="P17"/>
  <c r="P16"/>
  <c r="P15"/>
  <c r="O17"/>
  <c r="O16"/>
  <c r="O15"/>
  <c r="P16" i="33" l="1"/>
  <c r="P15"/>
  <c r="P14"/>
  <c r="O16"/>
  <c r="O15"/>
  <c r="O14"/>
  <c r="P29" i="32"/>
  <c r="P28"/>
  <c r="P27"/>
  <c r="O29"/>
  <c r="O28"/>
  <c r="O27"/>
  <c r="P14" l="1"/>
  <c r="O13" i="33" l="1"/>
  <c r="P13"/>
  <c r="N15"/>
  <c r="N16"/>
  <c r="N14"/>
  <c r="N13" l="1"/>
  <c r="O26" i="32"/>
  <c r="P26"/>
  <c r="N28"/>
  <c r="N29"/>
  <c r="N27"/>
  <c r="O19"/>
  <c r="P19"/>
  <c r="N21"/>
  <c r="N22"/>
  <c r="N23"/>
  <c r="N24"/>
  <c r="N25"/>
  <c r="N20"/>
  <c r="O14"/>
  <c r="N18"/>
  <c r="N16"/>
  <c r="N17"/>
  <c r="N15"/>
  <c r="O13" l="1"/>
  <c r="N26"/>
  <c r="N19"/>
  <c r="N14"/>
  <c r="L18"/>
  <c r="K29"/>
  <c r="K23"/>
  <c r="K16"/>
  <c r="M29"/>
  <c r="M28"/>
  <c r="M27"/>
  <c r="M26" s="1"/>
  <c r="L29"/>
  <c r="L28"/>
  <c r="K28" s="1"/>
  <c r="L27"/>
  <c r="K27" s="1"/>
  <c r="K26" s="1"/>
  <c r="M25"/>
  <c r="K25" s="1"/>
  <c r="M24"/>
  <c r="M23"/>
  <c r="M22"/>
  <c r="M21"/>
  <c r="K21" s="1"/>
  <c r="M20"/>
  <c r="M19" s="1"/>
  <c r="L25"/>
  <c r="L24"/>
  <c r="K24" s="1"/>
  <c r="L23"/>
  <c r="L22"/>
  <c r="K22" s="1"/>
  <c r="L21"/>
  <c r="L20"/>
  <c r="K20" s="1"/>
  <c r="K19" s="1"/>
  <c r="M18"/>
  <c r="G18" s="1"/>
  <c r="M17"/>
  <c r="M16"/>
  <c r="M15"/>
  <c r="K15" s="1"/>
  <c r="L17"/>
  <c r="K17" s="1"/>
  <c r="L16"/>
  <c r="L15"/>
  <c r="L14" s="1"/>
  <c r="J29"/>
  <c r="J28"/>
  <c r="J27"/>
  <c r="I29"/>
  <c r="I28"/>
  <c r="I27"/>
  <c r="J25"/>
  <c r="J24"/>
  <c r="J23"/>
  <c r="J22"/>
  <c r="J21"/>
  <c r="J20"/>
  <c r="I25"/>
  <c r="I24"/>
  <c r="I23"/>
  <c r="I22"/>
  <c r="I21"/>
  <c r="I20"/>
  <c r="J17"/>
  <c r="J16"/>
  <c r="J15"/>
  <c r="I17"/>
  <c r="I16"/>
  <c r="I15"/>
  <c r="K18" l="1"/>
  <c r="F18"/>
  <c r="L26"/>
  <c r="M14"/>
  <c r="L19"/>
  <c r="L13"/>
  <c r="M13"/>
  <c r="N13"/>
  <c r="P13"/>
  <c r="Q13"/>
  <c r="R13"/>
  <c r="S13"/>
  <c r="I19"/>
  <c r="F15"/>
  <c r="F20"/>
  <c r="I14"/>
  <c r="F28"/>
  <c r="G28"/>
  <c r="F29"/>
  <c r="G29"/>
  <c r="G27"/>
  <c r="F27"/>
  <c r="F21"/>
  <c r="G21"/>
  <c r="F22"/>
  <c r="G22"/>
  <c r="F23"/>
  <c r="G23"/>
  <c r="F24"/>
  <c r="G24"/>
  <c r="F25"/>
  <c r="G25"/>
  <c r="G20"/>
  <c r="F16"/>
  <c r="G16"/>
  <c r="F17"/>
  <c r="G17"/>
  <c r="G15"/>
  <c r="I26"/>
  <c r="J26"/>
  <c r="J19"/>
  <c r="J14"/>
  <c r="H28"/>
  <c r="H29"/>
  <c r="H27"/>
  <c r="H21"/>
  <c r="H22"/>
  <c r="H23"/>
  <c r="H24"/>
  <c r="H25"/>
  <c r="H20"/>
  <c r="H16"/>
  <c r="H17"/>
  <c r="H15"/>
  <c r="K14" l="1"/>
  <c r="K13" s="1"/>
  <c r="E18"/>
  <c r="E17"/>
  <c r="E23"/>
  <c r="G14"/>
  <c r="E25"/>
  <c r="E24"/>
  <c r="E22"/>
  <c r="E16"/>
  <c r="E27"/>
  <c r="E29"/>
  <c r="E28"/>
  <c r="G26"/>
  <c r="H26"/>
  <c r="F26"/>
  <c r="G19"/>
  <c r="E21"/>
  <c r="J13"/>
  <c r="F19"/>
  <c r="H19"/>
  <c r="I13"/>
  <c r="E20"/>
  <c r="E15"/>
  <c r="F14"/>
  <c r="H14"/>
  <c r="E14" l="1"/>
  <c r="E26"/>
  <c r="E19"/>
  <c r="G13"/>
  <c r="F13"/>
  <c r="H13"/>
  <c r="E13" l="1"/>
</calcChain>
</file>

<file path=xl/sharedStrings.xml><?xml version="1.0" encoding="utf-8"?>
<sst xmlns="http://schemas.openxmlformats.org/spreadsheetml/2006/main" count="189" uniqueCount="83">
  <si>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</si>
  <si>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</si>
  <si>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</si>
  <si>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</si>
  <si>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</si>
  <si>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</si>
  <si>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</si>
  <si>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</si>
  <si>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</si>
  <si>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</si>
  <si>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</si>
  <si>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</si>
  <si>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</si>
  <si>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</si>
  <si>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</si>
  <si>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</si>
  <si>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</si>
  <si>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</si>
  <si>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</si>
  <si>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</si>
  <si>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>ชั้นเรียน</t>
  </si>
  <si>
    <t>Grade</t>
  </si>
  <si>
    <t>สังกัด  Jurisdiction</t>
  </si>
  <si>
    <t xml:space="preserve">ตาราง     </t>
  </si>
  <si>
    <t>เด็กเล็ก</t>
  </si>
  <si>
    <t>ประถม 1</t>
  </si>
  <si>
    <t>Pre- primary</t>
  </si>
  <si>
    <t>Pratom 1</t>
  </si>
  <si>
    <t>Kindergarten 1</t>
  </si>
  <si>
    <t>Kindergarten 2</t>
  </si>
  <si>
    <t>Kindergarten 3</t>
  </si>
  <si>
    <t>รวมยอด</t>
  </si>
  <si>
    <t xml:space="preserve">Department of Local </t>
  </si>
  <si>
    <t>Administration</t>
  </si>
  <si>
    <t>กรมส่งเสริม</t>
  </si>
  <si>
    <t>มัธยม 1</t>
  </si>
  <si>
    <t>มัธยม 2</t>
  </si>
  <si>
    <t>มัธยม 3</t>
  </si>
  <si>
    <t>ประถม 3</t>
  </si>
  <si>
    <t>ประถม 4</t>
  </si>
  <si>
    <t>ประถม 5</t>
  </si>
  <si>
    <t>ประถม 6</t>
  </si>
  <si>
    <t>มัธยม 4</t>
  </si>
  <si>
    <t>มัธยม 5</t>
  </si>
  <si>
    <t>มัธยม 6</t>
  </si>
  <si>
    <t>Matayom 1</t>
  </si>
  <si>
    <t>Matayom 4</t>
  </si>
  <si>
    <t>มัธยมต้น</t>
  </si>
  <si>
    <t>มัธยมปลาย</t>
  </si>
  <si>
    <t>การปกครองท้องถิ่น</t>
  </si>
  <si>
    <t>Pratom 3</t>
  </si>
  <si>
    <t>Pratom 4</t>
  </si>
  <si>
    <t>Pratom 5</t>
  </si>
  <si>
    <t>Pratom 6</t>
  </si>
  <si>
    <t>Matayom 2</t>
  </si>
  <si>
    <t>Matayom 3</t>
  </si>
  <si>
    <t>Matayom 5</t>
  </si>
  <si>
    <t>Matayom 6</t>
  </si>
  <si>
    <t>อนุบาล 1</t>
  </si>
  <si>
    <t>อนุบาล 2</t>
  </si>
  <si>
    <t>อนุบาล 3</t>
  </si>
  <si>
    <t xml:space="preserve">Table </t>
  </si>
  <si>
    <t xml:space="preserve">    Department of Local Administration</t>
  </si>
  <si>
    <t xml:space="preserve">   Sukhothai Seconary Educational Service Area Office, Area 38 </t>
  </si>
  <si>
    <t>ที่มา</t>
  </si>
  <si>
    <t>Source</t>
  </si>
  <si>
    <t>:  1. Sukhothai Primary Educational Service Area Office, Area 1,2</t>
  </si>
  <si>
    <t xml:space="preserve">   2. Sukhothai Seconary Educational Service Area Office, Area 38</t>
  </si>
  <si>
    <t>ประถม 2</t>
  </si>
  <si>
    <t>Pratom 2</t>
  </si>
  <si>
    <t>: 1. สำนักงานเขตพื้นที่การศึกษาประถมศึกษาจังหวัดสุโขทัย เขต 1 และ 2</t>
  </si>
  <si>
    <t xml:space="preserve">  2. สำนักงานเขตพื้นที่การศึกษามัธยมศึกษาเขต 38 (จังหวัดสุโขทัย)</t>
  </si>
  <si>
    <t>ส่วนราชการอื่น</t>
  </si>
  <si>
    <t>Other organizations</t>
  </si>
  <si>
    <t>นักเรียน จำแนกตามสังกัด เพศ และชั้นเรียน ปีการศึกษา 2561</t>
  </si>
  <si>
    <t>Student by Jurisdiction, Sex and Grade: Academic Year 2018</t>
  </si>
  <si>
    <t>นักเรียน จำแนกตามสังกัด เพศ และชั้นเรียน ปีการศึกษา 2561 (ต่อ)</t>
  </si>
  <si>
    <t>Student by Jurisdiction, Sex and Grade: Academic Year 2018 (Cont.)</t>
  </si>
  <si>
    <t xml:space="preserve">  4. กรมส่งเสริมการปกครองท้องถิ่น</t>
  </si>
  <si>
    <t xml:space="preserve">  3. ศึกษาธิการจังหวัดสุโขทัย</t>
  </si>
  <si>
    <t xml:space="preserve">   4. Department of Local Administration</t>
  </si>
  <si>
    <t xml:space="preserve">   3. Sukhothai Province Educational  Office</t>
  </si>
  <si>
    <t>-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</si>
</sst>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93" formatCode="_(* #,##0_);_(* \(#,##0\);_(* &quot;-&quot;_);_(@_)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</cellStyleXfs>
  <cellXfs count="120">
    <xf numFmtId="0" fontId="0" fillId="0" borderId="0" xfId="0"/>
    <xf numFmtId="0" fontId="5" fillId="0" borderId="0" xfId="0" applyFont="1" applyBorder="1"/>
    <xf numFmtId="0" fontId="7" fillId="0" borderId="0" xfId="0" applyFont="1"/>
    <xf numFmtId="0" fontId="8" fillId="0" borderId="0" xfId="0" applyFont="1" applyBorder="1"/>
    <xf numFmtId="0" fontId="8" fillId="0" borderId="0" xfId="0" applyFont="1"/>
    <xf numFmtId="0" fontId="6" fillId="0" borderId="0" xfId="0" applyFont="1" applyBorder="1"/>
    <xf numFmtId="0" fontId="7" fillId="0" borderId="0" xfId="0" applyFont="1" applyBorder="1"/>
    <xf numFmtId="0" fontId="8" fillId="0" borderId="3" xfId="0" applyFont="1" applyBorder="1"/>
    <xf numFmtId="0" fontId="8" fillId="0" borderId="8" xfId="0" applyFont="1" applyBorder="1"/>
    <xf numFmtId="0" fontId="9" fillId="0" borderId="0" xfId="0" applyFont="1" applyBorder="1"/>
    <xf numFmtId="0" fontId="8" fillId="0" borderId="2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9" xfId="0" applyFont="1" applyBorder="1"/>
    <xf numFmtId="0" fontId="4" fillId="0" borderId="0" xfId="0" applyFont="1" applyBorder="1"/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/>
    <xf numFmtId="0" fontId="8" fillId="0" borderId="10" xfId="0" applyFont="1" applyBorder="1"/>
    <xf numFmtId="188" fontId="4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4" fillId="0" borderId="0" xfId="0" applyFont="1" applyBorder="1" applyAlignment="1"/>
    <xf numFmtId="0" fontId="7" fillId="0" borderId="0" xfId="0" applyFont="1" applyAlignment="1"/>
    <xf numFmtId="0" fontId="8" fillId="0" borderId="8" xfId="0" applyFont="1" applyBorder="1" applyAlignment="1">
      <alignment vertical="top"/>
    </xf>
    <xf numFmtId="187" fontId="8" fillId="0" borderId="0" xfId="1" applyNumberFormat="1" applyFont="1" applyBorder="1" applyAlignment="1">
      <alignment horizontal="right" indent="1"/>
    </xf>
    <xf numFmtId="187" fontId="8" fillId="0" borderId="0" xfId="1" applyNumberFormat="1" applyFont="1" applyBorder="1" applyAlignment="1">
      <alignment horizontal="right" vertical="top" indent="1"/>
    </xf>
    <xf numFmtId="187" fontId="9" fillId="0" borderId="0" xfId="1" applyNumberFormat="1" applyFont="1" applyBorder="1" applyAlignment="1">
      <alignment horizontal="right" indent="1"/>
    </xf>
    <xf numFmtId="0" fontId="8" fillId="0" borderId="11" xfId="0" applyFont="1" applyBorder="1" applyAlignment="1">
      <alignment horizontal="left"/>
    </xf>
    <xf numFmtId="3" fontId="8" fillId="0" borderId="7" xfId="1" applyNumberFormat="1" applyFont="1" applyBorder="1" applyAlignment="1">
      <alignment horizontal="right" indent="1"/>
    </xf>
    <xf numFmtId="3" fontId="8" fillId="0" borderId="8" xfId="1" applyNumberFormat="1" applyFont="1" applyBorder="1" applyAlignment="1">
      <alignment horizontal="right" indent="1"/>
    </xf>
    <xf numFmtId="187" fontId="8" fillId="0" borderId="0" xfId="1" applyNumberFormat="1" applyFont="1" applyBorder="1" applyAlignment="1"/>
    <xf numFmtId="0" fontId="8" fillId="0" borderId="3" xfId="0" applyFont="1" applyBorder="1" applyAlignment="1"/>
    <xf numFmtId="0" fontId="8" fillId="0" borderId="0" xfId="0" applyFont="1" applyAlignment="1"/>
    <xf numFmtId="0" fontId="5" fillId="0" borderId="0" xfId="0" applyFont="1" applyBorder="1" applyAlignment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vertical="top"/>
    </xf>
    <xf numFmtId="0" fontId="9" fillId="0" borderId="0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3" fontId="8" fillId="0" borderId="7" xfId="1" applyNumberFormat="1" applyFont="1" applyFill="1" applyBorder="1" applyAlignment="1">
      <alignment horizontal="right" indent="1"/>
    </xf>
    <xf numFmtId="0" fontId="9" fillId="0" borderId="0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/>
    <xf numFmtId="0" fontId="8" fillId="0" borderId="0" xfId="0" applyFont="1" applyBorder="1" applyAlignment="1"/>
    <xf numFmtId="0" fontId="10" fillId="0" borderId="0" xfId="0" applyFont="1" applyBorder="1" applyAlignment="1"/>
    <xf numFmtId="0" fontId="8" fillId="0" borderId="2" xfId="0" applyFont="1" applyBorder="1" applyAlignment="1"/>
    <xf numFmtId="0" fontId="9" fillId="0" borderId="2" xfId="0" applyFont="1" applyBorder="1" applyAlignment="1"/>
    <xf numFmtId="0" fontId="6" fillId="0" borderId="0" xfId="0" applyFont="1" applyBorder="1" applyAlignment="1"/>
    <xf numFmtId="0" fontId="6" fillId="0" borderId="2" xfId="0" applyFont="1" applyBorder="1" applyAlignment="1"/>
    <xf numFmtId="0" fontId="4" fillId="0" borderId="2" xfId="0" applyFont="1" applyBorder="1" applyAlignment="1"/>
    <xf numFmtId="0" fontId="8" fillId="0" borderId="0" xfId="0" applyFont="1" applyAlignment="1">
      <alignment horizontal="right"/>
    </xf>
    <xf numFmtId="187" fontId="8" fillId="0" borderId="0" xfId="1" applyNumberFormat="1" applyFont="1" applyBorder="1" applyAlignment="1">
      <alignment horizontal="right"/>
    </xf>
    <xf numFmtId="193" fontId="7" fillId="0" borderId="4" xfId="1" applyNumberFormat="1" applyFont="1" applyFill="1" applyBorder="1" applyAlignment="1"/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/>
    </xf>
    <xf numFmtId="0" fontId="9" fillId="0" borderId="0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0" xfId="6" applyFont="1" applyAlignment="1">
      <alignment horizontal="left"/>
    </xf>
    <xf numFmtId="0" fontId="7" fillId="0" borderId="0" xfId="6" applyFont="1" applyAlignment="1"/>
    <xf numFmtId="0" fontId="8" fillId="0" borderId="8" xfId="6" applyFont="1" applyBorder="1"/>
    <xf numFmtId="0" fontId="8" fillId="0" borderId="6" xfId="6" applyFont="1" applyBorder="1"/>
    <xf numFmtId="0" fontId="8" fillId="0" borderId="8" xfId="6" applyFont="1" applyBorder="1" applyAlignment="1">
      <alignment horizontal="left" indent="2"/>
    </xf>
    <xf numFmtId="0" fontId="9" fillId="0" borderId="0" xfId="6" applyFont="1" applyBorder="1" applyAlignment="1">
      <alignment horizontal="left" indent="1"/>
    </xf>
    <xf numFmtId="0" fontId="8" fillId="0" borderId="0" xfId="6" applyFont="1" applyBorder="1" applyAlignment="1">
      <alignment horizontal="left" indent="2"/>
    </xf>
    <xf numFmtId="0" fontId="7" fillId="0" borderId="0" xfId="6" applyFont="1" applyBorder="1" applyAlignment="1">
      <alignment horizontal="left" indent="2"/>
    </xf>
    <xf numFmtId="0" fontId="5" fillId="0" borderId="0" xfId="6" applyFont="1" applyBorder="1" applyAlignment="1">
      <alignment horizontal="left" indent="1"/>
    </xf>
    <xf numFmtId="187" fontId="7" fillId="0" borderId="4" xfId="1" applyNumberFormat="1" applyFont="1" applyFill="1" applyBorder="1" applyAlignment="1"/>
    <xf numFmtId="187" fontId="9" fillId="0" borderId="4" xfId="1" applyNumberFormat="1" applyFont="1" applyBorder="1" applyAlignment="1">
      <alignment horizontal="right"/>
    </xf>
    <xf numFmtId="187" fontId="8" fillId="0" borderId="4" xfId="1" applyNumberFormat="1" applyFont="1" applyBorder="1" applyAlignment="1">
      <alignment horizontal="right"/>
    </xf>
    <xf numFmtId="187" fontId="8" fillId="0" borderId="4" xfId="1" applyNumberFormat="1" applyFont="1" applyFill="1" applyBorder="1" applyAlignment="1">
      <alignment horizontal="right"/>
    </xf>
    <xf numFmtId="187" fontId="8" fillId="0" borderId="2" xfId="1" applyNumberFormat="1" applyFont="1" applyFill="1" applyBorder="1" applyAlignment="1">
      <alignment horizontal="right"/>
    </xf>
    <xf numFmtId="187" fontId="8" fillId="0" borderId="0" xfId="1" applyNumberFormat="1" applyFont="1" applyFill="1" applyBorder="1" applyAlignment="1">
      <alignment horizontal="right"/>
    </xf>
    <xf numFmtId="187" fontId="9" fillId="0" borderId="4" xfId="1" applyNumberFormat="1" applyFont="1" applyFill="1" applyBorder="1" applyAlignment="1">
      <alignment horizontal="right"/>
    </xf>
    <xf numFmtId="187" fontId="8" fillId="0" borderId="2" xfId="1" applyNumberFormat="1" applyFont="1" applyBorder="1" applyAlignment="1">
      <alignment horizontal="right"/>
    </xf>
    <xf numFmtId="193" fontId="7" fillId="0" borderId="4" xfId="1" applyNumberFormat="1" applyFont="1" applyFill="1" applyBorder="1" applyAlignment="1">
      <alignment horizontal="right"/>
    </xf>
    <xf numFmtId="187" fontId="9" fillId="0" borderId="0" xfId="1" applyNumberFormat="1" applyFont="1" applyFill="1" applyBorder="1" applyAlignment="1">
      <alignment horizontal="right"/>
    </xf>
    <xf numFmtId="193" fontId="7" fillId="0" borderId="0" xfId="1" applyNumberFormat="1" applyFont="1" applyFill="1" applyBorder="1" applyAlignment="1"/>
    <xf numFmtId="0" fontId="8" fillId="0" borderId="11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8">
    <cellStyle name="Comma 2" xfId="4"/>
    <cellStyle name="Comma 3" xfId="5"/>
    <cellStyle name="Normal 2" xfId="3"/>
    <cellStyle name="Normal 3" xfId="7"/>
    <cellStyle name="เครื่องหมายจุลภาค" xfId="1" builtinId="3"/>
    <cellStyle name="ปกติ" xfId="0" builtinId="0"/>
    <cellStyle name="ปกติ 2" xfId="2"/>
    <cellStyle name="ปกติ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19050</xdr:rowOff>
    </xdr:from>
    <xdr:to>
      <xdr:col>22</xdr:col>
      <xdr:colOff>257180</xdr:colOff>
      <xdr:row>19</xdr:row>
      <xdr:rowOff>169191</xdr:rowOff>
    </xdr:to>
    <xdr:grpSp>
      <xdr:nvGrpSpPr>
        <xdr:cNvPr id="6" name="Group 5"/>
        <xdr:cNvGrpSpPr/>
      </xdr:nvGrpSpPr>
      <xdr:grpSpPr>
        <a:xfrm>
          <a:off x="9477375" y="19050"/>
          <a:ext cx="342905" cy="4083966"/>
          <a:chOff x="9677398" y="9524"/>
          <a:chExt cx="355288" cy="4092075"/>
        </a:xfrm>
      </xdr:grpSpPr>
      <xdr:grpSp>
        <xdr:nvGrpSpPr>
          <xdr:cNvPr id="7" name="Group 6"/>
          <xdr:cNvGrpSpPr/>
        </xdr:nvGrpSpPr>
        <xdr:grpSpPr>
          <a:xfrm>
            <a:off x="9677398" y="9524"/>
            <a:ext cx="355276" cy="458040"/>
            <a:chOff x="9677398" y="9524"/>
            <a:chExt cx="355276" cy="458040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71307" y="142388"/>
              <a:ext cx="383256" cy="26709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38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771525</xdr:colOff>
      <xdr:row>6</xdr:row>
      <xdr:rowOff>47625</xdr:rowOff>
    </xdr:from>
    <xdr:to>
      <xdr:col>22</xdr:col>
      <xdr:colOff>415926</xdr:colOff>
      <xdr:row>33</xdr:row>
      <xdr:rowOff>196851</xdr:rowOff>
    </xdr:to>
    <xdr:grpSp>
      <xdr:nvGrpSpPr>
        <xdr:cNvPr id="6" name="Group 5"/>
        <xdr:cNvGrpSpPr/>
      </xdr:nvGrpSpPr>
      <xdr:grpSpPr>
        <a:xfrm>
          <a:off x="9201150" y="1276350"/>
          <a:ext cx="615951" cy="5454651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3</a:t>
              </a:r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9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Education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W33"/>
  <sheetViews>
    <sheetView showGridLines="0" showWhiteSpace="0" zoomScalePageLayoutView="115" workbookViewId="0">
      <selection activeCell="O18" sqref="O18"/>
    </sheetView>
  </sheetViews>
  <sheetFormatPr defaultColWidth="9.140625" defaultRowHeight="18.75"/>
  <cols>
    <col min="1" max="1" width="1.7109375" style="5" customWidth="1"/>
    <col min="2" max="2" width="6" style="5" customWidth="1"/>
    <col min="3" max="3" width="4.7109375" style="5" customWidth="1"/>
    <col min="4" max="4" width="1.42578125" style="5" customWidth="1"/>
    <col min="5" max="19" width="7.5703125" style="5" customWidth="1"/>
    <col min="20" max="20" width="2.5703125" style="5" customWidth="1"/>
    <col min="21" max="21" width="12.140625" style="5" customWidth="1"/>
    <col min="22" max="22" width="1.28515625" style="5" customWidth="1"/>
    <col min="23" max="23" width="4.140625" style="5" customWidth="1"/>
    <col min="24" max="16384" width="9.140625" style="5"/>
  </cols>
  <sheetData>
    <row r="1" spans="1:22" s="14" customFormat="1">
      <c r="B1" s="14" t="s">
        <v>23</v>
      </c>
      <c r="C1" s="23">
        <v>3.7</v>
      </c>
      <c r="D1" s="14" t="s">
        <v>74</v>
      </c>
    </row>
    <row r="2" spans="1:22" s="1" customFormat="1" ht="20.25" customHeight="1">
      <c r="B2" s="14" t="s">
        <v>61</v>
      </c>
      <c r="C2" s="23">
        <v>3.7</v>
      </c>
      <c r="D2" s="14" t="s">
        <v>75</v>
      </c>
      <c r="E2" s="14"/>
    </row>
    <row r="3" spans="1:22" ht="6.75" customHeight="1"/>
    <row r="4" spans="1:22" s="3" customFormat="1" ht="15" customHeight="1">
      <c r="A4" s="96" t="s">
        <v>20</v>
      </c>
      <c r="B4" s="96"/>
      <c r="C4" s="96"/>
      <c r="D4" s="113"/>
      <c r="E4" s="35"/>
      <c r="F4" s="13"/>
      <c r="G4" s="71"/>
      <c r="H4" s="117" t="s">
        <v>22</v>
      </c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95" t="s">
        <v>21</v>
      </c>
      <c r="U4" s="96"/>
    </row>
    <row r="5" spans="1:22" s="3" customFormat="1" ht="15" customHeight="1">
      <c r="A5" s="114"/>
      <c r="B5" s="114"/>
      <c r="C5" s="114"/>
      <c r="D5" s="115"/>
      <c r="E5" s="7"/>
      <c r="G5" s="10"/>
      <c r="H5" s="21"/>
      <c r="I5" s="13"/>
      <c r="J5" s="22"/>
      <c r="K5" s="101" t="s">
        <v>2</v>
      </c>
      <c r="L5" s="102"/>
      <c r="M5" s="103"/>
      <c r="N5" s="21"/>
      <c r="O5" s="13"/>
      <c r="P5" s="22"/>
      <c r="T5" s="97"/>
      <c r="U5" s="98"/>
    </row>
    <row r="6" spans="1:22" s="3" customFormat="1" ht="15.75" customHeight="1">
      <c r="A6" s="114"/>
      <c r="B6" s="114"/>
      <c r="C6" s="114"/>
      <c r="D6" s="115"/>
      <c r="E6" s="104" t="s">
        <v>7</v>
      </c>
      <c r="F6" s="105"/>
      <c r="G6" s="106"/>
      <c r="H6" s="104" t="s">
        <v>0</v>
      </c>
      <c r="I6" s="105"/>
      <c r="J6" s="106"/>
      <c r="K6" s="104" t="s">
        <v>3</v>
      </c>
      <c r="L6" s="105"/>
      <c r="M6" s="106"/>
      <c r="N6" s="104" t="s">
        <v>34</v>
      </c>
      <c r="O6" s="105"/>
      <c r="P6" s="106"/>
      <c r="Q6" s="105"/>
      <c r="R6" s="105"/>
      <c r="S6" s="105"/>
      <c r="T6" s="97"/>
      <c r="U6" s="98"/>
    </row>
    <row r="7" spans="1:22" s="3" customFormat="1" ht="17.25" customHeight="1">
      <c r="A7" s="114"/>
      <c r="B7" s="114"/>
      <c r="C7" s="114"/>
      <c r="D7" s="115"/>
      <c r="E7" s="104" t="s">
        <v>8</v>
      </c>
      <c r="F7" s="105"/>
      <c r="G7" s="106"/>
      <c r="H7" s="104" t="s">
        <v>1</v>
      </c>
      <c r="I7" s="105"/>
      <c r="J7" s="106"/>
      <c r="K7" s="104" t="s">
        <v>4</v>
      </c>
      <c r="L7" s="105"/>
      <c r="M7" s="106"/>
      <c r="N7" s="104" t="s">
        <v>49</v>
      </c>
      <c r="O7" s="105"/>
      <c r="P7" s="106"/>
      <c r="Q7" s="105" t="s">
        <v>72</v>
      </c>
      <c r="R7" s="105"/>
      <c r="S7" s="105"/>
      <c r="T7" s="97"/>
      <c r="U7" s="98"/>
    </row>
    <row r="8" spans="1:22" s="3" customFormat="1" ht="16.5" customHeight="1">
      <c r="A8" s="114"/>
      <c r="B8" s="114"/>
      <c r="C8" s="114"/>
      <c r="D8" s="115"/>
      <c r="E8" s="7"/>
      <c r="G8" s="10"/>
      <c r="H8" s="104" t="s">
        <v>5</v>
      </c>
      <c r="I8" s="105"/>
      <c r="J8" s="106"/>
      <c r="K8" s="104" t="s">
        <v>9</v>
      </c>
      <c r="L8" s="105"/>
      <c r="M8" s="106"/>
      <c r="N8" s="104" t="s">
        <v>32</v>
      </c>
      <c r="O8" s="105"/>
      <c r="P8" s="106"/>
      <c r="Q8" s="107" t="s">
        <v>73</v>
      </c>
      <c r="R8" s="107"/>
      <c r="S8" s="107"/>
      <c r="T8" s="97"/>
      <c r="U8" s="98"/>
    </row>
    <row r="9" spans="1:22" s="3" customFormat="1" ht="17.25" customHeight="1">
      <c r="A9" s="114"/>
      <c r="B9" s="114"/>
      <c r="C9" s="114"/>
      <c r="D9" s="115"/>
      <c r="E9" s="11"/>
      <c r="F9" s="8"/>
      <c r="G9" s="12"/>
      <c r="H9" s="108" t="s">
        <v>6</v>
      </c>
      <c r="I9" s="109"/>
      <c r="J9" s="110"/>
      <c r="K9" s="108" t="s">
        <v>6</v>
      </c>
      <c r="L9" s="109"/>
      <c r="M9" s="110"/>
      <c r="N9" s="104" t="s">
        <v>33</v>
      </c>
      <c r="O9" s="105"/>
      <c r="P9" s="106"/>
      <c r="Q9" s="8"/>
      <c r="R9" s="8"/>
      <c r="S9" s="8"/>
      <c r="T9" s="97"/>
      <c r="U9" s="98"/>
    </row>
    <row r="10" spans="1:22" s="3" customFormat="1" ht="13.5" customHeight="1">
      <c r="A10" s="114"/>
      <c r="B10" s="114"/>
      <c r="C10" s="114"/>
      <c r="D10" s="115"/>
      <c r="E10" s="20" t="s">
        <v>7</v>
      </c>
      <c r="F10" s="15" t="s">
        <v>16</v>
      </c>
      <c r="G10" s="16" t="s">
        <v>17</v>
      </c>
      <c r="H10" s="20" t="s">
        <v>7</v>
      </c>
      <c r="I10" s="20" t="s">
        <v>16</v>
      </c>
      <c r="J10" s="16" t="s">
        <v>17</v>
      </c>
      <c r="K10" s="20" t="s">
        <v>7</v>
      </c>
      <c r="L10" s="20" t="s">
        <v>16</v>
      </c>
      <c r="M10" s="16" t="s">
        <v>17</v>
      </c>
      <c r="N10" s="20" t="s">
        <v>7</v>
      </c>
      <c r="O10" s="20" t="s">
        <v>16</v>
      </c>
      <c r="P10" s="20" t="s">
        <v>17</v>
      </c>
      <c r="Q10" s="20" t="s">
        <v>7</v>
      </c>
      <c r="R10" s="20" t="s">
        <v>16</v>
      </c>
      <c r="S10" s="17" t="s">
        <v>17</v>
      </c>
      <c r="T10" s="97"/>
      <c r="U10" s="98"/>
    </row>
    <row r="11" spans="1:22" s="3" customFormat="1" ht="21.75" customHeight="1">
      <c r="A11" s="100"/>
      <c r="B11" s="100"/>
      <c r="C11" s="100"/>
      <c r="D11" s="116"/>
      <c r="E11" s="18" t="s">
        <v>8</v>
      </c>
      <c r="F11" s="74" t="s">
        <v>18</v>
      </c>
      <c r="G11" s="74" t="s">
        <v>19</v>
      </c>
      <c r="H11" s="18" t="s">
        <v>8</v>
      </c>
      <c r="I11" s="18" t="s">
        <v>18</v>
      </c>
      <c r="J11" s="74" t="s">
        <v>19</v>
      </c>
      <c r="K11" s="18" t="s">
        <v>8</v>
      </c>
      <c r="L11" s="18" t="s">
        <v>18</v>
      </c>
      <c r="M11" s="74" t="s">
        <v>19</v>
      </c>
      <c r="N11" s="18" t="s">
        <v>8</v>
      </c>
      <c r="O11" s="18" t="s">
        <v>18</v>
      </c>
      <c r="P11" s="74" t="s">
        <v>19</v>
      </c>
      <c r="Q11" s="18" t="s">
        <v>8</v>
      </c>
      <c r="R11" s="18" t="s">
        <v>18</v>
      </c>
      <c r="S11" s="73" t="s">
        <v>19</v>
      </c>
      <c r="T11" s="99"/>
      <c r="U11" s="100"/>
    </row>
    <row r="12" spans="1:22" s="3" customFormat="1" ht="3.75" customHeight="1">
      <c r="A12" s="69"/>
      <c r="B12" s="69"/>
      <c r="C12" s="69"/>
      <c r="D12" s="70"/>
      <c r="E12" s="42"/>
      <c r="F12" s="43"/>
      <c r="G12" s="43"/>
      <c r="H12" s="42"/>
      <c r="I12" s="42"/>
      <c r="J12" s="43"/>
      <c r="K12" s="42"/>
      <c r="L12" s="42"/>
      <c r="M12" s="43"/>
      <c r="N12" s="42"/>
      <c r="O12" s="42"/>
      <c r="P12" s="43"/>
      <c r="Q12" s="42"/>
      <c r="R12" s="42"/>
      <c r="S12" s="44"/>
      <c r="T12" s="45"/>
      <c r="U12" s="9"/>
    </row>
    <row r="13" spans="1:22" s="9" customFormat="1" ht="15.75">
      <c r="A13" s="111" t="s">
        <v>31</v>
      </c>
      <c r="B13" s="111"/>
      <c r="C13" s="111"/>
      <c r="D13" s="112"/>
      <c r="E13" s="85" t="e">
        <f>E14+E19+E26+'T-3.7(2)'!E13</f>
        <v>#VALUE!</v>
      </c>
      <c r="F13" s="85" t="e">
        <f>F14+F19+F26+'T-3.7(2)'!F13</f>
        <v>#VALUE!</v>
      </c>
      <c r="G13" s="85" t="e">
        <f>G14+G19+G26+'T-3.7(2)'!G13</f>
        <v>#VALUE!</v>
      </c>
      <c r="H13" s="85">
        <f>H14+H19+H26+'T-3.7(2)'!H13</f>
        <v>60923</v>
      </c>
      <c r="I13" s="85">
        <f>I14+I19+I26+'T-3.7(2)'!I13</f>
        <v>30729</v>
      </c>
      <c r="J13" s="85">
        <f>J14+J19+J26+'T-3.7(2)'!J13</f>
        <v>30194</v>
      </c>
      <c r="K13" s="85" t="e">
        <f>K14+K19+K26+'T-3.7(2)'!K13</f>
        <v>#VALUE!</v>
      </c>
      <c r="L13" s="85" t="e">
        <f>L14+L19+L26+'T-3.7(2)'!L13</f>
        <v>#VALUE!</v>
      </c>
      <c r="M13" s="85" t="e">
        <f>M14+M19+M26+'T-3.7(2)'!M13</f>
        <v>#VALUE!</v>
      </c>
      <c r="N13" s="85">
        <f>N14+N19+N26+'T-3.7(2)'!N13</f>
        <v>11782</v>
      </c>
      <c r="O13" s="85">
        <f>O14+O19+O26+'T-3.7(2)'!O13</f>
        <v>6120</v>
      </c>
      <c r="P13" s="85">
        <f>P14+P19+P26+'T-3.7(2)'!P13</f>
        <v>5662</v>
      </c>
      <c r="Q13" s="85" t="e">
        <f>Q14+Q19+Q26+'T-3.7(2)'!Q13</f>
        <v>#VALUE!</v>
      </c>
      <c r="R13" s="85" t="e">
        <f>R14+R19+R26+'T-3.7(2)'!R13</f>
        <v>#VALUE!</v>
      </c>
      <c r="S13" s="85" t="e">
        <f>S14+S19+S26+'T-3.7(2)'!S13</f>
        <v>#VALUE!</v>
      </c>
      <c r="T13" s="46"/>
      <c r="U13" s="72" t="s">
        <v>8</v>
      </c>
      <c r="V13" s="47"/>
    </row>
    <row r="14" spans="1:22" s="56" customFormat="1" ht="18.95" customHeight="1">
      <c r="A14" s="54" t="s">
        <v>14</v>
      </c>
      <c r="B14" s="47"/>
      <c r="C14" s="47"/>
      <c r="D14" s="55"/>
      <c r="E14" s="85" t="e">
        <f>SUM(E15:E18)</f>
        <v>#VALUE!</v>
      </c>
      <c r="F14" s="85" t="e">
        <f>SUM(F15:F18)</f>
        <v>#VALUE!</v>
      </c>
      <c r="G14" s="85" t="e">
        <f>SUM(G15:G18)</f>
        <v>#VALUE!</v>
      </c>
      <c r="H14" s="85">
        <f>SUM(H15:H18)</f>
        <v>8283</v>
      </c>
      <c r="I14" s="85">
        <f>SUM(I15:I18)</f>
        <v>4284</v>
      </c>
      <c r="J14" s="85">
        <f t="shared" ref="J14" si="0">SUM(J15:J18)</f>
        <v>3999</v>
      </c>
      <c r="K14" s="85">
        <f>SUM(K15:K18)</f>
        <v>1904</v>
      </c>
      <c r="L14" s="85">
        <f t="shared" ref="L14:M14" si="1">SUM(L15:L18)</f>
        <v>916</v>
      </c>
      <c r="M14" s="85">
        <f t="shared" si="1"/>
        <v>988</v>
      </c>
      <c r="N14" s="85">
        <f>SUM(N15:N18)</f>
        <v>2713</v>
      </c>
      <c r="O14" s="85">
        <f t="shared" ref="O14" si="2">SUM(O15:O18)</f>
        <v>1388</v>
      </c>
      <c r="P14" s="85">
        <f>SUM(P15:P18)</f>
        <v>1325</v>
      </c>
      <c r="Q14" s="85" t="e">
        <f>Q15+Q20+Q27+'T-3.7(2)'!Q14</f>
        <v>#VALUE!</v>
      </c>
      <c r="R14" s="85" t="e">
        <f>R15+R20+R27+'T-3.7(2)'!R14</f>
        <v>#VALUE!</v>
      </c>
      <c r="S14" s="85" t="e">
        <f>S15+S20+S27+'T-3.7(2)'!S14</f>
        <v>#VALUE!</v>
      </c>
      <c r="T14" s="41" t="s">
        <v>15</v>
      </c>
      <c r="U14" s="47"/>
      <c r="V14" s="47"/>
    </row>
    <row r="15" spans="1:22" s="57" customFormat="1" ht="18.95" customHeight="1">
      <c r="B15" s="58" t="s">
        <v>58</v>
      </c>
      <c r="D15" s="59"/>
      <c r="E15" s="86" t="e">
        <f>SUM(F15:G15)</f>
        <v>#VALUE!</v>
      </c>
      <c r="F15" s="86" t="e">
        <f>I15+L15+O15+R15</f>
        <v>#VALUE!</v>
      </c>
      <c r="G15" s="86" t="e">
        <f>J15+M15+P15+S15</f>
        <v>#VALUE!</v>
      </c>
      <c r="H15" s="86">
        <f>SUM(I15:J15)</f>
        <v>555</v>
      </c>
      <c r="I15" s="87">
        <f>51+234</f>
        <v>285</v>
      </c>
      <c r="J15" s="88">
        <f>40+230</f>
        <v>270</v>
      </c>
      <c r="K15" s="87">
        <f>SUM(L15:M15)</f>
        <v>511</v>
      </c>
      <c r="L15" s="88">
        <f>244</f>
        <v>244</v>
      </c>
      <c r="M15" s="88">
        <f>267</f>
        <v>267</v>
      </c>
      <c r="N15" s="86">
        <f>SUM(O15:P15)</f>
        <v>911</v>
      </c>
      <c r="O15" s="89">
        <f>11+11+7+95+8+14+22+6+12+16+5+20+2+11+4+161+8+14+8+1+18+8+11+5</f>
        <v>478</v>
      </c>
      <c r="P15" s="86">
        <f>17+13+7+73+5+11+17+10+9+10+5+23+1+22+8+147+10+9+8+1+10+10+4+3</f>
        <v>433</v>
      </c>
      <c r="Q15" s="85" t="e">
        <f>Q16+Q21+Q28+'T-3.7(2)'!Q15</f>
        <v>#VALUE!</v>
      </c>
      <c r="R15" s="85" t="e">
        <f>R16+R21+R28+'T-3.7(2)'!R15</f>
        <v>#VALUE!</v>
      </c>
      <c r="S15" s="85" t="e">
        <f>S16+S21+S28+'T-3.7(2)'!S15</f>
        <v>#VALUE!</v>
      </c>
      <c r="T15" s="39"/>
      <c r="U15" s="57" t="s">
        <v>28</v>
      </c>
    </row>
    <row r="16" spans="1:22" s="57" customFormat="1" ht="18.95" customHeight="1">
      <c r="B16" s="58" t="s">
        <v>59</v>
      </c>
      <c r="D16" s="59"/>
      <c r="E16" s="86" t="e">
        <f t="shared" ref="E16" si="3">SUM(F16:G16)</f>
        <v>#VALUE!</v>
      </c>
      <c r="F16" s="86" t="e">
        <f t="shared" ref="F16:F17" si="4">I16+L16+O16+R16</f>
        <v>#VALUE!</v>
      </c>
      <c r="G16" s="86" t="e">
        <f t="shared" ref="G16:G17" si="5">J16+M16+P16+S16</f>
        <v>#VALUE!</v>
      </c>
      <c r="H16" s="86">
        <f t="shared" ref="H16:H17" si="6">SUM(I16:J16)</f>
        <v>3526</v>
      </c>
      <c r="I16" s="87">
        <f>949+867</f>
        <v>1816</v>
      </c>
      <c r="J16" s="88">
        <f>914+796</f>
        <v>1710</v>
      </c>
      <c r="K16" s="87">
        <f t="shared" ref="K16:K18" si="7">SUM(L16:M16)</f>
        <v>567</v>
      </c>
      <c r="L16" s="88">
        <f>271</f>
        <v>271</v>
      </c>
      <c r="M16" s="88">
        <f>296</f>
        <v>296</v>
      </c>
      <c r="N16" s="86">
        <f t="shared" ref="N16:N18" si="8">SUM(O16:P16)</f>
        <v>959</v>
      </c>
      <c r="O16" s="89">
        <f>19+15+12+93+17+13+11+6+20+11+6+25+5+19+1+148+8+12+7+1+14+8+5+1</f>
        <v>477</v>
      </c>
      <c r="P16" s="86">
        <f>15+22+6+97+8+4+19+8+14+12+3+19+1+12+3+181+10+9+4+0+12+2+15+6</f>
        <v>482</v>
      </c>
      <c r="Q16" s="85" t="e">
        <f>Q17+Q22+Q29+'T-3.7(2)'!Q16</f>
        <v>#VALUE!</v>
      </c>
      <c r="R16" s="85" t="e">
        <f>R17+R22+R29+'T-3.7(2)'!R16</f>
        <v>#VALUE!</v>
      </c>
      <c r="S16" s="85" t="e">
        <f>S17+S22+S29+'T-3.7(2)'!S16</f>
        <v>#VALUE!</v>
      </c>
      <c r="T16" s="39"/>
      <c r="U16" s="57" t="s">
        <v>29</v>
      </c>
    </row>
    <row r="17" spans="1:23" s="57" customFormat="1" ht="18.95" customHeight="1">
      <c r="B17" s="58" t="s">
        <v>60</v>
      </c>
      <c r="D17" s="59"/>
      <c r="E17" s="86">
        <f>SUM(F17:G17)</f>
        <v>5682</v>
      </c>
      <c r="F17" s="86">
        <f t="shared" si="4"/>
        <v>2923</v>
      </c>
      <c r="G17" s="86">
        <f t="shared" si="5"/>
        <v>2759</v>
      </c>
      <c r="H17" s="86">
        <f t="shared" si="6"/>
        <v>4202</v>
      </c>
      <c r="I17" s="87">
        <f>1111+1072</f>
        <v>2183</v>
      </c>
      <c r="J17" s="88">
        <f>1059+960</f>
        <v>2019</v>
      </c>
      <c r="K17" s="87">
        <f t="shared" si="7"/>
        <v>637</v>
      </c>
      <c r="L17" s="88">
        <f>307</f>
        <v>307</v>
      </c>
      <c r="M17" s="88">
        <f>330</f>
        <v>330</v>
      </c>
      <c r="N17" s="86">
        <f t="shared" si="8"/>
        <v>843</v>
      </c>
      <c r="O17" s="89">
        <f>16+11+129+4+10+15+10+15+4+158+9+8+4+17+8+9+6</f>
        <v>433</v>
      </c>
      <c r="P17" s="86">
        <f>18+11+97+6+5+10+14+18+0+180+6+14+6+10+7+8+0</f>
        <v>410</v>
      </c>
      <c r="Q17" s="85">
        <f>Q18+Q23+Q30+'T-3.7(2)'!Q17</f>
        <v>0</v>
      </c>
      <c r="R17" s="85">
        <f>R18+R23+R30+'T-3.7(2)'!R17</f>
        <v>0</v>
      </c>
      <c r="S17" s="85">
        <f>S18+S23+S30+'T-3.7(2)'!S17</f>
        <v>0</v>
      </c>
      <c r="U17" s="40" t="s">
        <v>30</v>
      </c>
    </row>
    <row r="18" spans="1:23" s="57" customFormat="1" ht="18.95" customHeight="1">
      <c r="B18" s="58" t="s">
        <v>24</v>
      </c>
      <c r="D18" s="59"/>
      <c r="E18" s="86">
        <f>SUM(K18)</f>
        <v>189</v>
      </c>
      <c r="F18" s="86">
        <f>SUM(L18)</f>
        <v>94</v>
      </c>
      <c r="G18" s="86">
        <f>SUM(M18)</f>
        <v>95</v>
      </c>
      <c r="H18" s="92" t="s">
        <v>82</v>
      </c>
      <c r="I18" s="92" t="s">
        <v>82</v>
      </c>
      <c r="J18" s="92" t="s">
        <v>82</v>
      </c>
      <c r="K18" s="87">
        <f t="shared" si="7"/>
        <v>189</v>
      </c>
      <c r="L18" s="84">
        <f>94</f>
        <v>94</v>
      </c>
      <c r="M18" s="84">
        <f>95</f>
        <v>95</v>
      </c>
      <c r="N18" s="86">
        <f t="shared" si="8"/>
        <v>0</v>
      </c>
      <c r="O18" s="86">
        <f t="shared" ref="O18" si="9">SUM(P18:Q18)</f>
        <v>0</v>
      </c>
      <c r="P18" s="86">
        <f t="shared" ref="P18" si="10">SUM(Q18:R18)</f>
        <v>0</v>
      </c>
      <c r="Q18" s="85">
        <f>Q19+Q24+Q31+'T-3.7(2)'!Q18</f>
        <v>0</v>
      </c>
      <c r="R18" s="85">
        <f>R19+R24+R31+'T-3.7(2)'!R18</f>
        <v>0</v>
      </c>
      <c r="S18" s="85">
        <f>S19+S24+S31+'T-3.7(2)'!S18</f>
        <v>0</v>
      </c>
      <c r="U18" s="40" t="s">
        <v>26</v>
      </c>
    </row>
    <row r="19" spans="1:23" s="56" customFormat="1" ht="18.95" customHeight="1">
      <c r="A19" s="56" t="s">
        <v>10</v>
      </c>
      <c r="D19" s="60"/>
      <c r="E19" s="85">
        <f>SUM(E20:E25)</f>
        <v>36116</v>
      </c>
      <c r="F19" s="85">
        <f>SUM(F20:F25)</f>
        <v>18614</v>
      </c>
      <c r="G19" s="85">
        <f>SUM(G20:G25)</f>
        <v>17502</v>
      </c>
      <c r="H19" s="90">
        <f>SUM(H20:H25)</f>
        <v>28618</v>
      </c>
      <c r="I19" s="90">
        <f>SUM(I20:I25)</f>
        <v>14936</v>
      </c>
      <c r="J19" s="90">
        <f t="shared" ref="J19" si="11">SUM(J20:J25)</f>
        <v>13682</v>
      </c>
      <c r="K19" s="90">
        <f>SUM(K20:K25)</f>
        <v>1711</v>
      </c>
      <c r="L19" s="90">
        <f t="shared" ref="L19:M19" si="12">SUM(L20:L25)</f>
        <v>732</v>
      </c>
      <c r="M19" s="90">
        <f t="shared" si="12"/>
        <v>979</v>
      </c>
      <c r="N19" s="90">
        <f>SUM(N20:N25)</f>
        <v>5787</v>
      </c>
      <c r="O19" s="90">
        <f t="shared" ref="O19:P19" si="13">SUM(O20:O25)</f>
        <v>2946</v>
      </c>
      <c r="P19" s="90">
        <f t="shared" si="13"/>
        <v>2841</v>
      </c>
      <c r="Q19" s="85">
        <f>Q20+Q25+Q32+'T-3.7(2)'!Q19</f>
        <v>0</v>
      </c>
      <c r="R19" s="85">
        <f>R20+R25+R32+'T-3.7(2)'!R19</f>
        <v>0</v>
      </c>
      <c r="S19" s="85">
        <f>S20+S25+S32+'T-3.7(2)'!S19</f>
        <v>0</v>
      </c>
      <c r="T19" s="41" t="s">
        <v>11</v>
      </c>
      <c r="V19" s="47"/>
      <c r="W19" s="47"/>
    </row>
    <row r="20" spans="1:23" s="57" customFormat="1" ht="18.95" customHeight="1">
      <c r="B20" s="58" t="s">
        <v>25</v>
      </c>
      <c r="D20" s="59"/>
      <c r="E20" s="86">
        <f>SUM(F20:G20)</f>
        <v>6106</v>
      </c>
      <c r="F20" s="86">
        <f>I20+L20+O20+R20</f>
        <v>3127</v>
      </c>
      <c r="G20" s="86">
        <f>J20+M20+P20+S20</f>
        <v>2979</v>
      </c>
      <c r="H20" s="86">
        <f>SUM(I20:J20)</f>
        <v>4793</v>
      </c>
      <c r="I20" s="87">
        <f>1297+1214</f>
        <v>2511</v>
      </c>
      <c r="J20" s="87">
        <f>1113+1169</f>
        <v>2282</v>
      </c>
      <c r="K20" s="87">
        <f>SUM(L20:M20)</f>
        <v>298</v>
      </c>
      <c r="L20" s="87">
        <f>119</f>
        <v>119</v>
      </c>
      <c r="M20" s="87">
        <f>179</f>
        <v>179</v>
      </c>
      <c r="N20" s="86">
        <f>SUM(O20:P20)</f>
        <v>1015</v>
      </c>
      <c r="O20" s="86">
        <f>18+12+9+120+9+16+8+13+13+2+4+3+235+8+10+7+3+6+1</f>
        <v>497</v>
      </c>
      <c r="P20" s="65">
        <f>20+12+5+120+11+10+9+17+14+5+3+7+246+6+11+13+0+7+2</f>
        <v>518</v>
      </c>
      <c r="Q20" s="85">
        <f>Q21+Q26+Q33+'T-3.7(2)'!Q20</f>
        <v>0</v>
      </c>
      <c r="R20" s="85">
        <f>R21+R26+R33+'T-3.7(2)'!R20</f>
        <v>0</v>
      </c>
      <c r="S20" s="85">
        <f>S21+S26+S33+'T-3.7(2)'!S20</f>
        <v>0</v>
      </c>
      <c r="U20" s="40" t="s">
        <v>27</v>
      </c>
    </row>
    <row r="21" spans="1:23" s="57" customFormat="1" ht="18.95" customHeight="1">
      <c r="B21" s="58" t="s">
        <v>68</v>
      </c>
      <c r="D21" s="59"/>
      <c r="E21" s="86">
        <f t="shared" ref="E21:E25" si="14">SUM(F21:G21)</f>
        <v>5834</v>
      </c>
      <c r="F21" s="86">
        <f t="shared" ref="F21:F25" si="15">I21+L21+O21+R21</f>
        <v>2988</v>
      </c>
      <c r="G21" s="86">
        <f t="shared" ref="G21:G25" si="16">J21+M21+P21+S21</f>
        <v>2846</v>
      </c>
      <c r="H21" s="86">
        <f t="shared" ref="H21:H25" si="17">SUM(I21:J21)</f>
        <v>4615</v>
      </c>
      <c r="I21" s="87">
        <f>1175+1220</f>
        <v>2395</v>
      </c>
      <c r="J21" s="87">
        <f>1109+1111</f>
        <v>2220</v>
      </c>
      <c r="K21" s="87">
        <f t="shared" ref="K21:K25" si="18">SUM(L21:M21)</f>
        <v>288</v>
      </c>
      <c r="L21" s="87">
        <f>123</f>
        <v>123</v>
      </c>
      <c r="M21" s="87">
        <f>165</f>
        <v>165</v>
      </c>
      <c r="N21" s="86">
        <f t="shared" ref="N21:N25" si="19">SUM(O21:P21)</f>
        <v>931</v>
      </c>
      <c r="O21" s="86">
        <f>18+13+9+113+11+10+12+15+21+4+7+2+215+2+7+4+1+5+1</f>
        <v>470</v>
      </c>
      <c r="P21" s="65">
        <f>15+15+9+110+7+9+9+14+13+7+4+4+206+8+7+9+3+9+3</f>
        <v>461</v>
      </c>
      <c r="Q21" s="85">
        <f>Q22+Q27+Q34+'T-3.7(2)'!Q21</f>
        <v>0</v>
      </c>
      <c r="R21" s="85">
        <f>R22+R27+R34+'T-3.7(2)'!R21</f>
        <v>0</v>
      </c>
      <c r="S21" s="85">
        <f>S22+S27+S34+'T-3.7(2)'!S21</f>
        <v>0</v>
      </c>
      <c r="U21" s="40" t="s">
        <v>69</v>
      </c>
    </row>
    <row r="22" spans="1:23" s="57" customFormat="1" ht="18.95" customHeight="1">
      <c r="A22" s="56"/>
      <c r="B22" s="58" t="s">
        <v>38</v>
      </c>
      <c r="C22" s="61"/>
      <c r="D22" s="62"/>
      <c r="E22" s="86">
        <f t="shared" si="14"/>
        <v>6029</v>
      </c>
      <c r="F22" s="86">
        <f t="shared" si="15"/>
        <v>3085</v>
      </c>
      <c r="G22" s="86">
        <f t="shared" si="16"/>
        <v>2944</v>
      </c>
      <c r="H22" s="86">
        <f t="shared" si="17"/>
        <v>4811</v>
      </c>
      <c r="I22" s="87">
        <f>1230+1258</f>
        <v>2488</v>
      </c>
      <c r="J22" s="87">
        <f>1130+1193</f>
        <v>2323</v>
      </c>
      <c r="K22" s="87">
        <f t="shared" si="18"/>
        <v>295</v>
      </c>
      <c r="L22" s="87">
        <f>127</f>
        <v>127</v>
      </c>
      <c r="M22" s="87">
        <f>168</f>
        <v>168</v>
      </c>
      <c r="N22" s="86">
        <f t="shared" si="19"/>
        <v>923</v>
      </c>
      <c r="O22" s="86">
        <f>17+12+8+122+9+18+6+16+17+2+2+3+216+6+6+5+1+3+1</f>
        <v>470</v>
      </c>
      <c r="P22" s="65">
        <f>11+10+9+106+11+8+4+19+10+4+2+5+228+4+9+5+0+4+4</f>
        <v>453</v>
      </c>
      <c r="Q22" s="85">
        <f>Q23+Q28+Q35+'T-3.7(2)'!Q22</f>
        <v>0</v>
      </c>
      <c r="R22" s="85">
        <f>R23+R28+R35+'T-3.7(2)'!R22</f>
        <v>0</v>
      </c>
      <c r="S22" s="85">
        <f>S23+S28+S35+'T-3.7(2)'!S22</f>
        <v>0</v>
      </c>
      <c r="T22" s="61"/>
      <c r="U22" s="40" t="s">
        <v>50</v>
      </c>
    </row>
    <row r="23" spans="1:23" s="57" customFormat="1" ht="18.95" customHeight="1">
      <c r="A23" s="61"/>
      <c r="B23" s="58" t="s">
        <v>39</v>
      </c>
      <c r="C23" s="61"/>
      <c r="D23" s="62"/>
      <c r="E23" s="86">
        <f t="shared" si="14"/>
        <v>5993</v>
      </c>
      <c r="F23" s="86">
        <f t="shared" si="15"/>
        <v>3149</v>
      </c>
      <c r="G23" s="86">
        <f t="shared" si="16"/>
        <v>2844</v>
      </c>
      <c r="H23" s="86">
        <f t="shared" si="17"/>
        <v>4818</v>
      </c>
      <c r="I23" s="87">
        <f>1256+1304</f>
        <v>2560</v>
      </c>
      <c r="J23" s="87">
        <f>1086+1172</f>
        <v>2258</v>
      </c>
      <c r="K23" s="87">
        <f t="shared" si="18"/>
        <v>268</v>
      </c>
      <c r="L23" s="87">
        <f>117</f>
        <v>117</v>
      </c>
      <c r="M23" s="87">
        <f>151</f>
        <v>151</v>
      </c>
      <c r="N23" s="86">
        <f t="shared" si="19"/>
        <v>907</v>
      </c>
      <c r="O23" s="86">
        <f>17+9+8+127+8+7+3+13+12+3+3+5+226+6+3+10+2+6+4</f>
        <v>472</v>
      </c>
      <c r="P23" s="65">
        <f>25+9+3+110+7+6+5+5+12+2+2+2+208+8+20+4+0+4+3</f>
        <v>435</v>
      </c>
      <c r="Q23" s="85">
        <f>Q24+Q29+Q36+'T-3.7(2)'!Q23</f>
        <v>0</v>
      </c>
      <c r="R23" s="85">
        <f>R24+R29+R36+'T-3.7(2)'!R23</f>
        <v>0</v>
      </c>
      <c r="S23" s="85">
        <f>S24+S29+S36+'T-3.7(2)'!S23</f>
        <v>0</v>
      </c>
      <c r="T23" s="61"/>
      <c r="U23" s="40" t="s">
        <v>51</v>
      </c>
    </row>
    <row r="24" spans="1:23" s="57" customFormat="1" ht="18.95" customHeight="1">
      <c r="A24" s="61"/>
      <c r="B24" s="58" t="s">
        <v>40</v>
      </c>
      <c r="C24" s="61"/>
      <c r="D24" s="62"/>
      <c r="E24" s="86">
        <f t="shared" si="14"/>
        <v>6058</v>
      </c>
      <c r="F24" s="86">
        <f t="shared" si="15"/>
        <v>3109</v>
      </c>
      <c r="G24" s="86">
        <f t="shared" si="16"/>
        <v>2949</v>
      </c>
      <c r="H24" s="86">
        <f t="shared" si="17"/>
        <v>4780</v>
      </c>
      <c r="I24" s="87">
        <f>1211+1243</f>
        <v>2454</v>
      </c>
      <c r="J24" s="87">
        <f>1160+1166</f>
        <v>2326</v>
      </c>
      <c r="K24" s="87">
        <f t="shared" si="18"/>
        <v>265</v>
      </c>
      <c r="L24" s="87">
        <f>127</f>
        <v>127</v>
      </c>
      <c r="M24" s="87">
        <f>138</f>
        <v>138</v>
      </c>
      <c r="N24" s="86">
        <f t="shared" si="19"/>
        <v>1013</v>
      </c>
      <c r="O24" s="86">
        <f>30+12+5+125+5+9+4+14+11+4+5+6+266+0+12+6+0+8+6</f>
        <v>528</v>
      </c>
      <c r="P24" s="65">
        <f>18+14+5+124+9+12+4+12+16+1+4+7+233+0+7+6+0+10+3</f>
        <v>485</v>
      </c>
      <c r="Q24" s="85">
        <f>Q25+Q30+Q37+'T-3.7(2)'!Q24</f>
        <v>0</v>
      </c>
      <c r="R24" s="85">
        <f>R25+R30+R37+'T-3.7(2)'!R24</f>
        <v>0</v>
      </c>
      <c r="S24" s="85">
        <f>S25+S30+S37+'T-3.7(2)'!S24</f>
        <v>0</v>
      </c>
      <c r="T24" s="61"/>
      <c r="U24" s="40" t="s">
        <v>52</v>
      </c>
    </row>
    <row r="25" spans="1:23" s="57" customFormat="1" ht="18.95" customHeight="1">
      <c r="A25" s="61"/>
      <c r="B25" s="58" t="s">
        <v>41</v>
      </c>
      <c r="C25" s="61"/>
      <c r="D25" s="62"/>
      <c r="E25" s="86">
        <f t="shared" si="14"/>
        <v>6096</v>
      </c>
      <c r="F25" s="86">
        <f t="shared" si="15"/>
        <v>3156</v>
      </c>
      <c r="G25" s="86">
        <f t="shared" si="16"/>
        <v>2940</v>
      </c>
      <c r="H25" s="86">
        <f t="shared" si="17"/>
        <v>4801</v>
      </c>
      <c r="I25" s="87">
        <f>1228+1300</f>
        <v>2528</v>
      </c>
      <c r="J25" s="87">
        <f>1154+1119</f>
        <v>2273</v>
      </c>
      <c r="K25" s="87">
        <f t="shared" si="18"/>
        <v>297</v>
      </c>
      <c r="L25" s="87">
        <f>119</f>
        <v>119</v>
      </c>
      <c r="M25" s="87">
        <f>178</f>
        <v>178</v>
      </c>
      <c r="N25" s="86">
        <f t="shared" si="19"/>
        <v>998</v>
      </c>
      <c r="O25" s="86">
        <f>36+15+5+105+10+6+8+12+18+3+5+2+254+0+3+9+0+17+1</f>
        <v>509</v>
      </c>
      <c r="P25" s="65">
        <f>19+10+6+116+9+7+7+19+10+1+0+5+254+0+12+3+0+9+2</f>
        <v>489</v>
      </c>
      <c r="Q25" s="85">
        <f>Q26+Q31+Q38+'T-3.7(2)'!Q25</f>
        <v>0</v>
      </c>
      <c r="R25" s="85">
        <f>R26+R31+R38+'T-3.7(2)'!R25</f>
        <v>0</v>
      </c>
      <c r="S25" s="85">
        <f>S26+S31+S38+'T-3.7(2)'!S25</f>
        <v>0</v>
      </c>
      <c r="T25" s="61"/>
      <c r="U25" s="40" t="s">
        <v>53</v>
      </c>
    </row>
    <row r="26" spans="1:23" s="56" customFormat="1" ht="18.95" customHeight="1">
      <c r="A26" s="56" t="s">
        <v>47</v>
      </c>
      <c r="C26" s="29"/>
      <c r="D26" s="63"/>
      <c r="E26" s="85">
        <f>SUM(E27:E29)</f>
        <v>17988</v>
      </c>
      <c r="F26" s="85">
        <f>SUM(F27:F29)</f>
        <v>9309</v>
      </c>
      <c r="G26" s="85">
        <f>SUM(G27:G29)</f>
        <v>8679</v>
      </c>
      <c r="H26" s="90">
        <f>SUM(H27:H29)</f>
        <v>15334</v>
      </c>
      <c r="I26" s="90">
        <f t="shared" ref="I26:J26" si="20">SUM(I27:I29)</f>
        <v>7834</v>
      </c>
      <c r="J26" s="90">
        <f t="shared" si="20"/>
        <v>7500</v>
      </c>
      <c r="K26" s="90">
        <f>SUM(K27:K29)</f>
        <v>135</v>
      </c>
      <c r="L26" s="90">
        <f t="shared" ref="L26:M26" si="21">SUM(L27:L29)</f>
        <v>29</v>
      </c>
      <c r="M26" s="90">
        <f t="shared" si="21"/>
        <v>106</v>
      </c>
      <c r="N26" s="90">
        <f>SUM(N27:N29)</f>
        <v>2519</v>
      </c>
      <c r="O26" s="90">
        <f t="shared" ref="O26:P26" si="22">SUM(O27:O29)</f>
        <v>1446</v>
      </c>
      <c r="P26" s="90">
        <f t="shared" si="22"/>
        <v>1073</v>
      </c>
      <c r="Q26" s="85">
        <f>Q27+Q32+Q39+'T-3.7(2)'!Q26</f>
        <v>0</v>
      </c>
      <c r="R26" s="85">
        <f>R27+R32+R39+'T-3.7(2)'!R26</f>
        <v>0</v>
      </c>
      <c r="S26" s="85">
        <f>S27+S32+S39+'T-3.7(2)'!S26</f>
        <v>0</v>
      </c>
      <c r="T26" s="41" t="s">
        <v>12</v>
      </c>
      <c r="U26" s="47"/>
      <c r="V26" s="47"/>
    </row>
    <row r="27" spans="1:23" s="57" customFormat="1" ht="18.95" customHeight="1">
      <c r="A27" s="61"/>
      <c r="B27" s="58" t="s">
        <v>35</v>
      </c>
      <c r="C27" s="61"/>
      <c r="D27" s="62"/>
      <c r="E27" s="86">
        <f>SUM(F27:G27)</f>
        <v>6167</v>
      </c>
      <c r="F27" s="86">
        <f>I27+L27+O27+R27</f>
        <v>3240</v>
      </c>
      <c r="G27" s="86">
        <f>J27+M27+P27+S27</f>
        <v>2927</v>
      </c>
      <c r="H27" s="86">
        <f>SUM(I27:J27)</f>
        <v>5164</v>
      </c>
      <c r="I27" s="87">
        <f>445+401+1801</f>
        <v>2647</v>
      </c>
      <c r="J27" s="87">
        <f>327+284+1906</f>
        <v>2517</v>
      </c>
      <c r="K27" s="87">
        <f>SUM(L27:M27)</f>
        <v>50</v>
      </c>
      <c r="L27" s="87">
        <f>13</f>
        <v>13</v>
      </c>
      <c r="M27" s="87">
        <f>37</f>
        <v>37</v>
      </c>
      <c r="N27" s="86">
        <f>SUM(O27:P27)</f>
        <v>953</v>
      </c>
      <c r="O27" s="86">
        <f>50+18+208+23+15+7+259</f>
        <v>580</v>
      </c>
      <c r="P27" s="65">
        <f>26+14+121+27+9+3+173</f>
        <v>373</v>
      </c>
      <c r="Q27" s="85">
        <f>Q28+Q33+Q40+'T-3.7(2)'!Q27</f>
        <v>0</v>
      </c>
      <c r="R27" s="85">
        <f>R28+R33+R40+'T-3.7(2)'!R27</f>
        <v>0</v>
      </c>
      <c r="S27" s="85">
        <f>S28+S33+S40+'T-3.7(2)'!S27</f>
        <v>0</v>
      </c>
      <c r="T27" s="61"/>
      <c r="U27" s="40" t="s">
        <v>45</v>
      </c>
    </row>
    <row r="28" spans="1:23" s="57" customFormat="1" ht="18.95" customHeight="1">
      <c r="A28" s="61"/>
      <c r="B28" s="58" t="s">
        <v>36</v>
      </c>
      <c r="C28" s="61"/>
      <c r="D28" s="62"/>
      <c r="E28" s="86">
        <f t="shared" ref="E28:E29" si="23">SUM(F28:G28)</f>
        <v>6144</v>
      </c>
      <c r="F28" s="86">
        <f t="shared" ref="F28:F29" si="24">I28+L28+O28+R28</f>
        <v>3148</v>
      </c>
      <c r="G28" s="86">
        <f t="shared" ref="G28:G29" si="25">J28+M28+P28+S28</f>
        <v>2996</v>
      </c>
      <c r="H28" s="86">
        <f t="shared" ref="H28:H29" si="26">SUM(I28:J28)</f>
        <v>5220</v>
      </c>
      <c r="I28" s="87">
        <f>408+425+1829</f>
        <v>2662</v>
      </c>
      <c r="J28" s="87">
        <f>332+300+1926</f>
        <v>2558</v>
      </c>
      <c r="K28" s="87">
        <f t="shared" ref="K28:K29" si="27">SUM(L28:M28)</f>
        <v>44</v>
      </c>
      <c r="L28" s="87">
        <f>10</f>
        <v>10</v>
      </c>
      <c r="M28" s="87">
        <f>34</f>
        <v>34</v>
      </c>
      <c r="N28" s="86">
        <f t="shared" ref="N28:N29" si="28">SUM(O28:P28)</f>
        <v>880</v>
      </c>
      <c r="O28" s="86">
        <f>32+11+177+18+13+9+216</f>
        <v>476</v>
      </c>
      <c r="P28" s="65">
        <f>41+12+121+21+3+5+201</f>
        <v>404</v>
      </c>
      <c r="Q28" s="85">
        <f>Q29+Q34+Q41+'T-3.7(2)'!Q28</f>
        <v>0</v>
      </c>
      <c r="R28" s="85">
        <f>R29+R34+R41+'T-3.7(2)'!R28</f>
        <v>0</v>
      </c>
      <c r="S28" s="85">
        <f>S29+S34+S41+'T-3.7(2)'!S28</f>
        <v>0</v>
      </c>
      <c r="T28" s="61"/>
      <c r="U28" s="40" t="s">
        <v>54</v>
      </c>
    </row>
    <row r="29" spans="1:23" s="57" customFormat="1" ht="18.95" customHeight="1">
      <c r="A29" s="61"/>
      <c r="B29" s="58" t="s">
        <v>37</v>
      </c>
      <c r="C29" s="61"/>
      <c r="D29" s="62"/>
      <c r="E29" s="86">
        <f t="shared" si="23"/>
        <v>5677</v>
      </c>
      <c r="F29" s="86">
        <f t="shared" si="24"/>
        <v>2921</v>
      </c>
      <c r="G29" s="86">
        <f t="shared" si="25"/>
        <v>2756</v>
      </c>
      <c r="H29" s="86">
        <f t="shared" si="26"/>
        <v>4950</v>
      </c>
      <c r="I29" s="87">
        <f>390+378+1757</f>
        <v>2525</v>
      </c>
      <c r="J29" s="87">
        <f>241+306+1878</f>
        <v>2425</v>
      </c>
      <c r="K29" s="87">
        <f t="shared" si="27"/>
        <v>41</v>
      </c>
      <c r="L29" s="87">
        <f>6</f>
        <v>6</v>
      </c>
      <c r="M29" s="87">
        <f>35</f>
        <v>35</v>
      </c>
      <c r="N29" s="86">
        <f t="shared" si="28"/>
        <v>686</v>
      </c>
      <c r="O29" s="86">
        <f>21+8+121+24+14+5+197</f>
        <v>390</v>
      </c>
      <c r="P29" s="65">
        <f>28+10+83+17+12+8+138</f>
        <v>296</v>
      </c>
      <c r="Q29" s="85">
        <f>Q30+Q35+Q42+'T-3.7(2)'!Q29</f>
        <v>0</v>
      </c>
      <c r="R29" s="85">
        <f>R30+R35+R42+'T-3.7(2)'!R29</f>
        <v>0</v>
      </c>
      <c r="S29" s="85">
        <f>S30+S35+S42+'T-3.7(2)'!S29</f>
        <v>0</v>
      </c>
      <c r="T29" s="61"/>
      <c r="U29" s="40" t="s">
        <v>55</v>
      </c>
    </row>
    <row r="30" spans="1:23" s="4" customFormat="1" ht="14.25" customHeight="1">
      <c r="E30" s="3"/>
      <c r="F30" s="3"/>
      <c r="G30" s="3"/>
      <c r="L30" s="2"/>
      <c r="N30" s="3"/>
      <c r="O30" s="3"/>
    </row>
    <row r="31" spans="1:23" s="4" customFormat="1" ht="18.75" customHeight="1">
      <c r="L31" s="2"/>
    </row>
    <row r="32" spans="1:23" ht="18.75" customHeight="1">
      <c r="E32" s="4"/>
      <c r="F32" s="4"/>
      <c r="G32" s="4"/>
      <c r="H32" s="4"/>
      <c r="I32" s="4"/>
      <c r="J32" s="4"/>
      <c r="K32" s="4"/>
      <c r="L32" s="4"/>
      <c r="M32" s="4"/>
      <c r="N32" s="3"/>
      <c r="O32" s="3"/>
    </row>
    <row r="33" spans="5:18" ht="16.5" customHeight="1"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6"/>
      <c r="Q33" s="6"/>
      <c r="R33" s="6"/>
    </row>
  </sheetData>
  <mergeCells count="22">
    <mergeCell ref="A13:D13"/>
    <mergeCell ref="H7:J7"/>
    <mergeCell ref="K7:M7"/>
    <mergeCell ref="N7:P7"/>
    <mergeCell ref="A4:D11"/>
    <mergeCell ref="H4:S4"/>
    <mergeCell ref="T4:U11"/>
    <mergeCell ref="K5:M5"/>
    <mergeCell ref="E6:G6"/>
    <mergeCell ref="H6:J6"/>
    <mergeCell ref="K6:M6"/>
    <mergeCell ref="N6:P6"/>
    <mergeCell ref="Q6:S6"/>
    <mergeCell ref="E7:G7"/>
    <mergeCell ref="Q7:S7"/>
    <mergeCell ref="H8:J8"/>
    <mergeCell ref="K8:M8"/>
    <mergeCell ref="N8:P8"/>
    <mergeCell ref="Q8:S8"/>
    <mergeCell ref="H9:J9"/>
    <mergeCell ref="K9:M9"/>
    <mergeCell ref="N9:P9"/>
  </mergeCells>
  <pageMargins left="0.55118110236220474" right="0.35433070866141736" top="0.74" bottom="0.33" header="0.39" footer="0.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W42"/>
  <sheetViews>
    <sheetView tabSelected="1" view="pageLayout" topLeftCell="A4" zoomScaleNormal="100" workbookViewId="0">
      <selection activeCell="K15" sqref="K15"/>
    </sheetView>
  </sheetViews>
  <sheetFormatPr defaultColWidth="9.140625" defaultRowHeight="18.75"/>
  <cols>
    <col min="1" max="1" width="1.7109375" style="5" customWidth="1"/>
    <col min="2" max="2" width="5.42578125" style="5" customWidth="1"/>
    <col min="3" max="3" width="3.28515625" style="5" customWidth="1"/>
    <col min="4" max="4" width="3.42578125" style="5" customWidth="1"/>
    <col min="5" max="19" width="7.5703125" style="5" customWidth="1"/>
    <col min="20" max="20" width="1.140625" style="5" customWidth="1"/>
    <col min="21" max="21" width="13" style="5" customWidth="1"/>
    <col min="22" max="22" width="1.7109375" style="5" customWidth="1"/>
    <col min="23" max="23" width="7" style="5" customWidth="1"/>
    <col min="24" max="16384" width="9.140625" style="5"/>
  </cols>
  <sheetData>
    <row r="1" spans="1:22" s="14" customFormat="1" ht="18.600000000000001" customHeight="1">
      <c r="B1" s="14" t="s">
        <v>23</v>
      </c>
      <c r="C1" s="23">
        <v>3.7</v>
      </c>
      <c r="D1" s="14" t="s">
        <v>76</v>
      </c>
    </row>
    <row r="2" spans="1:22" s="1" customFormat="1" ht="18.600000000000001" customHeight="1">
      <c r="B2" s="14" t="s">
        <v>61</v>
      </c>
      <c r="C2" s="23">
        <v>3.7</v>
      </c>
      <c r="D2" s="14" t="s">
        <v>77</v>
      </c>
      <c r="E2" s="14"/>
    </row>
    <row r="3" spans="1:22" ht="6.75" customHeight="1"/>
    <row r="4" spans="1:22" s="3" customFormat="1" ht="18.600000000000001" customHeight="1">
      <c r="A4" s="96" t="s">
        <v>20</v>
      </c>
      <c r="B4" s="96"/>
      <c r="C4" s="96"/>
      <c r="D4" s="113"/>
      <c r="E4" s="35"/>
      <c r="F4" s="13"/>
      <c r="G4" s="71"/>
      <c r="H4" s="117" t="s">
        <v>22</v>
      </c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9"/>
      <c r="T4" s="95" t="s">
        <v>21</v>
      </c>
      <c r="U4" s="96"/>
      <c r="V4" s="13"/>
    </row>
    <row r="5" spans="1:22" s="3" customFormat="1" ht="18.600000000000001" customHeight="1">
      <c r="A5" s="114"/>
      <c r="B5" s="114"/>
      <c r="C5" s="114"/>
      <c r="D5" s="115"/>
      <c r="E5" s="7"/>
      <c r="G5" s="10"/>
      <c r="H5" s="21"/>
      <c r="I5" s="13"/>
      <c r="J5" s="22"/>
      <c r="K5" s="101" t="s">
        <v>2</v>
      </c>
      <c r="L5" s="102"/>
      <c r="M5" s="103"/>
      <c r="N5" s="21"/>
      <c r="O5" s="13"/>
      <c r="P5" s="22"/>
      <c r="T5" s="97"/>
      <c r="U5" s="98"/>
    </row>
    <row r="6" spans="1:22" s="3" customFormat="1" ht="18.600000000000001" customHeight="1">
      <c r="A6" s="114"/>
      <c r="B6" s="114"/>
      <c r="C6" s="114"/>
      <c r="D6" s="115"/>
      <c r="E6" s="104" t="s">
        <v>7</v>
      </c>
      <c r="F6" s="105"/>
      <c r="G6" s="106"/>
      <c r="H6" s="104" t="s">
        <v>0</v>
      </c>
      <c r="I6" s="105"/>
      <c r="J6" s="106"/>
      <c r="K6" s="104" t="s">
        <v>3</v>
      </c>
      <c r="L6" s="105"/>
      <c r="M6" s="106"/>
      <c r="N6" s="104" t="s">
        <v>34</v>
      </c>
      <c r="O6" s="105"/>
      <c r="P6" s="106"/>
      <c r="Q6" s="105"/>
      <c r="R6" s="105"/>
      <c r="S6" s="105"/>
      <c r="T6" s="97"/>
      <c r="U6" s="98"/>
    </row>
    <row r="7" spans="1:22" s="3" customFormat="1" ht="18.600000000000001" customHeight="1">
      <c r="A7" s="114"/>
      <c r="B7" s="114"/>
      <c r="C7" s="114"/>
      <c r="D7" s="115"/>
      <c r="E7" s="104" t="s">
        <v>8</v>
      </c>
      <c r="F7" s="105"/>
      <c r="G7" s="106"/>
      <c r="H7" s="104" t="s">
        <v>1</v>
      </c>
      <c r="I7" s="105"/>
      <c r="J7" s="106"/>
      <c r="K7" s="104" t="s">
        <v>4</v>
      </c>
      <c r="L7" s="105"/>
      <c r="M7" s="106"/>
      <c r="N7" s="104" t="s">
        <v>49</v>
      </c>
      <c r="O7" s="105"/>
      <c r="P7" s="106"/>
      <c r="Q7" s="104" t="s">
        <v>72</v>
      </c>
      <c r="R7" s="105"/>
      <c r="S7" s="106"/>
      <c r="T7" s="97"/>
      <c r="U7" s="98"/>
    </row>
    <row r="8" spans="1:22" s="3" customFormat="1" ht="18.600000000000001" customHeight="1">
      <c r="A8" s="114"/>
      <c r="B8" s="114"/>
      <c r="C8" s="114"/>
      <c r="D8" s="115"/>
      <c r="E8" s="7"/>
      <c r="G8" s="10"/>
      <c r="H8" s="104" t="s">
        <v>5</v>
      </c>
      <c r="I8" s="105"/>
      <c r="J8" s="106"/>
      <c r="K8" s="104" t="s">
        <v>9</v>
      </c>
      <c r="L8" s="105"/>
      <c r="M8" s="106"/>
      <c r="N8" s="104" t="s">
        <v>32</v>
      </c>
      <c r="O8" s="105"/>
      <c r="P8" s="106"/>
      <c r="Q8" s="104" t="s">
        <v>73</v>
      </c>
      <c r="R8" s="105"/>
      <c r="S8" s="106"/>
      <c r="T8" s="97"/>
      <c r="U8" s="98"/>
    </row>
    <row r="9" spans="1:22" s="3" customFormat="1" ht="18.600000000000001" customHeight="1">
      <c r="A9" s="114"/>
      <c r="B9" s="114"/>
      <c r="C9" s="114"/>
      <c r="D9" s="115"/>
      <c r="E9" s="11"/>
      <c r="F9" s="8"/>
      <c r="G9" s="12"/>
      <c r="H9" s="108" t="s">
        <v>6</v>
      </c>
      <c r="I9" s="109"/>
      <c r="J9" s="110"/>
      <c r="K9" s="108" t="s">
        <v>6</v>
      </c>
      <c r="L9" s="109"/>
      <c r="M9" s="110"/>
      <c r="N9" s="104" t="s">
        <v>33</v>
      </c>
      <c r="O9" s="105"/>
      <c r="P9" s="106"/>
      <c r="Q9" s="8"/>
      <c r="R9" s="8"/>
      <c r="S9" s="8"/>
      <c r="T9" s="97"/>
      <c r="U9" s="98"/>
    </row>
    <row r="10" spans="1:22" s="3" customFormat="1" ht="18.600000000000001" customHeight="1">
      <c r="A10" s="114"/>
      <c r="B10" s="114"/>
      <c r="C10" s="114"/>
      <c r="D10" s="115"/>
      <c r="E10" s="20" t="s">
        <v>7</v>
      </c>
      <c r="F10" s="15" t="s">
        <v>16</v>
      </c>
      <c r="G10" s="16" t="s">
        <v>17</v>
      </c>
      <c r="H10" s="48" t="s">
        <v>7</v>
      </c>
      <c r="I10" s="48" t="s">
        <v>16</v>
      </c>
      <c r="J10" s="49" t="s">
        <v>17</v>
      </c>
      <c r="K10" s="48" t="s">
        <v>7</v>
      </c>
      <c r="L10" s="48" t="s">
        <v>16</v>
      </c>
      <c r="M10" s="49" t="s">
        <v>17</v>
      </c>
      <c r="N10" s="20" t="s">
        <v>7</v>
      </c>
      <c r="O10" s="20" t="s">
        <v>16</v>
      </c>
      <c r="P10" s="20" t="s">
        <v>17</v>
      </c>
      <c r="Q10" s="20" t="s">
        <v>7</v>
      </c>
      <c r="R10" s="20" t="s">
        <v>16</v>
      </c>
      <c r="S10" s="17" t="s">
        <v>17</v>
      </c>
      <c r="T10" s="97"/>
      <c r="U10" s="98"/>
    </row>
    <row r="11" spans="1:22" s="3" customFormat="1" ht="18.600000000000001" customHeight="1">
      <c r="A11" s="100"/>
      <c r="B11" s="100"/>
      <c r="C11" s="100"/>
      <c r="D11" s="116"/>
      <c r="E11" s="18" t="s">
        <v>8</v>
      </c>
      <c r="F11" s="74" t="s">
        <v>18</v>
      </c>
      <c r="G11" s="74" t="s">
        <v>19</v>
      </c>
      <c r="H11" s="50" t="s">
        <v>8</v>
      </c>
      <c r="I11" s="50" t="s">
        <v>18</v>
      </c>
      <c r="J11" s="51" t="s">
        <v>19</v>
      </c>
      <c r="K11" s="50" t="s">
        <v>8</v>
      </c>
      <c r="L11" s="50" t="s">
        <v>18</v>
      </c>
      <c r="M11" s="51" t="s">
        <v>19</v>
      </c>
      <c r="N11" s="18" t="s">
        <v>8</v>
      </c>
      <c r="O11" s="18" t="s">
        <v>18</v>
      </c>
      <c r="P11" s="74" t="s">
        <v>19</v>
      </c>
      <c r="Q11" s="18" t="s">
        <v>8</v>
      </c>
      <c r="R11" s="18" t="s">
        <v>18</v>
      </c>
      <c r="S11" s="73" t="s">
        <v>19</v>
      </c>
      <c r="T11" s="99"/>
      <c r="U11" s="100"/>
      <c r="V11" s="8"/>
    </row>
    <row r="12" spans="1:22" s="3" customFormat="1" ht="6.75" customHeight="1">
      <c r="A12" s="69"/>
      <c r="B12" s="69"/>
      <c r="C12" s="69"/>
      <c r="D12" s="70"/>
      <c r="E12" s="19"/>
      <c r="F12" s="16"/>
      <c r="G12" s="16"/>
      <c r="H12" s="52"/>
      <c r="I12" s="52"/>
      <c r="J12" s="49"/>
      <c r="K12" s="52"/>
      <c r="L12" s="52"/>
      <c r="M12" s="49"/>
      <c r="N12" s="19"/>
      <c r="O12" s="19"/>
      <c r="P12" s="16"/>
      <c r="Q12" s="19"/>
      <c r="R12" s="19"/>
      <c r="S12" s="17"/>
      <c r="T12" s="67"/>
    </row>
    <row r="13" spans="1:22" s="56" customFormat="1" ht="24.6" customHeight="1">
      <c r="A13" s="56" t="s">
        <v>48</v>
      </c>
      <c r="C13" s="29"/>
      <c r="D13" s="63"/>
      <c r="E13" s="90">
        <v>9451</v>
      </c>
      <c r="F13" s="90">
        <v>4015</v>
      </c>
      <c r="G13" s="90">
        <v>5436</v>
      </c>
      <c r="H13" s="66">
        <f>SUM(H14:H16)</f>
        <v>8688</v>
      </c>
      <c r="I13" s="66">
        <f t="shared" ref="I13:J13" si="0">SUM(I14:I16)</f>
        <v>3675</v>
      </c>
      <c r="J13" s="66">
        <f t="shared" si="0"/>
        <v>5013</v>
      </c>
      <c r="K13" s="92" t="s">
        <v>82</v>
      </c>
      <c r="L13" s="92" t="s">
        <v>82</v>
      </c>
      <c r="M13" s="92" t="s">
        <v>82</v>
      </c>
      <c r="N13" s="90">
        <f>SUM(N14:N16)</f>
        <v>763</v>
      </c>
      <c r="O13" s="90">
        <f t="shared" ref="O13:P13" si="1">SUM(O14:O16)</f>
        <v>340</v>
      </c>
      <c r="P13" s="90">
        <f t="shared" si="1"/>
        <v>423</v>
      </c>
      <c r="Q13" s="92" t="s">
        <v>82</v>
      </c>
      <c r="R13" s="92" t="s">
        <v>82</v>
      </c>
      <c r="S13" s="92" t="s">
        <v>82</v>
      </c>
      <c r="T13" s="41" t="s">
        <v>13</v>
      </c>
      <c r="U13" s="47"/>
      <c r="V13" s="47"/>
    </row>
    <row r="14" spans="1:22" s="57" customFormat="1" ht="24.6" customHeight="1">
      <c r="A14" s="61"/>
      <c r="B14" s="58" t="s">
        <v>42</v>
      </c>
      <c r="C14" s="61"/>
      <c r="D14" s="62"/>
      <c r="E14" s="86">
        <v>3176</v>
      </c>
      <c r="F14" s="86">
        <v>1357</v>
      </c>
      <c r="G14" s="86">
        <v>1819</v>
      </c>
      <c r="H14" s="66">
        <f>SUM(I14:J14)</f>
        <v>2898</v>
      </c>
      <c r="I14" s="66">
        <f>1241</f>
        <v>1241</v>
      </c>
      <c r="J14" s="66">
        <f>1657</f>
        <v>1657</v>
      </c>
      <c r="K14" s="92" t="s">
        <v>82</v>
      </c>
      <c r="L14" s="92" t="s">
        <v>82</v>
      </c>
      <c r="M14" s="92" t="s">
        <v>82</v>
      </c>
      <c r="N14" s="88">
        <f>SUM(O14:P14)</f>
        <v>278</v>
      </c>
      <c r="O14" s="91">
        <f>56+60</f>
        <v>116</v>
      </c>
      <c r="P14" s="91">
        <f>53+109</f>
        <v>162</v>
      </c>
      <c r="Q14" s="92" t="s">
        <v>82</v>
      </c>
      <c r="R14" s="92" t="s">
        <v>82</v>
      </c>
      <c r="S14" s="92" t="s">
        <v>82</v>
      </c>
      <c r="T14" s="61"/>
      <c r="U14" s="40" t="s">
        <v>46</v>
      </c>
    </row>
    <row r="15" spans="1:22" s="57" customFormat="1" ht="24.6" customHeight="1">
      <c r="A15" s="61"/>
      <c r="B15" s="58" t="s">
        <v>43</v>
      </c>
      <c r="C15" s="61"/>
      <c r="D15" s="62"/>
      <c r="E15" s="86">
        <v>3201</v>
      </c>
      <c r="F15" s="86">
        <v>1352</v>
      </c>
      <c r="G15" s="86">
        <v>1849</v>
      </c>
      <c r="H15" s="66">
        <f t="shared" ref="H15:H16" si="2">SUM(I15:J15)</f>
        <v>2958</v>
      </c>
      <c r="I15" s="66">
        <f>1229</f>
        <v>1229</v>
      </c>
      <c r="J15" s="66">
        <f>1729</f>
        <v>1729</v>
      </c>
      <c r="K15" s="92" t="s">
        <v>82</v>
      </c>
      <c r="L15" s="92" t="s">
        <v>82</v>
      </c>
      <c r="M15" s="92" t="s">
        <v>82</v>
      </c>
      <c r="N15" s="88">
        <f t="shared" ref="N15:N16" si="3">SUM(O15:P15)</f>
        <v>243</v>
      </c>
      <c r="O15" s="91">
        <f>52+71</f>
        <v>123</v>
      </c>
      <c r="P15" s="91">
        <f>29+91</f>
        <v>120</v>
      </c>
      <c r="Q15" s="92" t="s">
        <v>82</v>
      </c>
      <c r="R15" s="92" t="s">
        <v>82</v>
      </c>
      <c r="S15" s="92" t="s">
        <v>82</v>
      </c>
      <c r="T15" s="61"/>
      <c r="U15" s="40" t="s">
        <v>56</v>
      </c>
    </row>
    <row r="16" spans="1:22" s="57" customFormat="1" ht="24.6" customHeight="1">
      <c r="A16" s="61"/>
      <c r="B16" s="58" t="s">
        <v>44</v>
      </c>
      <c r="C16" s="61"/>
      <c r="D16" s="62"/>
      <c r="E16" s="86">
        <v>3074</v>
      </c>
      <c r="F16" s="86">
        <v>1306</v>
      </c>
      <c r="G16" s="86">
        <v>1768</v>
      </c>
      <c r="H16" s="66">
        <f t="shared" si="2"/>
        <v>2832</v>
      </c>
      <c r="I16" s="66">
        <f>1205</f>
        <v>1205</v>
      </c>
      <c r="J16" s="66">
        <f>1627</f>
        <v>1627</v>
      </c>
      <c r="K16" s="92" t="s">
        <v>82</v>
      </c>
      <c r="L16" s="92" t="s">
        <v>82</v>
      </c>
      <c r="M16" s="92" t="s">
        <v>82</v>
      </c>
      <c r="N16" s="88">
        <f t="shared" si="3"/>
        <v>242</v>
      </c>
      <c r="O16" s="91">
        <f>32+69</f>
        <v>101</v>
      </c>
      <c r="P16" s="91">
        <f>31+110</f>
        <v>141</v>
      </c>
      <c r="Q16" s="92" t="s">
        <v>82</v>
      </c>
      <c r="R16" s="92" t="s">
        <v>82</v>
      </c>
      <c r="S16" s="92" t="s">
        <v>82</v>
      </c>
      <c r="T16" s="61"/>
      <c r="U16" s="40" t="s">
        <v>57</v>
      </c>
    </row>
    <row r="17" spans="1:23" s="3" customFormat="1" ht="6.75" customHeight="1">
      <c r="A17" s="77"/>
      <c r="B17" s="77"/>
      <c r="C17" s="77"/>
      <c r="D17" s="78"/>
      <c r="E17" s="36"/>
      <c r="F17" s="36"/>
      <c r="G17" s="36"/>
      <c r="H17" s="53"/>
      <c r="I17" s="53"/>
      <c r="J17" s="53"/>
      <c r="K17" s="53"/>
      <c r="L17" s="53"/>
      <c r="M17" s="53"/>
      <c r="N17" s="36"/>
      <c r="O17" s="37"/>
      <c r="P17" s="36"/>
      <c r="Q17" s="36"/>
      <c r="R17" s="36"/>
      <c r="S17" s="36"/>
      <c r="T17" s="79"/>
      <c r="U17" s="31"/>
      <c r="V17" s="8"/>
    </row>
    <row r="18" spans="1:23" s="3" customFormat="1" ht="6.75" customHeight="1">
      <c r="A18" s="27"/>
      <c r="B18" s="24"/>
      <c r="C18" s="24"/>
      <c r="D18" s="2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2"/>
      <c r="R18" s="32"/>
      <c r="S18" s="32"/>
      <c r="T18" s="80"/>
      <c r="U18" s="24"/>
      <c r="V18" s="68"/>
      <c r="W18" s="68"/>
    </row>
    <row r="19" spans="1:23" ht="18.600000000000001" customHeight="1">
      <c r="B19" s="64" t="s">
        <v>64</v>
      </c>
      <c r="C19" s="75" t="s">
        <v>70</v>
      </c>
      <c r="D19" s="6"/>
      <c r="E19" s="6"/>
      <c r="F19" s="6"/>
      <c r="G19" s="6"/>
      <c r="H19" s="32"/>
      <c r="I19" s="32"/>
      <c r="J19" s="32"/>
      <c r="L19" s="65" t="s">
        <v>65</v>
      </c>
      <c r="M19" s="76" t="s">
        <v>66</v>
      </c>
      <c r="N19" s="6"/>
      <c r="O19" s="6"/>
      <c r="P19" s="6"/>
      <c r="Q19" s="32"/>
      <c r="R19" s="32"/>
      <c r="S19" s="32"/>
      <c r="T19" s="81"/>
      <c r="U19" s="24"/>
    </row>
    <row r="20" spans="1:23" ht="18.600000000000001" customHeight="1">
      <c r="A20" s="27"/>
      <c r="C20" s="75" t="s">
        <v>71</v>
      </c>
      <c r="D20" s="2"/>
      <c r="E20" s="2"/>
      <c r="F20" s="2"/>
      <c r="G20" s="2"/>
      <c r="H20" s="32"/>
      <c r="I20" s="32"/>
      <c r="J20" s="32"/>
      <c r="K20" s="38"/>
      <c r="M20" s="76" t="s">
        <v>67</v>
      </c>
      <c r="N20" s="2"/>
      <c r="O20" s="2"/>
      <c r="P20" s="2"/>
      <c r="Q20" s="32"/>
      <c r="R20" s="32"/>
      <c r="S20" s="32"/>
      <c r="T20" s="81"/>
      <c r="U20" s="24"/>
    </row>
    <row r="21" spans="1:23" ht="18.600000000000001" customHeight="1">
      <c r="A21" s="24"/>
      <c r="B21" s="24"/>
      <c r="C21" s="30" t="s">
        <v>79</v>
      </c>
      <c r="D21" s="2"/>
      <c r="E21" s="2"/>
      <c r="F21" s="2"/>
      <c r="G21" s="2"/>
      <c r="H21" s="32"/>
      <c r="I21" s="32"/>
      <c r="J21" s="32"/>
      <c r="K21" s="38"/>
      <c r="L21" s="32"/>
      <c r="M21" s="30" t="s">
        <v>81</v>
      </c>
      <c r="N21" s="2"/>
      <c r="O21" s="2"/>
      <c r="P21" s="2"/>
      <c r="Q21" s="32"/>
      <c r="R21" s="32"/>
      <c r="S21" s="32"/>
      <c r="T21" s="82"/>
      <c r="U21" s="24"/>
    </row>
    <row r="22" spans="1:23" ht="16.5" customHeight="1">
      <c r="A22" s="24"/>
      <c r="B22" s="24"/>
      <c r="C22" s="30" t="s">
        <v>78</v>
      </c>
      <c r="D22" s="24"/>
      <c r="E22" s="32"/>
      <c r="F22" s="32"/>
      <c r="G22" s="32"/>
      <c r="H22" s="32"/>
      <c r="I22" s="32"/>
      <c r="J22" s="32"/>
      <c r="K22" s="38"/>
      <c r="L22" s="32"/>
      <c r="M22" s="30" t="s">
        <v>80</v>
      </c>
      <c r="N22" s="32"/>
      <c r="O22" s="32"/>
      <c r="P22" s="32"/>
      <c r="Q22" s="32"/>
      <c r="R22" s="32"/>
      <c r="S22" s="32"/>
      <c r="T22" s="82"/>
      <c r="U22" s="24"/>
    </row>
    <row r="23" spans="1:23" ht="16.5" customHeight="1">
      <c r="A23" s="24"/>
      <c r="B23" s="24"/>
      <c r="C23" s="24"/>
      <c r="D23" s="24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82"/>
      <c r="U23" s="24"/>
    </row>
    <row r="24" spans="1:23" ht="16.5" customHeight="1">
      <c r="A24" s="27"/>
      <c r="B24" s="24"/>
      <c r="C24" s="24"/>
      <c r="D24" s="2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2"/>
      <c r="R24" s="32"/>
      <c r="S24" s="32"/>
      <c r="T24" s="83"/>
      <c r="U24" s="26"/>
      <c r="V24" s="68"/>
    </row>
    <row r="25" spans="1:23" ht="16.5" customHeight="1">
      <c r="A25" s="24"/>
      <c r="B25" s="24"/>
      <c r="C25" s="24"/>
      <c r="D25" s="24"/>
      <c r="E25" s="32"/>
      <c r="F25" s="32"/>
      <c r="G25" s="32"/>
      <c r="H25" s="32"/>
      <c r="I25" s="32"/>
      <c r="K25" s="32"/>
      <c r="L25" s="32"/>
      <c r="M25" s="32"/>
      <c r="N25" s="32"/>
      <c r="O25" s="32"/>
      <c r="P25" s="32"/>
      <c r="Q25" s="32"/>
      <c r="R25" s="32"/>
      <c r="S25" s="32"/>
      <c r="T25" s="82"/>
      <c r="U25" s="24"/>
    </row>
    <row r="26" spans="1:23" ht="16.5" customHeight="1">
      <c r="A26" s="24"/>
      <c r="B26" s="24"/>
      <c r="C26" s="24"/>
      <c r="D26" s="24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82"/>
      <c r="U26" s="24"/>
    </row>
    <row r="27" spans="1:23" ht="17.25" customHeight="1">
      <c r="A27" s="24"/>
      <c r="B27" s="24"/>
      <c r="C27" s="24"/>
      <c r="D27" s="24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82"/>
      <c r="U27" s="24"/>
    </row>
    <row r="28" spans="1:23" ht="9.75" customHeight="1">
      <c r="A28" s="27"/>
      <c r="B28" s="24"/>
      <c r="C28" s="24"/>
      <c r="D28" s="24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25"/>
      <c r="U28" s="26"/>
      <c r="V28" s="68"/>
    </row>
    <row r="29" spans="1:23" ht="9.75" customHeight="1">
      <c r="A29" s="27"/>
      <c r="B29" s="24"/>
      <c r="C29" s="24"/>
      <c r="D29" s="24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25"/>
      <c r="U29" s="26"/>
      <c r="V29" s="68"/>
    </row>
    <row r="30" spans="1:23" ht="13.5" customHeight="1">
      <c r="A30" s="28"/>
      <c r="C30" s="28"/>
      <c r="D30" s="28"/>
      <c r="E30" s="28"/>
      <c r="F30" s="28"/>
      <c r="G30" s="28"/>
      <c r="H30" s="28"/>
      <c r="I30" s="28"/>
      <c r="J30" s="28"/>
      <c r="L30" s="6"/>
      <c r="M30" s="28"/>
      <c r="N30" s="28"/>
      <c r="O30" s="28"/>
      <c r="P30" s="28"/>
      <c r="Q30" s="28"/>
      <c r="R30" s="28"/>
      <c r="S30" s="28"/>
      <c r="T30" s="28"/>
      <c r="U30" s="24"/>
    </row>
    <row r="31" spans="1:23" ht="3" customHeight="1">
      <c r="K31" s="6"/>
      <c r="L31" s="2" t="s">
        <v>63</v>
      </c>
    </row>
    <row r="32" spans="1:23" ht="3" customHeight="1">
      <c r="K32" s="6"/>
      <c r="L32" s="2" t="s">
        <v>62</v>
      </c>
    </row>
    <row r="33" spans="1:18" ht="18.75" customHeight="1">
      <c r="A33" s="3"/>
      <c r="B33" s="4"/>
      <c r="C33" s="2"/>
      <c r="D33" s="4"/>
      <c r="E33" s="4"/>
      <c r="F33" s="4"/>
      <c r="G33" s="4"/>
      <c r="H33" s="4"/>
      <c r="I33" s="4"/>
      <c r="J33" s="4"/>
      <c r="K33" s="4"/>
      <c r="L33" s="4"/>
      <c r="M33" s="4"/>
      <c r="N33" s="3"/>
      <c r="O33" s="3"/>
    </row>
    <row r="34" spans="1:18" ht="16.5" customHeight="1">
      <c r="A34" s="3"/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6"/>
      <c r="Q34" s="6"/>
      <c r="R34" s="6"/>
    </row>
    <row r="39" spans="1:18">
      <c r="G39" s="93"/>
      <c r="H39" s="93"/>
      <c r="I39" s="93"/>
      <c r="J39" s="94"/>
      <c r="K39" s="94"/>
      <c r="L39" s="94"/>
    </row>
    <row r="40" spans="1:18">
      <c r="G40" s="65"/>
      <c r="H40" s="65"/>
      <c r="I40" s="65"/>
      <c r="J40" s="94"/>
      <c r="K40" s="94"/>
      <c r="L40" s="94"/>
    </row>
    <row r="41" spans="1:18">
      <c r="G41" s="65"/>
      <c r="H41" s="65"/>
      <c r="I41" s="65"/>
      <c r="J41" s="94"/>
      <c r="K41" s="94"/>
      <c r="L41" s="94"/>
    </row>
    <row r="42" spans="1:18">
      <c r="G42" s="65"/>
      <c r="H42" s="65"/>
      <c r="I42" s="65"/>
      <c r="J42" s="94"/>
      <c r="K42" s="94"/>
      <c r="L42" s="94"/>
    </row>
  </sheetData>
  <mergeCells count="21">
    <mergeCell ref="K9:M9"/>
    <mergeCell ref="N9:P9"/>
    <mergeCell ref="H7:J7"/>
    <mergeCell ref="K7:M7"/>
    <mergeCell ref="N7:P7"/>
    <mergeCell ref="A4:D11"/>
    <mergeCell ref="H4:S4"/>
    <mergeCell ref="T4:U11"/>
    <mergeCell ref="K5:M5"/>
    <mergeCell ref="E6:G6"/>
    <mergeCell ref="H6:J6"/>
    <mergeCell ref="K6:M6"/>
    <mergeCell ref="N6:P6"/>
    <mergeCell ref="Q6:S6"/>
    <mergeCell ref="E7:G7"/>
    <mergeCell ref="Q7:S7"/>
    <mergeCell ref="H8:J8"/>
    <mergeCell ref="K8:M8"/>
    <mergeCell ref="N8:P8"/>
    <mergeCell ref="Q8:S8"/>
    <mergeCell ref="H9:J9"/>
  </mergeCells>
  <pageMargins left="0.55118110236220474" right="0.25" top="0.69" bottom="0.4" header="0.51181102362204722" footer="0.1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T-3.7</vt:lpstr>
      <vt:lpstr>T-3.7(2)</vt:lpstr>
      <vt:lpstr>'T-3.7'!Print_Area</vt:lpstr>
      <vt:lpstr>'T-3.7(2)'!Print_Area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NSO07</cp:lastModifiedBy>
  <cp:lastPrinted>2019-07-02T04:05:38Z</cp:lastPrinted>
  <dcterms:created xsi:type="dcterms:W3CDTF">1997-06-13T10:07:54Z</dcterms:created>
  <dcterms:modified xsi:type="dcterms:W3CDTF">2020-01-21T03:28:24Z</dcterms:modified>
</cp:coreProperties>
</file>