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3.6" sheetId="1" r:id="rId1"/>
  </sheets>
  <definedNames>
    <definedName name="_xlnm.Print_Area" localSheetId="0">'T-3.6'!$A$1:$U$41</definedName>
  </definedNames>
  <calcPr calcId="125725"/>
</workbook>
</file>

<file path=xl/calcChain.xml><?xml version="1.0" encoding="utf-8"?>
<calcChain xmlns="http://schemas.openxmlformats.org/spreadsheetml/2006/main">
  <c r="Q33" i="1"/>
  <c r="K33"/>
  <c r="J33"/>
  <c r="G33" s="1"/>
  <c r="I33"/>
  <c r="H33" s="1"/>
  <c r="E33" s="1"/>
  <c r="F33"/>
  <c r="Q32"/>
  <c r="K32"/>
  <c r="J32"/>
  <c r="I32"/>
  <c r="H32" s="1"/>
  <c r="E32" s="1"/>
  <c r="G32"/>
  <c r="F32"/>
  <c r="Q31"/>
  <c r="K31"/>
  <c r="J31"/>
  <c r="I31"/>
  <c r="H31" s="1"/>
  <c r="G31"/>
  <c r="F31"/>
  <c r="F30" s="1"/>
  <c r="S30"/>
  <c r="R30"/>
  <c r="Q30"/>
  <c r="M30"/>
  <c r="L30"/>
  <c r="K30"/>
  <c r="J30"/>
  <c r="I30"/>
  <c r="Q29"/>
  <c r="K29"/>
  <c r="J29"/>
  <c r="G29" s="1"/>
  <c r="I29"/>
  <c r="H29" s="1"/>
  <c r="E29" s="1"/>
  <c r="F29"/>
  <c r="Q28"/>
  <c r="K28"/>
  <c r="J28"/>
  <c r="G28" s="1"/>
  <c r="I28"/>
  <c r="H28" s="1"/>
  <c r="E28" s="1"/>
  <c r="F28"/>
  <c r="F26" s="1"/>
  <c r="Q27"/>
  <c r="K27"/>
  <c r="J27"/>
  <c r="G27" s="1"/>
  <c r="G26" s="1"/>
  <c r="I27"/>
  <c r="H27" s="1"/>
  <c r="F27"/>
  <c r="S26"/>
  <c r="R26"/>
  <c r="Q26"/>
  <c r="M26"/>
  <c r="L26"/>
  <c r="K26"/>
  <c r="J26"/>
  <c r="I26"/>
  <c r="S25"/>
  <c r="R25"/>
  <c r="F25" s="1"/>
  <c r="Q25"/>
  <c r="P25"/>
  <c r="O25"/>
  <c r="N25"/>
  <c r="K25"/>
  <c r="J25"/>
  <c r="I25"/>
  <c r="H25"/>
  <c r="E25" s="1"/>
  <c r="G25"/>
  <c r="S24"/>
  <c r="G24" s="1"/>
  <c r="R24"/>
  <c r="Q24" s="1"/>
  <c r="P24"/>
  <c r="O24"/>
  <c r="N24"/>
  <c r="K24"/>
  <c r="J24"/>
  <c r="I24"/>
  <c r="H24" s="1"/>
  <c r="E24" s="1"/>
  <c r="S23"/>
  <c r="R23"/>
  <c r="Q23" s="1"/>
  <c r="P23"/>
  <c r="O23"/>
  <c r="N23" s="1"/>
  <c r="K23"/>
  <c r="J23"/>
  <c r="G23" s="1"/>
  <c r="I23"/>
  <c r="H23" s="1"/>
  <c r="E23" s="1"/>
  <c r="F23"/>
  <c r="S22"/>
  <c r="R22"/>
  <c r="Q22"/>
  <c r="P22"/>
  <c r="P19" s="1"/>
  <c r="O22"/>
  <c r="N22" s="1"/>
  <c r="K22"/>
  <c r="J22"/>
  <c r="G22" s="1"/>
  <c r="I22"/>
  <c r="H22" s="1"/>
  <c r="E22" s="1"/>
  <c r="F22"/>
  <c r="S21"/>
  <c r="R21"/>
  <c r="Q21" s="1"/>
  <c r="P21"/>
  <c r="O21"/>
  <c r="N21"/>
  <c r="K21"/>
  <c r="J21"/>
  <c r="I21"/>
  <c r="H21"/>
  <c r="G21"/>
  <c r="S20"/>
  <c r="G20" s="1"/>
  <c r="R20"/>
  <c r="Q20" s="1"/>
  <c r="P20"/>
  <c r="O20"/>
  <c r="O19" s="1"/>
  <c r="K20"/>
  <c r="J20"/>
  <c r="I20"/>
  <c r="F20" s="1"/>
  <c r="H20"/>
  <c r="S19"/>
  <c r="M19"/>
  <c r="L19"/>
  <c r="L13" s="1"/>
  <c r="K13" s="1"/>
  <c r="S18"/>
  <c r="G18" s="1"/>
  <c r="R18"/>
  <c r="Q18" s="1"/>
  <c r="E18" s="1"/>
  <c r="P18"/>
  <c r="O18"/>
  <c r="N18"/>
  <c r="K18"/>
  <c r="F18"/>
  <c r="Q17"/>
  <c r="K17"/>
  <c r="J17"/>
  <c r="G17" s="1"/>
  <c r="I17"/>
  <c r="H17" s="1"/>
  <c r="E17" s="1"/>
  <c r="F17"/>
  <c r="Q16"/>
  <c r="P16"/>
  <c r="O16"/>
  <c r="N16"/>
  <c r="K16"/>
  <c r="J16"/>
  <c r="I16"/>
  <c r="H16" s="1"/>
  <c r="E16" s="1"/>
  <c r="G16"/>
  <c r="Q15"/>
  <c r="Q14" s="1"/>
  <c r="P15"/>
  <c r="P14" s="1"/>
  <c r="P13" s="1"/>
  <c r="O15"/>
  <c r="N15"/>
  <c r="N14" s="1"/>
  <c r="K15"/>
  <c r="J15"/>
  <c r="I15"/>
  <c r="H15"/>
  <c r="E15" s="1"/>
  <c r="G15"/>
  <c r="F15"/>
  <c r="S14"/>
  <c r="S13" s="1"/>
  <c r="R14"/>
  <c r="O14"/>
  <c r="O13" s="1"/>
  <c r="M14"/>
  <c r="L14"/>
  <c r="K14"/>
  <c r="J14"/>
  <c r="M13"/>
  <c r="H26" l="1"/>
  <c r="E27"/>
  <c r="E26" s="1"/>
  <c r="H30"/>
  <c r="E31"/>
  <c r="E30" s="1"/>
  <c r="G14"/>
  <c r="G13" s="1"/>
  <c r="Q13"/>
  <c r="H19"/>
  <c r="G19"/>
  <c r="Q19"/>
  <c r="G30"/>
  <c r="E14"/>
  <c r="F19"/>
  <c r="E21"/>
  <c r="K19"/>
  <c r="I14"/>
  <c r="J19"/>
  <c r="J13" s="1"/>
  <c r="R19"/>
  <c r="R13" s="1"/>
  <c r="F21"/>
  <c r="H14"/>
  <c r="H13" s="1"/>
  <c r="F16"/>
  <c r="F14" s="1"/>
  <c r="F13" s="1"/>
  <c r="E13" s="1"/>
  <c r="I19"/>
  <c r="F24"/>
  <c r="N20"/>
  <c r="E20" l="1"/>
  <c r="E19" s="1"/>
  <c r="N19"/>
  <c r="N13" s="1"/>
  <c r="I13"/>
</calcChain>
</file>

<file path=xl/sharedStrings.xml><?xml version="1.0" encoding="utf-8"?>
<sst xmlns="http://schemas.openxmlformats.org/spreadsheetml/2006/main" count="138" uniqueCount="81">
  <si>
    <t xml:space="preserve">ตาราง     </t>
  </si>
  <si>
    <t>นักเรียน จำแนกตามสังกัด เพศ และชั้นเรียน ปีการศึกษา 2560</t>
  </si>
  <si>
    <t xml:space="preserve">Table </t>
  </si>
  <si>
    <t>Student by Jurisdiction, Sex and Grade: Academic Year 2017</t>
  </si>
  <si>
    <t>ชั้นเรียน</t>
  </si>
  <si>
    <t>สังกัด  Jurisdiction</t>
  </si>
  <si>
    <t>Grade</t>
  </si>
  <si>
    <t>สำนักบริหารงาน</t>
  </si>
  <si>
    <t>สนง.คณะกรรมการ</t>
  </si>
  <si>
    <t>คณะกรรมการส่งเสริม</t>
  </si>
  <si>
    <t>กรมส่งเสริม</t>
  </si>
  <si>
    <t>การศึกษาขั้นพื้นฐาน</t>
  </si>
  <si>
    <t>การศึกษาเอกชน</t>
  </si>
  <si>
    <t>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</si>
  <si>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</si>
  <si>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</si>
  <si>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</si>
  <si>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</si>
  <si>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</si>
  <si>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</si>
  <si>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</si>
  <si>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</si>
  <si>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</si>
  <si>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</si>
  <si>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</si>
  <si>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</si>
  <si>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</si>
  <si>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</si>
  <si>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ก่อนประถมศึกษา</t>
  </si>
  <si>
    <t>Pre-elementary</t>
  </si>
  <si>
    <t>อนุบาล 1</t>
  </si>
  <si>
    <t>Kindergarten 1</t>
  </si>
  <si>
    <t>อนุบาล 2</t>
  </si>
  <si>
    <t>Kindergarten 2</t>
  </si>
  <si>
    <t>อนุบาล 3</t>
  </si>
  <si>
    <t>-</t>
  </si>
  <si>
    <t>Kindergarten 3</t>
  </si>
  <si>
    <t>เด็กเล็ก</t>
  </si>
  <si>
    <t>Pre- primary</t>
  </si>
  <si>
    <t>ประถมศึกษา</t>
  </si>
  <si>
    <t>Elementary</t>
  </si>
  <si>
    <t>ประถม 1</t>
  </si>
  <si>
    <t>Pratom 1</t>
  </si>
  <si>
    <t>ประถม 2</t>
  </si>
  <si>
    <t>Pratom 2</t>
  </si>
  <si>
    <t>ประถม 3</t>
  </si>
  <si>
    <t>Pratom 3</t>
  </si>
  <si>
    <t>ประถม 4</t>
  </si>
  <si>
    <t>Pratom 4</t>
  </si>
  <si>
    <t>ประถม 5</t>
  </si>
  <si>
    <t>Pratom 5</t>
  </si>
  <si>
    <t>ประถม 6</t>
  </si>
  <si>
    <t>Pratom 6</t>
  </si>
  <si>
    <t>มัธยมต้น</t>
  </si>
  <si>
    <t>Lower Secondary</t>
  </si>
  <si>
    <t>มัธยม 1</t>
  </si>
  <si>
    <t>Matayom 1</t>
  </si>
  <si>
    <t>มัธยม 2</t>
  </si>
  <si>
    <t>Matayom 2</t>
  </si>
  <si>
    <t>มัธยม 3</t>
  </si>
  <si>
    <t>Matayom 3</t>
  </si>
  <si>
    <t>มัธยมปลาย</t>
  </si>
  <si>
    <t>Upper Secondary</t>
  </si>
  <si>
    <t>มัธยม 4</t>
  </si>
  <si>
    <t>Matayom 4</t>
  </si>
  <si>
    <t>มัธยม 5</t>
  </si>
  <si>
    <t>Matayom 5</t>
  </si>
  <si>
    <t>มัธยม 6</t>
  </si>
  <si>
    <t>Matayom 6</t>
  </si>
  <si>
    <t xml:space="preserve">        1/  รวมมหาวิทยาลัยราชภัฏ (โรงเรียนสาธิตมหาวิทยาลัยราชภัฏ)</t>
  </si>
  <si>
    <t xml:space="preserve">       1/  Including  Rajabhat University (demonstration Rajabhat University),</t>
  </si>
  <si>
    <t xml:space="preserve">  สำนักงานตำรวจแห่งชาติ (โรงเรียนตำรวจตระเวนชายแดน)</t>
  </si>
  <si>
    <t xml:space="preserve">            Royal Thai Police (The Border Patrol Police School)</t>
  </si>
  <si>
    <t xml:space="preserve">     ที่มา:  สำนักงานเขตพื้นที่การศึกษาประถมศึกษาสุรินทร์  เขต 1, 2 และ 3</t>
  </si>
  <si>
    <t>Source:  Surin Primary Educational Service Area Office, Area 1,2 and 3</t>
  </si>
  <si>
    <t xml:space="preserve">             สำนักงานเขตพื้นที่การศึกษามัธยมศึกษาเขต 33  สุรินทร์ </t>
  </si>
  <si>
    <t xml:space="preserve">            Surin Secondary Educational Service Area Office, Area 33 </t>
  </si>
  <si>
    <t xml:space="preserve">             กรมส่งเสริมการปกครองส่วนท้องถิ่น</t>
  </si>
  <si>
    <t xml:space="preserve">            Department of Local Administration</t>
  </si>
  <si>
    <t xml:space="preserve">             สำนักงานศึกษาธิการจังหวัดสุรินทร์</t>
  </si>
  <si>
    <t xml:space="preserve">            Surin Provincial Education Office</t>
  </si>
</sst>
</file>

<file path=xl/styles.xml><?xml version="1.0" encoding="utf-8"?>
<styleSheet xmlns="http://schemas.openxmlformats.org/spreadsheetml/2006/main">
  <numFmts count="1">
    <numFmt numFmtId="187" formatCode="0.0"/>
  </numFmts>
  <fonts count="9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vertAlign val="superscript"/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Border="1" applyAlignment="1"/>
    <xf numFmtId="187" fontId="1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6" fillId="0" borderId="11" xfId="0" applyNumberFormat="1" applyFont="1" applyBorder="1" applyAlignment="1">
      <alignment horizontal="right" vertical="center" indent="1"/>
    </xf>
    <xf numFmtId="3" fontId="6" fillId="0" borderId="6" xfId="0" applyNumberFormat="1" applyFont="1" applyBorder="1" applyAlignment="1">
      <alignment horizontal="right" vertical="center" indent="1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top" indent="1"/>
    </xf>
    <xf numFmtId="0" fontId="5" fillId="0" borderId="0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3" fontId="6" fillId="0" borderId="11" xfId="0" applyNumberFormat="1" applyFont="1" applyBorder="1" applyAlignment="1">
      <alignment horizontal="right" vertical="top" indent="1"/>
    </xf>
    <xf numFmtId="3" fontId="6" fillId="0" borderId="6" xfId="0" applyNumberFormat="1" applyFont="1" applyBorder="1" applyAlignment="1">
      <alignment horizontal="right" vertical="top" indent="1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3" fillId="0" borderId="0" xfId="0" applyFont="1" applyBorder="1" applyAlignment="1">
      <alignment vertical="top"/>
    </xf>
    <xf numFmtId="0" fontId="7" fillId="0" borderId="0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3" fontId="7" fillId="0" borderId="11" xfId="0" applyNumberFormat="1" applyFont="1" applyBorder="1" applyAlignment="1">
      <alignment horizontal="right" vertical="top" indent="1"/>
    </xf>
    <xf numFmtId="3" fontId="7" fillId="0" borderId="6" xfId="0" applyNumberFormat="1" applyFont="1" applyBorder="1" applyAlignment="1">
      <alignment horizontal="right" vertical="top" indent="1"/>
    </xf>
    <xf numFmtId="3" fontId="7" fillId="0" borderId="0" xfId="0" applyNumberFormat="1" applyFont="1" applyBorder="1" applyAlignment="1">
      <alignment horizontal="right" vertical="top" indent="1"/>
    </xf>
    <xf numFmtId="0" fontId="3" fillId="0" borderId="7" xfId="0" applyFont="1" applyBorder="1" applyAlignment="1">
      <alignment vertical="top"/>
    </xf>
    <xf numFmtId="0" fontId="7" fillId="0" borderId="0" xfId="0" applyFont="1" applyBorder="1" applyAlignment="1">
      <alignment horizontal="left" vertical="top" indent="1"/>
    </xf>
    <xf numFmtId="0" fontId="7" fillId="0" borderId="0" xfId="0" applyFont="1" applyAlignment="1">
      <alignment horizontal="left" vertical="top" indent="1"/>
    </xf>
    <xf numFmtId="0" fontId="5" fillId="0" borderId="0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7" fillId="0" borderId="0" xfId="0" applyFont="1" applyBorder="1" applyAlignment="1">
      <alignment vertical="center"/>
    </xf>
    <xf numFmtId="3" fontId="7" fillId="0" borderId="11" xfId="0" applyNumberFormat="1" applyFont="1" applyBorder="1" applyAlignment="1">
      <alignment horizontal="right" vertical="center" indent="1"/>
    </xf>
    <xf numFmtId="3" fontId="7" fillId="0" borderId="6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vertical="center" indent="1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8" fillId="0" borderId="0" xfId="0" applyFont="1" applyBorder="1" applyAlignment="1">
      <alignment vertical="top"/>
    </xf>
    <xf numFmtId="0" fontId="8" fillId="0" borderId="6" xfId="0" applyFont="1" applyBorder="1" applyAlignment="1">
      <alignment vertical="top"/>
    </xf>
    <xf numFmtId="0" fontId="8" fillId="0" borderId="0" xfId="0" applyFont="1" applyBorder="1"/>
    <xf numFmtId="0" fontId="5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2" fillId="0" borderId="9" xfId="0" applyFont="1" applyBorder="1"/>
    <xf numFmtId="0" fontId="2" fillId="0" borderId="13" xfId="0" applyFont="1" applyBorder="1"/>
    <xf numFmtId="0" fontId="2" fillId="0" borderId="10" xfId="0" applyFont="1" applyBorder="1"/>
    <xf numFmtId="0" fontId="2" fillId="0" borderId="13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0" fontId="3" fillId="0" borderId="0" xfId="0" applyFont="1"/>
    <xf numFmtId="0" fontId="3" fillId="0" borderId="0" xfId="0" applyFont="1" applyBorder="1" applyAlignme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W41"/>
  <sheetViews>
    <sheetView tabSelected="1" view="pageBreakPreview" zoomScale="90" zoomScaleNormal="120" zoomScaleSheetLayoutView="90" workbookViewId="0">
      <selection activeCell="L17" sqref="L17"/>
    </sheetView>
  </sheetViews>
  <sheetFormatPr defaultColWidth="9.09765625" defaultRowHeight="18.75"/>
  <cols>
    <col min="1" max="1" width="1.69921875" style="3" customWidth="1"/>
    <col min="2" max="2" width="5.8984375" style="3" customWidth="1"/>
    <col min="3" max="3" width="4.09765625" style="3" customWidth="1"/>
    <col min="4" max="4" width="4.59765625" style="3" customWidth="1"/>
    <col min="5" max="5" width="7.8984375" style="3" customWidth="1"/>
    <col min="6" max="6" width="7.296875" style="3" customWidth="1"/>
    <col min="7" max="7" width="9.69921875" style="3" customWidth="1"/>
    <col min="8" max="8" width="8.3984375" style="3" customWidth="1"/>
    <col min="9" max="9" width="7.09765625" style="3" customWidth="1"/>
    <col min="10" max="10" width="9.69921875" style="3" customWidth="1"/>
    <col min="11" max="12" width="7.296875" style="3" customWidth="1"/>
    <col min="13" max="13" width="9.3984375" style="3" customWidth="1"/>
    <col min="14" max="15" width="7.296875" style="3" customWidth="1"/>
    <col min="16" max="16" width="9.3984375" style="3" customWidth="1"/>
    <col min="17" max="18" width="7.296875" style="3" customWidth="1"/>
    <col min="19" max="19" width="8.69921875" style="3" customWidth="1"/>
    <col min="20" max="20" width="1.09765625" style="3" customWidth="1"/>
    <col min="21" max="21" width="15.69921875" style="3" customWidth="1"/>
    <col min="22" max="22" width="2.296875" style="3" customWidth="1"/>
    <col min="23" max="23" width="4.09765625" style="3" customWidth="1"/>
    <col min="24" max="16384" width="9.09765625" style="3"/>
  </cols>
  <sheetData>
    <row r="1" spans="1:22" s="1" customFormat="1" ht="19.5">
      <c r="B1" s="1" t="s">
        <v>0</v>
      </c>
      <c r="C1" s="2">
        <v>3.6</v>
      </c>
      <c r="D1" s="1" t="s">
        <v>1</v>
      </c>
    </row>
    <row r="2" spans="1:22" s="1" customFormat="1" ht="20.25" customHeight="1">
      <c r="B2" s="1" t="s">
        <v>2</v>
      </c>
      <c r="C2" s="2">
        <v>3.6</v>
      </c>
      <c r="D2" s="1" t="s">
        <v>3</v>
      </c>
    </row>
    <row r="3" spans="1:22" ht="6.75" customHeight="1"/>
    <row r="4" spans="1:22" s="13" customFormat="1" ht="15" customHeight="1">
      <c r="A4" s="4" t="s">
        <v>4</v>
      </c>
      <c r="B4" s="4"/>
      <c r="C4" s="4"/>
      <c r="D4" s="5"/>
      <c r="E4" s="6"/>
      <c r="F4" s="7"/>
      <c r="G4" s="8"/>
      <c r="H4" s="9" t="s">
        <v>5</v>
      </c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1" t="s">
        <v>6</v>
      </c>
      <c r="U4" s="12"/>
    </row>
    <row r="5" spans="1:22" s="13" customFormat="1" ht="15" customHeight="1">
      <c r="A5" s="14"/>
      <c r="B5" s="14"/>
      <c r="C5" s="14"/>
      <c r="D5" s="15"/>
      <c r="E5" s="16"/>
      <c r="G5" s="17"/>
      <c r="H5" s="18"/>
      <c r="I5" s="7"/>
      <c r="J5" s="19"/>
      <c r="K5" s="20" t="s">
        <v>7</v>
      </c>
      <c r="L5" s="21"/>
      <c r="M5" s="22"/>
      <c r="N5" s="18"/>
      <c r="O5" s="7"/>
      <c r="P5" s="19"/>
      <c r="T5" s="23"/>
      <c r="U5" s="24"/>
    </row>
    <row r="6" spans="1:22" s="13" customFormat="1" ht="15.75" customHeight="1">
      <c r="A6" s="14"/>
      <c r="B6" s="14"/>
      <c r="C6" s="14"/>
      <c r="D6" s="15"/>
      <c r="E6" s="25"/>
      <c r="F6" s="26"/>
      <c r="G6" s="27"/>
      <c r="H6" s="25" t="s">
        <v>8</v>
      </c>
      <c r="I6" s="26"/>
      <c r="J6" s="27"/>
      <c r="K6" s="25" t="s">
        <v>9</v>
      </c>
      <c r="L6" s="26"/>
      <c r="M6" s="27"/>
      <c r="N6" s="25" t="s">
        <v>10</v>
      </c>
      <c r="O6" s="26"/>
      <c r="P6" s="27"/>
      <c r="Q6" s="26"/>
      <c r="R6" s="26"/>
      <c r="S6" s="26"/>
      <c r="T6" s="23"/>
      <c r="U6" s="24"/>
    </row>
    <row r="7" spans="1:22" s="13" customFormat="1" ht="17.25" customHeight="1">
      <c r="A7" s="14"/>
      <c r="B7" s="14"/>
      <c r="C7" s="14"/>
      <c r="D7" s="15"/>
      <c r="E7" s="25"/>
      <c r="F7" s="26"/>
      <c r="G7" s="27"/>
      <c r="H7" s="25" t="s">
        <v>11</v>
      </c>
      <c r="I7" s="26"/>
      <c r="J7" s="27"/>
      <c r="K7" s="25" t="s">
        <v>12</v>
      </c>
      <c r="L7" s="26"/>
      <c r="M7" s="27"/>
      <c r="N7" s="25" t="s">
        <v>13</v>
      </c>
      <c r="O7" s="26"/>
      <c r="P7" s="27"/>
      <c r="Q7" s="26"/>
      <c r="R7" s="26"/>
      <c r="S7" s="26"/>
      <c r="T7" s="23"/>
      <c r="U7" s="24"/>
    </row>
    <row r="8" spans="1:22" s="13" customFormat="1" ht="16.5" customHeight="1">
      <c r="A8" s="14"/>
      <c r="B8" s="14"/>
      <c r="C8" s="14"/>
      <c r="D8" s="15"/>
      <c r="E8" s="25" t="s">
        <v>14</v>
      </c>
      <c r="F8" s="26"/>
      <c r="G8" s="27"/>
      <c r="H8" s="25" t="s">
        <v>15</v>
      </c>
      <c r="I8" s="26"/>
      <c r="J8" s="27"/>
      <c r="K8" s="25" t="s">
        <v>16</v>
      </c>
      <c r="L8" s="26"/>
      <c r="M8" s="27"/>
      <c r="N8" s="25" t="s">
        <v>17</v>
      </c>
      <c r="O8" s="26"/>
      <c r="P8" s="27"/>
      <c r="Q8" s="26" t="s">
        <v>18</v>
      </c>
      <c r="R8" s="26"/>
      <c r="S8" s="26"/>
      <c r="T8" s="23"/>
      <c r="U8" s="24"/>
    </row>
    <row r="9" spans="1:22" s="13" customFormat="1" ht="16.5" customHeight="1">
      <c r="A9" s="14"/>
      <c r="B9" s="14"/>
      <c r="C9" s="14"/>
      <c r="D9" s="15"/>
      <c r="E9" s="28" t="s">
        <v>19</v>
      </c>
      <c r="F9" s="29"/>
      <c r="G9" s="30"/>
      <c r="H9" s="28" t="s">
        <v>20</v>
      </c>
      <c r="I9" s="29"/>
      <c r="J9" s="30"/>
      <c r="K9" s="28" t="s">
        <v>20</v>
      </c>
      <c r="L9" s="29"/>
      <c r="M9" s="30"/>
      <c r="N9" s="25" t="s">
        <v>21</v>
      </c>
      <c r="O9" s="26"/>
      <c r="P9" s="27"/>
      <c r="Q9" s="28" t="s">
        <v>22</v>
      </c>
      <c r="R9" s="29"/>
      <c r="S9" s="30"/>
      <c r="T9" s="23"/>
      <c r="U9" s="24"/>
    </row>
    <row r="10" spans="1:22" s="13" customFormat="1" ht="15" customHeight="1">
      <c r="A10" s="14"/>
      <c r="B10" s="14"/>
      <c r="C10" s="14"/>
      <c r="D10" s="15"/>
      <c r="E10" s="31" t="s">
        <v>14</v>
      </c>
      <c r="F10" s="32" t="s">
        <v>23</v>
      </c>
      <c r="G10" s="32" t="s">
        <v>24</v>
      </c>
      <c r="H10" s="33" t="s">
        <v>14</v>
      </c>
      <c r="I10" s="33" t="s">
        <v>23</v>
      </c>
      <c r="J10" s="32" t="s">
        <v>24</v>
      </c>
      <c r="K10" s="33" t="s">
        <v>14</v>
      </c>
      <c r="L10" s="33" t="s">
        <v>23</v>
      </c>
      <c r="M10" s="32" t="s">
        <v>24</v>
      </c>
      <c r="N10" s="33" t="s">
        <v>14</v>
      </c>
      <c r="O10" s="33" t="s">
        <v>23</v>
      </c>
      <c r="P10" s="33" t="s">
        <v>24</v>
      </c>
      <c r="Q10" s="31" t="s">
        <v>14</v>
      </c>
      <c r="R10" s="31" t="s">
        <v>23</v>
      </c>
      <c r="S10" s="34" t="s">
        <v>24</v>
      </c>
      <c r="T10" s="23"/>
      <c r="U10" s="24"/>
    </row>
    <row r="11" spans="1:22" s="13" customFormat="1" ht="15" customHeight="1">
      <c r="A11" s="35"/>
      <c r="B11" s="35"/>
      <c r="C11" s="35"/>
      <c r="D11" s="36"/>
      <c r="E11" s="37" t="s">
        <v>19</v>
      </c>
      <c r="F11" s="38" t="s">
        <v>25</v>
      </c>
      <c r="G11" s="38" t="s">
        <v>26</v>
      </c>
      <c r="H11" s="37" t="s">
        <v>19</v>
      </c>
      <c r="I11" s="37" t="s">
        <v>25</v>
      </c>
      <c r="J11" s="38" t="s">
        <v>26</v>
      </c>
      <c r="K11" s="37" t="s">
        <v>19</v>
      </c>
      <c r="L11" s="37" t="s">
        <v>25</v>
      </c>
      <c r="M11" s="38" t="s">
        <v>26</v>
      </c>
      <c r="N11" s="37" t="s">
        <v>19</v>
      </c>
      <c r="O11" s="37" t="s">
        <v>25</v>
      </c>
      <c r="P11" s="38" t="s">
        <v>26</v>
      </c>
      <c r="Q11" s="37" t="s">
        <v>19</v>
      </c>
      <c r="R11" s="37" t="s">
        <v>25</v>
      </c>
      <c r="S11" s="39" t="s">
        <v>26</v>
      </c>
      <c r="T11" s="40"/>
      <c r="U11" s="41"/>
    </row>
    <row r="12" spans="1:22" s="45" customFormat="1" ht="3" customHeight="1">
      <c r="A12" s="42"/>
      <c r="B12" s="42"/>
      <c r="C12" s="42"/>
      <c r="D12" s="43"/>
      <c r="E12" s="31"/>
      <c r="F12" s="32"/>
      <c r="G12" s="32"/>
      <c r="H12" s="31"/>
      <c r="I12" s="31"/>
      <c r="J12" s="32"/>
      <c r="K12" s="31"/>
      <c r="L12" s="31"/>
      <c r="M12" s="32"/>
      <c r="N12" s="31"/>
      <c r="O12" s="31"/>
      <c r="P12" s="32"/>
      <c r="Q12" s="31"/>
      <c r="R12" s="31"/>
      <c r="S12" s="34"/>
      <c r="T12" s="44"/>
    </row>
    <row r="13" spans="1:22" s="52" customFormat="1" ht="16.5" customHeight="1">
      <c r="A13" s="46" t="s">
        <v>27</v>
      </c>
      <c r="B13" s="46"/>
      <c r="C13" s="46"/>
      <c r="D13" s="47"/>
      <c r="E13" s="48">
        <f>SUM(F13:G13)</f>
        <v>200443</v>
      </c>
      <c r="F13" s="49">
        <f>SUM(F14,F19,F26,F30)</f>
        <v>99723</v>
      </c>
      <c r="G13" s="49">
        <f t="shared" ref="G13:S13" si="0">SUM(G14,G19,G26,G30)</f>
        <v>100720</v>
      </c>
      <c r="H13" s="49">
        <f t="shared" si="0"/>
        <v>192596</v>
      </c>
      <c r="I13" s="49">
        <f t="shared" si="0"/>
        <v>95804</v>
      </c>
      <c r="J13" s="49">
        <f t="shared" si="0"/>
        <v>96792</v>
      </c>
      <c r="K13" s="49">
        <f>SUM(L13:M13)</f>
        <v>4849</v>
      </c>
      <c r="L13" s="49">
        <f>SUM(L14,L19,L26,L30)</f>
        <v>2412</v>
      </c>
      <c r="M13" s="49">
        <f>SUM(M14,M19,M26,M30)</f>
        <v>2437</v>
      </c>
      <c r="N13" s="49">
        <f t="shared" si="0"/>
        <v>1785</v>
      </c>
      <c r="O13" s="49">
        <f t="shared" si="0"/>
        <v>878</v>
      </c>
      <c r="P13" s="49">
        <f t="shared" si="0"/>
        <v>907</v>
      </c>
      <c r="Q13" s="49">
        <f t="shared" si="0"/>
        <v>1213</v>
      </c>
      <c r="R13" s="49">
        <f t="shared" si="0"/>
        <v>629</v>
      </c>
      <c r="S13" s="49">
        <f t="shared" si="0"/>
        <v>584</v>
      </c>
      <c r="T13" s="50"/>
      <c r="U13" s="51" t="s">
        <v>19</v>
      </c>
      <c r="V13" s="51"/>
    </row>
    <row r="14" spans="1:22" s="59" customFormat="1" ht="15.75" customHeight="1">
      <c r="A14" s="53" t="s">
        <v>28</v>
      </c>
      <c r="B14" s="54"/>
      <c r="C14" s="54"/>
      <c r="D14" s="55"/>
      <c r="E14" s="56">
        <f>SUM(E15:E18)</f>
        <v>33696</v>
      </c>
      <c r="F14" s="56">
        <f t="shared" ref="F14:S14" si="1">SUM(F15:F18)</f>
        <v>17209</v>
      </c>
      <c r="G14" s="56">
        <f t="shared" si="1"/>
        <v>16487</v>
      </c>
      <c r="H14" s="56">
        <f t="shared" si="1"/>
        <v>30919</v>
      </c>
      <c r="I14" s="56">
        <f t="shared" si="1"/>
        <v>15807</v>
      </c>
      <c r="J14" s="56">
        <f t="shared" si="1"/>
        <v>15112</v>
      </c>
      <c r="K14" s="57">
        <f>SUM(L14:M14)</f>
        <v>1925</v>
      </c>
      <c r="L14" s="57">
        <f>SUM(L15:L18)</f>
        <v>970</v>
      </c>
      <c r="M14" s="57">
        <f>SUM(M15:M18)</f>
        <v>955</v>
      </c>
      <c r="N14" s="56">
        <f t="shared" si="1"/>
        <v>606</v>
      </c>
      <c r="O14" s="56">
        <f t="shared" si="1"/>
        <v>307</v>
      </c>
      <c r="P14" s="56">
        <f t="shared" si="1"/>
        <v>299</v>
      </c>
      <c r="Q14" s="56">
        <f t="shared" si="1"/>
        <v>246</v>
      </c>
      <c r="R14" s="56">
        <f t="shared" si="1"/>
        <v>125</v>
      </c>
      <c r="S14" s="56">
        <f t="shared" si="1"/>
        <v>121</v>
      </c>
      <c r="T14" s="53" t="s">
        <v>29</v>
      </c>
      <c r="U14" s="54"/>
      <c r="V14" s="58"/>
    </row>
    <row r="15" spans="1:22" s="45" customFormat="1" ht="13.5" customHeight="1">
      <c r="A15" s="60"/>
      <c r="B15" s="61" t="s">
        <v>30</v>
      </c>
      <c r="C15" s="60"/>
      <c r="D15" s="62"/>
      <c r="E15" s="63">
        <f>SUM(H15,K15,N15,Q15)</f>
        <v>1481</v>
      </c>
      <c r="F15" s="63">
        <f t="shared" ref="F15:G18" si="2">SUM(I15,L15,O15,R15)</f>
        <v>730</v>
      </c>
      <c r="G15" s="63">
        <f t="shared" si="2"/>
        <v>751</v>
      </c>
      <c r="H15" s="63">
        <f>SUM(I15:J15)</f>
        <v>525</v>
      </c>
      <c r="I15" s="63">
        <f>58+159+28</f>
        <v>245</v>
      </c>
      <c r="J15" s="64">
        <f>71+172+37</f>
        <v>280</v>
      </c>
      <c r="K15" s="64">
        <f>SUM(L15:M15)</f>
        <v>690</v>
      </c>
      <c r="L15" s="64">
        <v>344</v>
      </c>
      <c r="M15" s="64">
        <v>346</v>
      </c>
      <c r="N15" s="63">
        <f>SUM(O15:P15)</f>
        <v>246</v>
      </c>
      <c r="O15" s="63">
        <f>48+38+41</f>
        <v>127</v>
      </c>
      <c r="P15" s="64">
        <f>42+38+39</f>
        <v>119</v>
      </c>
      <c r="Q15" s="63">
        <f>SUM(R15:S15)</f>
        <v>20</v>
      </c>
      <c r="R15" s="63">
        <v>14</v>
      </c>
      <c r="S15" s="65">
        <v>6</v>
      </c>
      <c r="T15" s="66"/>
      <c r="U15" s="67" t="s">
        <v>31</v>
      </c>
    </row>
    <row r="16" spans="1:22" s="45" customFormat="1" ht="13.5" customHeight="1">
      <c r="A16" s="60"/>
      <c r="B16" s="61" t="s">
        <v>32</v>
      </c>
      <c r="C16" s="60"/>
      <c r="D16" s="62"/>
      <c r="E16" s="63">
        <f t="shared" ref="E16:G25" si="3">SUM(H16,K16,N16,Q16)</f>
        <v>15844</v>
      </c>
      <c r="F16" s="63">
        <f t="shared" si="2"/>
        <v>8153</v>
      </c>
      <c r="G16" s="63">
        <f t="shared" si="2"/>
        <v>7691</v>
      </c>
      <c r="H16" s="63">
        <f t="shared" ref="H16:H17" si="4">SUM(I16:J16)</f>
        <v>15015</v>
      </c>
      <c r="I16" s="63">
        <f>2991+3020+1720</f>
        <v>7731</v>
      </c>
      <c r="J16" s="64">
        <f>2824+2877+1583</f>
        <v>7284</v>
      </c>
      <c r="K16" s="64">
        <f t="shared" ref="K16:K18" si="5">SUM(L16:M16)</f>
        <v>574</v>
      </c>
      <c r="L16" s="64">
        <v>294</v>
      </c>
      <c r="M16" s="64">
        <v>280</v>
      </c>
      <c r="N16" s="63">
        <f t="shared" ref="N16:N18" si="6">SUM(O16:P16)</f>
        <v>243</v>
      </c>
      <c r="O16" s="63">
        <f>50+36+36</f>
        <v>122</v>
      </c>
      <c r="P16" s="64">
        <f>46+40+35</f>
        <v>121</v>
      </c>
      <c r="Q16" s="63">
        <f t="shared" ref="Q16:Q18" si="7">SUM(R16:S16)</f>
        <v>12</v>
      </c>
      <c r="R16" s="63">
        <v>6</v>
      </c>
      <c r="S16" s="65">
        <v>6</v>
      </c>
      <c r="T16" s="66"/>
      <c r="U16" s="67" t="s">
        <v>33</v>
      </c>
    </row>
    <row r="17" spans="1:23" s="45" customFormat="1" ht="13.5" customHeight="1">
      <c r="A17" s="60"/>
      <c r="B17" s="61" t="s">
        <v>34</v>
      </c>
      <c r="C17" s="60"/>
      <c r="D17" s="62"/>
      <c r="E17" s="63">
        <f t="shared" si="3"/>
        <v>15990</v>
      </c>
      <c r="F17" s="63">
        <f t="shared" si="2"/>
        <v>8139</v>
      </c>
      <c r="G17" s="63">
        <f t="shared" si="2"/>
        <v>7851</v>
      </c>
      <c r="H17" s="63">
        <f t="shared" si="4"/>
        <v>15379</v>
      </c>
      <c r="I17" s="63">
        <f>2958+3150+1723</f>
        <v>7831</v>
      </c>
      <c r="J17" s="64">
        <f>2819+3051+1678</f>
        <v>7548</v>
      </c>
      <c r="K17" s="64">
        <f t="shared" si="5"/>
        <v>601</v>
      </c>
      <c r="L17" s="64">
        <v>304</v>
      </c>
      <c r="M17" s="64">
        <v>297</v>
      </c>
      <c r="N17" s="63" t="s">
        <v>35</v>
      </c>
      <c r="O17" s="63" t="s">
        <v>35</v>
      </c>
      <c r="P17" s="64" t="s">
        <v>35</v>
      </c>
      <c r="Q17" s="63">
        <f t="shared" si="7"/>
        <v>10</v>
      </c>
      <c r="R17" s="63">
        <v>4</v>
      </c>
      <c r="S17" s="64">
        <v>6</v>
      </c>
      <c r="T17" s="60"/>
      <c r="U17" s="68" t="s">
        <v>36</v>
      </c>
    </row>
    <row r="18" spans="1:23" s="45" customFormat="1" ht="13.5" customHeight="1">
      <c r="A18" s="60"/>
      <c r="B18" s="61" t="s">
        <v>37</v>
      </c>
      <c r="C18" s="60"/>
      <c r="D18" s="62"/>
      <c r="E18" s="63">
        <f t="shared" si="3"/>
        <v>381</v>
      </c>
      <c r="F18" s="63">
        <f t="shared" si="2"/>
        <v>187</v>
      </c>
      <c r="G18" s="63">
        <f t="shared" si="2"/>
        <v>194</v>
      </c>
      <c r="H18" s="63" t="s">
        <v>35</v>
      </c>
      <c r="I18" s="63" t="s">
        <v>35</v>
      </c>
      <c r="J18" s="64" t="s">
        <v>35</v>
      </c>
      <c r="K18" s="64">
        <f t="shared" si="5"/>
        <v>60</v>
      </c>
      <c r="L18" s="64">
        <v>28</v>
      </c>
      <c r="M18" s="64">
        <v>32</v>
      </c>
      <c r="N18" s="63">
        <f t="shared" si="6"/>
        <v>117</v>
      </c>
      <c r="O18" s="63">
        <f>58</f>
        <v>58</v>
      </c>
      <c r="P18" s="64">
        <f>59</f>
        <v>59</v>
      </c>
      <c r="Q18" s="63">
        <f t="shared" si="7"/>
        <v>204</v>
      </c>
      <c r="R18" s="63">
        <f>101</f>
        <v>101</v>
      </c>
      <c r="S18" s="64">
        <f>103</f>
        <v>103</v>
      </c>
      <c r="T18" s="60"/>
      <c r="U18" s="68" t="s">
        <v>38</v>
      </c>
    </row>
    <row r="19" spans="1:23" s="59" customFormat="1" ht="16.5" customHeight="1">
      <c r="A19" s="53" t="s">
        <v>39</v>
      </c>
      <c r="B19" s="69"/>
      <c r="C19" s="69"/>
      <c r="D19" s="70"/>
      <c r="E19" s="56">
        <f>SUM(E20:E25)</f>
        <v>96164</v>
      </c>
      <c r="F19" s="56">
        <f t="shared" ref="F19:S19" si="8">SUM(F20:F25)</f>
        <v>49635</v>
      </c>
      <c r="G19" s="56">
        <f t="shared" si="8"/>
        <v>46529</v>
      </c>
      <c r="H19" s="56">
        <f t="shared" si="8"/>
        <v>91804</v>
      </c>
      <c r="I19" s="56">
        <f t="shared" si="8"/>
        <v>47462</v>
      </c>
      <c r="J19" s="56">
        <f t="shared" si="8"/>
        <v>44342</v>
      </c>
      <c r="K19" s="57">
        <f>SUM(L19:M19)</f>
        <v>2310</v>
      </c>
      <c r="L19" s="57">
        <f>SUM(L20:L25)</f>
        <v>1149</v>
      </c>
      <c r="M19" s="57">
        <f>SUM(M20:M25)</f>
        <v>1161</v>
      </c>
      <c r="N19" s="56">
        <f t="shared" si="8"/>
        <v>1179</v>
      </c>
      <c r="O19" s="56">
        <f t="shared" si="8"/>
        <v>571</v>
      </c>
      <c r="P19" s="56">
        <f t="shared" si="8"/>
        <v>608</v>
      </c>
      <c r="Q19" s="56">
        <f t="shared" si="8"/>
        <v>871</v>
      </c>
      <c r="R19" s="56">
        <f t="shared" si="8"/>
        <v>453</v>
      </c>
      <c r="S19" s="56">
        <f t="shared" si="8"/>
        <v>418</v>
      </c>
      <c r="T19" s="53" t="s">
        <v>40</v>
      </c>
      <c r="U19" s="69"/>
      <c r="V19" s="58"/>
      <c r="W19" s="58"/>
    </row>
    <row r="20" spans="1:23" s="13" customFormat="1" ht="14.25" customHeight="1">
      <c r="B20" s="71" t="s">
        <v>41</v>
      </c>
      <c r="D20" s="17"/>
      <c r="E20" s="63">
        <f t="shared" si="3"/>
        <v>15639</v>
      </c>
      <c r="F20" s="63">
        <f t="shared" si="3"/>
        <v>8087</v>
      </c>
      <c r="G20" s="63">
        <f t="shared" si="3"/>
        <v>7552</v>
      </c>
      <c r="H20" s="72">
        <f>SUM(I20:J20)</f>
        <v>14845</v>
      </c>
      <c r="I20" s="72">
        <f>2892+3042+1750</f>
        <v>7684</v>
      </c>
      <c r="J20" s="73">
        <f>2743+2849+1569</f>
        <v>7161</v>
      </c>
      <c r="K20" s="64">
        <f>SUM(L20:M20)</f>
        <v>444</v>
      </c>
      <c r="L20" s="64">
        <v>228</v>
      </c>
      <c r="M20" s="64">
        <v>216</v>
      </c>
      <c r="N20" s="72">
        <f>SUM(O20:P20)</f>
        <v>213</v>
      </c>
      <c r="O20" s="72">
        <f>44+38+18</f>
        <v>100</v>
      </c>
      <c r="P20" s="73">
        <f>52+28+33</f>
        <v>113</v>
      </c>
      <c r="Q20" s="72">
        <f>SUM(R20:S20)</f>
        <v>137</v>
      </c>
      <c r="R20" s="72">
        <f>71+4</f>
        <v>75</v>
      </c>
      <c r="S20" s="73">
        <f>54+8</f>
        <v>62</v>
      </c>
      <c r="U20" s="74" t="s">
        <v>42</v>
      </c>
    </row>
    <row r="21" spans="1:23" s="75" customFormat="1" ht="14.25" customHeight="1">
      <c r="B21" s="71" t="s">
        <v>43</v>
      </c>
      <c r="D21" s="76"/>
      <c r="E21" s="63">
        <f t="shared" si="3"/>
        <v>16021</v>
      </c>
      <c r="F21" s="63">
        <f t="shared" si="3"/>
        <v>8206</v>
      </c>
      <c r="G21" s="63">
        <f t="shared" si="3"/>
        <v>7815</v>
      </c>
      <c r="H21" s="72">
        <f t="shared" ref="H21:H25" si="9">SUM(I21:J21)</f>
        <v>15237</v>
      </c>
      <c r="I21" s="72">
        <f>2897+3161+1767</f>
        <v>7825</v>
      </c>
      <c r="J21" s="73">
        <f>2849+2961+1602</f>
        <v>7412</v>
      </c>
      <c r="K21" s="64">
        <f t="shared" ref="K21:K25" si="10">SUM(L21:M21)</f>
        <v>424</v>
      </c>
      <c r="L21" s="64">
        <v>215</v>
      </c>
      <c r="M21" s="64">
        <v>209</v>
      </c>
      <c r="N21" s="72">
        <f t="shared" ref="N21:N25" si="11">SUM(O21:P21)</f>
        <v>223</v>
      </c>
      <c r="O21" s="72">
        <f>52+28+24</f>
        <v>104</v>
      </c>
      <c r="P21" s="73">
        <f>71+35+13</f>
        <v>119</v>
      </c>
      <c r="Q21" s="72">
        <f t="shared" ref="Q21:Q25" si="12">SUM(R21:S21)</f>
        <v>137</v>
      </c>
      <c r="R21" s="72">
        <f>59+3</f>
        <v>62</v>
      </c>
      <c r="S21" s="73">
        <f>72+3</f>
        <v>75</v>
      </c>
      <c r="U21" s="74" t="s">
        <v>44</v>
      </c>
    </row>
    <row r="22" spans="1:23" s="75" customFormat="1" ht="14.25" customHeight="1">
      <c r="A22" s="52"/>
      <c r="B22" s="71" t="s">
        <v>45</v>
      </c>
      <c r="D22" s="76"/>
      <c r="E22" s="63">
        <f t="shared" si="3"/>
        <v>15716</v>
      </c>
      <c r="F22" s="63">
        <f t="shared" si="3"/>
        <v>8108</v>
      </c>
      <c r="G22" s="63">
        <f t="shared" si="3"/>
        <v>7608</v>
      </c>
      <c r="H22" s="72">
        <f t="shared" si="9"/>
        <v>15009</v>
      </c>
      <c r="I22" s="72">
        <f>2792+3164+1788</f>
        <v>7744</v>
      </c>
      <c r="J22" s="73">
        <f>2693+2976+1596</f>
        <v>7265</v>
      </c>
      <c r="K22" s="64">
        <f t="shared" si="10"/>
        <v>384</v>
      </c>
      <c r="L22" s="64">
        <v>204</v>
      </c>
      <c r="M22" s="64">
        <v>180</v>
      </c>
      <c r="N22" s="72">
        <f t="shared" si="11"/>
        <v>180</v>
      </c>
      <c r="O22" s="72">
        <f>45+18+21</f>
        <v>84</v>
      </c>
      <c r="P22" s="73">
        <f>47+17+32</f>
        <v>96</v>
      </c>
      <c r="Q22" s="72">
        <f t="shared" si="12"/>
        <v>143</v>
      </c>
      <c r="R22" s="72">
        <f>70+6</f>
        <v>76</v>
      </c>
      <c r="S22" s="73">
        <f>63+4</f>
        <v>67</v>
      </c>
      <c r="U22" s="74" t="s">
        <v>46</v>
      </c>
    </row>
    <row r="23" spans="1:23" s="75" customFormat="1" ht="14.25" customHeight="1">
      <c r="B23" s="71" t="s">
        <v>47</v>
      </c>
      <c r="D23" s="76"/>
      <c r="E23" s="63">
        <f t="shared" si="3"/>
        <v>15886</v>
      </c>
      <c r="F23" s="63">
        <f t="shared" si="3"/>
        <v>8190</v>
      </c>
      <c r="G23" s="63">
        <f t="shared" si="3"/>
        <v>7696</v>
      </c>
      <c r="H23" s="72">
        <f t="shared" si="9"/>
        <v>15173</v>
      </c>
      <c r="I23" s="72">
        <f>2870+3244+1703</f>
        <v>7817</v>
      </c>
      <c r="J23" s="73">
        <f>2727+2995+1634</f>
        <v>7356</v>
      </c>
      <c r="K23" s="64">
        <f t="shared" si="10"/>
        <v>360</v>
      </c>
      <c r="L23" s="64">
        <v>179</v>
      </c>
      <c r="M23" s="64">
        <v>181</v>
      </c>
      <c r="N23" s="72">
        <f t="shared" si="11"/>
        <v>201</v>
      </c>
      <c r="O23" s="72">
        <f>54+28+27</f>
        <v>109</v>
      </c>
      <c r="P23" s="73">
        <f>50+17+25</f>
        <v>92</v>
      </c>
      <c r="Q23" s="72">
        <f t="shared" si="12"/>
        <v>152</v>
      </c>
      <c r="R23" s="72">
        <f>77+8</f>
        <v>85</v>
      </c>
      <c r="S23" s="73">
        <f>64+3</f>
        <v>67</v>
      </c>
      <c r="U23" s="74" t="s">
        <v>48</v>
      </c>
    </row>
    <row r="24" spans="1:23" s="75" customFormat="1" ht="14.25" customHeight="1">
      <c r="B24" s="71" t="s">
        <v>49</v>
      </c>
      <c r="D24" s="76"/>
      <c r="E24" s="63">
        <f t="shared" si="3"/>
        <v>16340</v>
      </c>
      <c r="F24" s="63">
        <f t="shared" si="3"/>
        <v>8445</v>
      </c>
      <c r="G24" s="63">
        <f t="shared" si="3"/>
        <v>7895</v>
      </c>
      <c r="H24" s="72">
        <f t="shared" si="9"/>
        <v>15602</v>
      </c>
      <c r="I24" s="72">
        <f>2820+3457+1789</f>
        <v>8066</v>
      </c>
      <c r="J24" s="73">
        <f>2691+3175+1670</f>
        <v>7536</v>
      </c>
      <c r="K24" s="64">
        <f t="shared" si="10"/>
        <v>381</v>
      </c>
      <c r="L24" s="64">
        <v>189</v>
      </c>
      <c r="M24" s="64">
        <v>192</v>
      </c>
      <c r="N24" s="72">
        <f t="shared" si="11"/>
        <v>201</v>
      </c>
      <c r="O24" s="72">
        <f>55+23+29</f>
        <v>107</v>
      </c>
      <c r="P24" s="73">
        <f>46+27+21</f>
        <v>94</v>
      </c>
      <c r="Q24" s="72">
        <f t="shared" si="12"/>
        <v>156</v>
      </c>
      <c r="R24" s="72">
        <f>77+6</f>
        <v>83</v>
      </c>
      <c r="S24" s="73">
        <f>65+8</f>
        <v>73</v>
      </c>
      <c r="U24" s="74" t="s">
        <v>50</v>
      </c>
    </row>
    <row r="25" spans="1:23" s="75" customFormat="1" ht="14.25" customHeight="1">
      <c r="B25" s="71" t="s">
        <v>51</v>
      </c>
      <c r="D25" s="76"/>
      <c r="E25" s="63">
        <f t="shared" si="3"/>
        <v>16562</v>
      </c>
      <c r="F25" s="63">
        <f t="shared" si="3"/>
        <v>8599</v>
      </c>
      <c r="G25" s="63">
        <f t="shared" si="3"/>
        <v>7963</v>
      </c>
      <c r="H25" s="72">
        <f t="shared" si="9"/>
        <v>15938</v>
      </c>
      <c r="I25" s="72">
        <f>2968+3472+1886</f>
        <v>8326</v>
      </c>
      <c r="J25" s="73">
        <f>2767+3166+1679</f>
        <v>7612</v>
      </c>
      <c r="K25" s="64">
        <f t="shared" si="10"/>
        <v>317</v>
      </c>
      <c r="L25" s="64">
        <v>134</v>
      </c>
      <c r="M25" s="64">
        <v>183</v>
      </c>
      <c r="N25" s="72">
        <f t="shared" si="11"/>
        <v>161</v>
      </c>
      <c r="O25" s="72">
        <f>29+20+18</f>
        <v>67</v>
      </c>
      <c r="P25" s="73">
        <f>55+16+23</f>
        <v>94</v>
      </c>
      <c r="Q25" s="72">
        <f t="shared" si="12"/>
        <v>146</v>
      </c>
      <c r="R25" s="72">
        <f>61+11</f>
        <v>72</v>
      </c>
      <c r="S25" s="73">
        <f>62+12</f>
        <v>74</v>
      </c>
      <c r="U25" s="74" t="s">
        <v>52</v>
      </c>
    </row>
    <row r="26" spans="1:23" s="79" customFormat="1" ht="17.25" customHeight="1">
      <c r="A26" s="53" t="s">
        <v>53</v>
      </c>
      <c r="B26" s="69"/>
      <c r="C26" s="77"/>
      <c r="D26" s="78"/>
      <c r="E26" s="56">
        <f>SUM(E27:E29)</f>
        <v>46839</v>
      </c>
      <c r="F26" s="56">
        <f t="shared" ref="F26:S26" si="13">SUM(F27:F29)</f>
        <v>23801</v>
      </c>
      <c r="G26" s="56">
        <f t="shared" si="13"/>
        <v>23038</v>
      </c>
      <c r="H26" s="56">
        <f t="shared" si="13"/>
        <v>46311</v>
      </c>
      <c r="I26" s="56">
        <f t="shared" si="13"/>
        <v>23526</v>
      </c>
      <c r="J26" s="56">
        <f>SUM(J27:J29)</f>
        <v>22785</v>
      </c>
      <c r="K26" s="57">
        <f>SUM(L26:M26)</f>
        <v>485</v>
      </c>
      <c r="L26" s="57">
        <f>SUM(L27:L29)</f>
        <v>253</v>
      </c>
      <c r="M26" s="57">
        <f>SUM(M27:M29)</f>
        <v>232</v>
      </c>
      <c r="N26" s="56" t="s">
        <v>35</v>
      </c>
      <c r="O26" s="56" t="s">
        <v>35</v>
      </c>
      <c r="P26" s="56" t="s">
        <v>35</v>
      </c>
      <c r="Q26" s="56">
        <f t="shared" si="13"/>
        <v>43</v>
      </c>
      <c r="R26" s="56">
        <f t="shared" si="13"/>
        <v>22</v>
      </c>
      <c r="S26" s="56">
        <f t="shared" si="13"/>
        <v>21</v>
      </c>
      <c r="T26" s="53" t="s">
        <v>54</v>
      </c>
      <c r="U26" s="54"/>
      <c r="V26" s="58"/>
    </row>
    <row r="27" spans="1:23" s="75" customFormat="1" ht="15.75" customHeight="1">
      <c r="B27" s="71" t="s">
        <v>55</v>
      </c>
      <c r="D27" s="76"/>
      <c r="E27" s="72">
        <f>SUM(H27,K27,N27,Q27)</f>
        <v>16210</v>
      </c>
      <c r="F27" s="72">
        <f t="shared" ref="F27:G29" si="14">SUM(I27,L27,O27,R27)</f>
        <v>8317</v>
      </c>
      <c r="G27" s="72">
        <f t="shared" si="14"/>
        <v>7893</v>
      </c>
      <c r="H27" s="72">
        <f>SUM(I27:J27)</f>
        <v>15995</v>
      </c>
      <c r="I27" s="72">
        <f>4842+1342+1264+754</f>
        <v>8202</v>
      </c>
      <c r="J27" s="73">
        <f>5193+1086+956+558</f>
        <v>7793</v>
      </c>
      <c r="K27" s="64">
        <f>SUM(L27:M27)</f>
        <v>201</v>
      </c>
      <c r="L27" s="64">
        <v>108</v>
      </c>
      <c r="M27" s="64">
        <v>93</v>
      </c>
      <c r="N27" s="72" t="s">
        <v>35</v>
      </c>
      <c r="O27" s="72" t="s">
        <v>35</v>
      </c>
      <c r="P27" s="72" t="s">
        <v>35</v>
      </c>
      <c r="Q27" s="72">
        <f>SUM(R27:S27)</f>
        <v>14</v>
      </c>
      <c r="R27" s="72">
        <v>7</v>
      </c>
      <c r="S27" s="73">
        <v>7</v>
      </c>
      <c r="U27" s="74" t="s">
        <v>56</v>
      </c>
    </row>
    <row r="28" spans="1:23" s="75" customFormat="1" ht="15.75" customHeight="1">
      <c r="B28" s="71" t="s">
        <v>57</v>
      </c>
      <c r="D28" s="76"/>
      <c r="E28" s="72">
        <f t="shared" ref="E28:E29" si="15">SUM(H28,K28,N28,Q28)</f>
        <v>15166</v>
      </c>
      <c r="F28" s="72">
        <f t="shared" si="14"/>
        <v>7745</v>
      </c>
      <c r="G28" s="72">
        <f t="shared" si="14"/>
        <v>7421</v>
      </c>
      <c r="H28" s="72">
        <f t="shared" ref="H28:H29" si="16">SUM(I28:J28)</f>
        <v>14982</v>
      </c>
      <c r="I28" s="72">
        <f>4611+1199+1142+689</f>
        <v>7641</v>
      </c>
      <c r="J28" s="73">
        <f>4876+991+949+525</f>
        <v>7341</v>
      </c>
      <c r="K28" s="64">
        <f t="shared" ref="K28:K29" si="17">SUM(L28:M28)</f>
        <v>165</v>
      </c>
      <c r="L28" s="64">
        <v>95</v>
      </c>
      <c r="M28" s="64">
        <v>70</v>
      </c>
      <c r="N28" s="72" t="s">
        <v>35</v>
      </c>
      <c r="O28" s="72" t="s">
        <v>35</v>
      </c>
      <c r="P28" s="72" t="s">
        <v>35</v>
      </c>
      <c r="Q28" s="72">
        <f t="shared" ref="Q28:Q29" si="18">SUM(R28:S28)</f>
        <v>19</v>
      </c>
      <c r="R28" s="72">
        <v>9</v>
      </c>
      <c r="S28" s="73">
        <v>10</v>
      </c>
      <c r="U28" s="74" t="s">
        <v>58</v>
      </c>
    </row>
    <row r="29" spans="1:23" s="75" customFormat="1" ht="15.75" customHeight="1">
      <c r="B29" s="71" t="s">
        <v>59</v>
      </c>
      <c r="D29" s="76"/>
      <c r="E29" s="72">
        <f t="shared" si="15"/>
        <v>15463</v>
      </c>
      <c r="F29" s="72">
        <f t="shared" si="14"/>
        <v>7739</v>
      </c>
      <c r="G29" s="72">
        <f t="shared" si="14"/>
        <v>7724</v>
      </c>
      <c r="H29" s="72">
        <f t="shared" si="16"/>
        <v>15334</v>
      </c>
      <c r="I29" s="72">
        <f>4620+1168+1153+742</f>
        <v>7683</v>
      </c>
      <c r="J29" s="73">
        <f>5092+1035+929+595</f>
        <v>7651</v>
      </c>
      <c r="K29" s="64">
        <f t="shared" si="17"/>
        <v>119</v>
      </c>
      <c r="L29" s="64">
        <v>50</v>
      </c>
      <c r="M29" s="64">
        <v>69</v>
      </c>
      <c r="N29" s="72" t="s">
        <v>35</v>
      </c>
      <c r="O29" s="72" t="s">
        <v>35</v>
      </c>
      <c r="P29" s="72" t="s">
        <v>35</v>
      </c>
      <c r="Q29" s="72">
        <f t="shared" si="18"/>
        <v>10</v>
      </c>
      <c r="R29" s="72">
        <v>6</v>
      </c>
      <c r="S29" s="73">
        <v>4</v>
      </c>
      <c r="U29" s="74" t="s">
        <v>60</v>
      </c>
    </row>
    <row r="30" spans="1:23" s="81" customFormat="1" ht="16.5" customHeight="1">
      <c r="A30" s="80" t="s">
        <v>61</v>
      </c>
      <c r="B30" s="52"/>
      <c r="D30" s="82"/>
      <c r="E30" s="48">
        <f>SUM(E31:E33)</f>
        <v>23744</v>
      </c>
      <c r="F30" s="48">
        <f t="shared" ref="F30:S30" si="19">SUM(F31:F33)</f>
        <v>9078</v>
      </c>
      <c r="G30" s="48">
        <f t="shared" si="19"/>
        <v>14666</v>
      </c>
      <c r="H30" s="48">
        <f t="shared" si="19"/>
        <v>23562</v>
      </c>
      <c r="I30" s="48">
        <f t="shared" si="19"/>
        <v>9009</v>
      </c>
      <c r="J30" s="48">
        <f t="shared" si="19"/>
        <v>14553</v>
      </c>
      <c r="K30" s="57">
        <f>SUM(L30:M30)</f>
        <v>129</v>
      </c>
      <c r="L30" s="57">
        <f>SUM(L31:L33)</f>
        <v>40</v>
      </c>
      <c r="M30" s="57">
        <f>SUM(M31:M33)</f>
        <v>89</v>
      </c>
      <c r="N30" s="48" t="s">
        <v>35</v>
      </c>
      <c r="O30" s="48" t="s">
        <v>35</v>
      </c>
      <c r="P30" s="48" t="s">
        <v>35</v>
      </c>
      <c r="Q30" s="48">
        <f t="shared" si="19"/>
        <v>53</v>
      </c>
      <c r="R30" s="48">
        <f t="shared" si="19"/>
        <v>29</v>
      </c>
      <c r="S30" s="48">
        <f t="shared" si="19"/>
        <v>24</v>
      </c>
      <c r="T30" s="80" t="s">
        <v>62</v>
      </c>
      <c r="U30" s="80"/>
      <c r="V30" s="51"/>
    </row>
    <row r="31" spans="1:23" s="75" customFormat="1" ht="15.75" customHeight="1">
      <c r="B31" s="71" t="s">
        <v>63</v>
      </c>
      <c r="D31" s="76"/>
      <c r="E31" s="72">
        <f>SUM(H31,K31,N31,Q31)</f>
        <v>8199</v>
      </c>
      <c r="F31" s="72">
        <f t="shared" ref="F31:G33" si="20">SUM(I31,L31,O31,R31)</f>
        <v>3183</v>
      </c>
      <c r="G31" s="72">
        <f t="shared" si="20"/>
        <v>5016</v>
      </c>
      <c r="H31" s="72">
        <f>SUM(I31:J31)</f>
        <v>8133</v>
      </c>
      <c r="I31" s="72">
        <f>3019+102+18+17</f>
        <v>3156</v>
      </c>
      <c r="J31" s="73">
        <f>4858+60+36+23</f>
        <v>4977</v>
      </c>
      <c r="K31" s="64">
        <f>SUM(L31:M31)</f>
        <v>48</v>
      </c>
      <c r="L31" s="64">
        <v>17</v>
      </c>
      <c r="M31" s="64">
        <v>31</v>
      </c>
      <c r="N31" s="72" t="s">
        <v>35</v>
      </c>
      <c r="O31" s="72" t="s">
        <v>35</v>
      </c>
      <c r="P31" s="72" t="s">
        <v>35</v>
      </c>
      <c r="Q31" s="72">
        <f>SUM(R31:S31)</f>
        <v>18</v>
      </c>
      <c r="R31" s="72">
        <v>10</v>
      </c>
      <c r="S31" s="73">
        <v>8</v>
      </c>
      <c r="U31" s="74" t="s">
        <v>64</v>
      </c>
    </row>
    <row r="32" spans="1:23" s="75" customFormat="1" ht="15.75" customHeight="1">
      <c r="B32" s="71" t="s">
        <v>65</v>
      </c>
      <c r="D32" s="76"/>
      <c r="E32" s="72">
        <f t="shared" ref="E32:E33" si="21">SUM(H32,K32,N32,Q32)</f>
        <v>7813</v>
      </c>
      <c r="F32" s="72">
        <f t="shared" si="20"/>
        <v>2948</v>
      </c>
      <c r="G32" s="72">
        <f t="shared" si="20"/>
        <v>4865</v>
      </c>
      <c r="H32" s="72">
        <f t="shared" ref="H32:H33" si="22">SUM(I32:J32)</f>
        <v>7753</v>
      </c>
      <c r="I32" s="72">
        <f>2756+99+32+35</f>
        <v>2922</v>
      </c>
      <c r="J32" s="73">
        <f>4701+59+39+32</f>
        <v>4831</v>
      </c>
      <c r="K32" s="64">
        <f t="shared" ref="K32:K33" si="23">SUM(L32:M32)</f>
        <v>44</v>
      </c>
      <c r="L32" s="64">
        <v>15</v>
      </c>
      <c r="M32" s="64">
        <v>29</v>
      </c>
      <c r="N32" s="72" t="s">
        <v>35</v>
      </c>
      <c r="O32" s="72" t="s">
        <v>35</v>
      </c>
      <c r="P32" s="72" t="s">
        <v>35</v>
      </c>
      <c r="Q32" s="72">
        <f t="shared" ref="Q32:Q33" si="24">SUM(R32:S32)</f>
        <v>16</v>
      </c>
      <c r="R32" s="72">
        <v>11</v>
      </c>
      <c r="S32" s="73">
        <v>5</v>
      </c>
      <c r="U32" s="74" t="s">
        <v>66</v>
      </c>
    </row>
    <row r="33" spans="1:21" s="75" customFormat="1" ht="15.75" customHeight="1">
      <c r="B33" s="71" t="s">
        <v>67</v>
      </c>
      <c r="D33" s="76"/>
      <c r="E33" s="72">
        <f t="shared" si="21"/>
        <v>7732</v>
      </c>
      <c r="F33" s="72">
        <f t="shared" si="20"/>
        <v>2947</v>
      </c>
      <c r="G33" s="72">
        <f t="shared" si="20"/>
        <v>4785</v>
      </c>
      <c r="H33" s="72">
        <f t="shared" si="22"/>
        <v>7676</v>
      </c>
      <c r="I33" s="72">
        <f>2760+101+23+47</f>
        <v>2931</v>
      </c>
      <c r="J33" s="73">
        <f>4641+44+24+36</f>
        <v>4745</v>
      </c>
      <c r="K33" s="64">
        <f t="shared" si="23"/>
        <v>37</v>
      </c>
      <c r="L33" s="64">
        <v>8</v>
      </c>
      <c r="M33" s="64">
        <v>29</v>
      </c>
      <c r="N33" s="72" t="s">
        <v>35</v>
      </c>
      <c r="O33" s="72" t="s">
        <v>35</v>
      </c>
      <c r="P33" s="72" t="s">
        <v>35</v>
      </c>
      <c r="Q33" s="72">
        <f t="shared" si="24"/>
        <v>19</v>
      </c>
      <c r="R33" s="72">
        <v>8</v>
      </c>
      <c r="S33" s="73">
        <v>11</v>
      </c>
      <c r="U33" s="74" t="s">
        <v>68</v>
      </c>
    </row>
    <row r="34" spans="1:21" ht="3" customHeight="1">
      <c r="A34" s="83"/>
      <c r="B34" s="83"/>
      <c r="C34" s="83"/>
      <c r="D34" s="83"/>
      <c r="E34" s="84"/>
      <c r="F34" s="85"/>
      <c r="G34" s="85"/>
      <c r="H34" s="84"/>
      <c r="I34" s="84"/>
      <c r="J34" s="85"/>
      <c r="K34" s="86"/>
      <c r="L34" s="86"/>
      <c r="M34" s="87"/>
      <c r="N34" s="84"/>
      <c r="O34" s="84"/>
      <c r="P34" s="85"/>
      <c r="Q34" s="84"/>
      <c r="R34" s="84"/>
      <c r="S34" s="85"/>
      <c r="T34" s="83"/>
      <c r="U34" s="83"/>
    </row>
    <row r="35" spans="1:21" ht="3" customHeight="1"/>
    <row r="36" spans="1:21" s="88" customFormat="1" ht="15.75">
      <c r="A36" s="45"/>
      <c r="B36" s="88" t="s">
        <v>69</v>
      </c>
      <c r="C36" s="89"/>
      <c r="D36" s="45"/>
      <c r="E36" s="45"/>
      <c r="F36" s="45"/>
      <c r="J36" s="45"/>
      <c r="K36" s="90" t="s">
        <v>70</v>
      </c>
    </row>
    <row r="37" spans="1:21" s="88" customFormat="1" ht="18.75" customHeight="1">
      <c r="A37" s="45"/>
      <c r="C37" s="45" t="s">
        <v>71</v>
      </c>
      <c r="D37" s="45"/>
      <c r="E37" s="45"/>
      <c r="F37" s="45"/>
      <c r="J37" s="45"/>
      <c r="K37" s="90" t="s">
        <v>72</v>
      </c>
    </row>
    <row r="38" spans="1:21" s="88" customFormat="1" ht="15.75">
      <c r="B38" s="88" t="s">
        <v>73</v>
      </c>
      <c r="K38" s="88" t="s">
        <v>74</v>
      </c>
    </row>
    <row r="39" spans="1:21" s="88" customFormat="1" ht="15.75">
      <c r="B39" s="88" t="s">
        <v>75</v>
      </c>
      <c r="K39" s="88" t="s">
        <v>76</v>
      </c>
    </row>
    <row r="40" spans="1:21" s="88" customFormat="1" ht="15.75">
      <c r="B40" s="88" t="s">
        <v>77</v>
      </c>
      <c r="K40" s="88" t="s">
        <v>78</v>
      </c>
    </row>
    <row r="41" spans="1:21" s="91" customFormat="1" ht="15.75">
      <c r="B41" s="91" t="s">
        <v>79</v>
      </c>
      <c r="E41" s="92"/>
      <c r="F41" s="92"/>
      <c r="K41" s="91" t="s">
        <v>80</v>
      </c>
    </row>
  </sheetData>
  <mergeCells count="25">
    <mergeCell ref="E9:G9"/>
    <mergeCell ref="H9:J9"/>
    <mergeCell ref="K9:M9"/>
    <mergeCell ref="N9:P9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K5:M5"/>
    <mergeCell ref="E6:G6"/>
    <mergeCell ref="H6:J6"/>
    <mergeCell ref="K6:M6"/>
    <mergeCell ref="N6:P6"/>
    <mergeCell ref="Q6:S6"/>
    <mergeCell ref="E7:G7"/>
  </mergeCells>
  <pageMargins left="0.55118110236220497" right="0.35433070866141703" top="0.53740157499999996" bottom="0" header="0.511811023622047" footer="0.43307086614173201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T-3.6</vt:lpstr>
      <vt:lpstr>'T-3.6'!Print_Area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2018-10-30T08:19:08Z</dcterms:created>
  <dcterms:modified xsi:type="dcterms:W3CDTF">2018-10-30T08:19:14Z</dcterms:modified>
</cp:coreProperties>
</file>