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6" sheetId="32" r:id="rId1"/>
  </sheets>
  <definedNames>
    <definedName name="_xlnm.Print_Area" localSheetId="0">'T-3.6'!$A$1:$W$29</definedName>
  </definedNames>
  <calcPr calcId="125725"/>
</workbook>
</file>

<file path=xl/calcChain.xml><?xml version="1.0" encoding="utf-8"?>
<calcChain xmlns="http://schemas.openxmlformats.org/spreadsheetml/2006/main">
  <c r="S33" i="32"/>
  <c r="R33"/>
  <c r="Q33"/>
  <c r="P33"/>
  <c r="G33" s="1"/>
  <c r="O33"/>
  <c r="N33" s="1"/>
  <c r="M33"/>
  <c r="L33"/>
  <c r="F33" s="1"/>
  <c r="K33"/>
  <c r="J33"/>
  <c r="I33"/>
  <c r="H33"/>
  <c r="S32"/>
  <c r="R32"/>
  <c r="Q32"/>
  <c r="P32"/>
  <c r="O32"/>
  <c r="O30" s="1"/>
  <c r="M32"/>
  <c r="L32"/>
  <c r="K32"/>
  <c r="J32"/>
  <c r="I32"/>
  <c r="H32"/>
  <c r="G32"/>
  <c r="S31"/>
  <c r="R31"/>
  <c r="Q31"/>
  <c r="P31"/>
  <c r="O31"/>
  <c r="N31"/>
  <c r="M31"/>
  <c r="L31"/>
  <c r="K31"/>
  <c r="J31"/>
  <c r="G31" s="1"/>
  <c r="I31"/>
  <c r="H31"/>
  <c r="F31"/>
  <c r="S30"/>
  <c r="R30"/>
  <c r="Q30"/>
  <c r="M30"/>
  <c r="L30"/>
  <c r="K30"/>
  <c r="J30"/>
  <c r="I30"/>
  <c r="H30"/>
  <c r="G30" l="1"/>
  <c r="E32"/>
  <c r="E33"/>
  <c r="P30"/>
  <c r="E31"/>
  <c r="F32"/>
  <c r="F30" s="1"/>
  <c r="N32"/>
  <c r="N30" s="1"/>
  <c r="E30" l="1"/>
  <c r="Q14" l="1"/>
  <c r="R14"/>
  <c r="S14"/>
  <c r="Q15"/>
  <c r="R15"/>
  <c r="S15"/>
  <c r="Q16"/>
  <c r="R16"/>
  <c r="S16"/>
  <c r="Q17"/>
  <c r="R17"/>
  <c r="S17"/>
  <c r="Q18"/>
  <c r="R18"/>
  <c r="S18"/>
  <c r="Q19"/>
  <c r="R19"/>
  <c r="S19"/>
  <c r="Q20"/>
  <c r="R20"/>
  <c r="S20"/>
  <c r="Q21"/>
  <c r="R21"/>
  <c r="S21"/>
  <c r="Q22"/>
  <c r="R22"/>
  <c r="S22"/>
  <c r="Q23"/>
  <c r="R23"/>
  <c r="S23"/>
  <c r="Q24"/>
  <c r="R24"/>
  <c r="S24"/>
  <c r="Q25"/>
  <c r="R25"/>
  <c r="S25"/>
  <c r="Q26"/>
  <c r="R26"/>
  <c r="S26"/>
  <c r="Q27"/>
  <c r="R27"/>
  <c r="S27"/>
  <c r="Q28"/>
  <c r="R28"/>
  <c r="S28"/>
  <c r="Q29"/>
  <c r="R29"/>
  <c r="S29"/>
  <c r="I18"/>
  <c r="J18"/>
  <c r="H18"/>
  <c r="J17"/>
  <c r="I17"/>
  <c r="P29" l="1"/>
  <c r="O29"/>
  <c r="N29" s="1"/>
  <c r="M29"/>
  <c r="G29" s="1"/>
  <c r="L29"/>
  <c r="K29" s="1"/>
  <c r="J29"/>
  <c r="I29"/>
  <c r="H29" s="1"/>
  <c r="P28"/>
  <c r="O28"/>
  <c r="N28"/>
  <c r="M28"/>
  <c r="L28"/>
  <c r="K28" s="1"/>
  <c r="J28"/>
  <c r="G28" s="1"/>
  <c r="I28"/>
  <c r="H28" s="1"/>
  <c r="P27"/>
  <c r="O27"/>
  <c r="O26" s="1"/>
  <c r="N27"/>
  <c r="N26" s="1"/>
  <c r="M27"/>
  <c r="L27"/>
  <c r="K27"/>
  <c r="K26" s="1"/>
  <c r="J27"/>
  <c r="I27"/>
  <c r="I26" s="1"/>
  <c r="G27"/>
  <c r="F27"/>
  <c r="P26"/>
  <c r="M26"/>
  <c r="P25"/>
  <c r="O25"/>
  <c r="N25" s="1"/>
  <c r="M25"/>
  <c r="L25"/>
  <c r="K25"/>
  <c r="J25"/>
  <c r="G25" s="1"/>
  <c r="I25"/>
  <c r="H25" s="1"/>
  <c r="E25" s="1"/>
  <c r="P24"/>
  <c r="O24"/>
  <c r="N24" s="1"/>
  <c r="M24"/>
  <c r="L24"/>
  <c r="F24" s="1"/>
  <c r="J24"/>
  <c r="I24"/>
  <c r="H24"/>
  <c r="G24"/>
  <c r="P23"/>
  <c r="O23"/>
  <c r="N23" s="1"/>
  <c r="M23"/>
  <c r="G23" s="1"/>
  <c r="L23"/>
  <c r="K23" s="1"/>
  <c r="J23"/>
  <c r="I23"/>
  <c r="H23" s="1"/>
  <c r="P22"/>
  <c r="O22"/>
  <c r="N22"/>
  <c r="M22"/>
  <c r="L22"/>
  <c r="K22" s="1"/>
  <c r="J22"/>
  <c r="G22" s="1"/>
  <c r="I22"/>
  <c r="H22" s="1"/>
  <c r="P21"/>
  <c r="O21"/>
  <c r="O19" s="1"/>
  <c r="N21"/>
  <c r="M21"/>
  <c r="L21"/>
  <c r="K21"/>
  <c r="J21"/>
  <c r="I21"/>
  <c r="H21" s="1"/>
  <c r="E21" s="1"/>
  <c r="G21"/>
  <c r="F21"/>
  <c r="P20"/>
  <c r="P19" s="1"/>
  <c r="O20"/>
  <c r="M20"/>
  <c r="L20"/>
  <c r="F20" s="1"/>
  <c r="K20"/>
  <c r="J20"/>
  <c r="G20" s="1"/>
  <c r="I20"/>
  <c r="H20"/>
  <c r="J19"/>
  <c r="P18"/>
  <c r="G18" s="1"/>
  <c r="O18"/>
  <c r="N18" s="1"/>
  <c r="M18"/>
  <c r="L18"/>
  <c r="K18" s="1"/>
  <c r="E18" s="1"/>
  <c r="P17"/>
  <c r="O17"/>
  <c r="N17" s="1"/>
  <c r="M17"/>
  <c r="L17"/>
  <c r="K17"/>
  <c r="J14"/>
  <c r="H17"/>
  <c r="P16"/>
  <c r="P14" s="1"/>
  <c r="O16"/>
  <c r="N16" s="1"/>
  <c r="M16"/>
  <c r="L16"/>
  <c r="F16" s="1"/>
  <c r="J16"/>
  <c r="I16"/>
  <c r="H16"/>
  <c r="G16"/>
  <c r="P15"/>
  <c r="O15"/>
  <c r="O14" s="1"/>
  <c r="M15"/>
  <c r="G15" s="1"/>
  <c r="L15"/>
  <c r="K15" s="1"/>
  <c r="J15"/>
  <c r="I15"/>
  <c r="I14" s="1"/>
  <c r="E17" l="1"/>
  <c r="H19"/>
  <c r="E28"/>
  <c r="E29"/>
  <c r="E22"/>
  <c r="E23"/>
  <c r="L14"/>
  <c r="F14" s="1"/>
  <c r="F18"/>
  <c r="M14"/>
  <c r="F15"/>
  <c r="N15"/>
  <c r="N14" s="1"/>
  <c r="L19"/>
  <c r="F23"/>
  <c r="H27"/>
  <c r="F29"/>
  <c r="M19"/>
  <c r="G19" s="1"/>
  <c r="N20"/>
  <c r="N19" s="1"/>
  <c r="H15"/>
  <c r="K16"/>
  <c r="E16" s="1"/>
  <c r="F17"/>
  <c r="K24"/>
  <c r="K19" s="1"/>
  <c r="F25"/>
  <c r="G17"/>
  <c r="F22"/>
  <c r="J26"/>
  <c r="G26" s="1"/>
  <c r="F28"/>
  <c r="I19"/>
  <c r="F19" s="1"/>
  <c r="L26"/>
  <c r="F26" s="1"/>
  <c r="E19" l="1"/>
  <c r="K14"/>
  <c r="G14"/>
  <c r="H14"/>
  <c r="E15"/>
  <c r="E27"/>
  <c r="H26"/>
  <c r="E26" s="1"/>
  <c r="E20"/>
  <c r="E24"/>
  <c r="E14" l="1"/>
</calcChain>
</file>

<file path=xl/sharedStrings.xml><?xml version="1.0" encoding="utf-8"?>
<sst xmlns="http://schemas.openxmlformats.org/spreadsheetml/2006/main" count="104" uniqueCount="76">
  <si>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</si>
  <si>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</si>
  <si>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</si>
  <si>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</si>
  <si>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</si>
  <si>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</si>
  <si>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</si>
  <si>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</si>
  <si>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</si>
  <si>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</si>
  <si>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</si>
  <si>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</si>
  <si>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</si>
  <si>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</si>
  <si>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</si>
  <si>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</si>
  <si>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</si>
  <si>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</si>
  <si>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</si>
  <si>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</si>
  <si>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</si>
  <si>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</si>
  <si>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</si>
  <si>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</si>
  <si>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</si>
  <si>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</si>
  <si>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</si>
  <si>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Pre- primary</t>
  </si>
  <si>
    <t>Pratom 1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</si>
  <si>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</si>
  <si>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</si>
  <si>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</si>
  <si>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</si>
  <si>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</si>
  <si>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</si>
  <si>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</si>
  <si>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</si>
  <si>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</si>
  <si>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</si>
  <si>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</si>
  <si>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</si>
  <si>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</si>
  <si>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</si>
  <si>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</si>
  <si>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</si>
  <si>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</si>
  <si>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</si>
  <si>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</si>
  <si>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</si>
  <si>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</si>
  <si>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</si>
  <si>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</si>
  <si>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</si>
  <si>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</si>
  <si>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</si>
  <si>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</si>
  <si>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</si>
  <si>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</si>
  <si>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</si>
  <si>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</si>
  <si>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</si>
  <si>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</si>
  <si>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</si>
  <si>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3. Department of Local Administration</t>
  </si>
  <si>
    <t>ที่มา</t>
  </si>
  <si>
    <t>Source</t>
  </si>
  <si>
    <t xml:space="preserve">   3. กรมส่งเสริมการปกครองท้องถิ่น</t>
  </si>
  <si>
    <t>:  1. Sukhothai Primary Educational Service Area Office, Area 1,2</t>
  </si>
  <si>
    <t>:  1. สำนักงานเขตพื้นที่การศึกษาประถมศึกษา จังหวัดสุโขทัย เขต 1 และ 2</t>
  </si>
  <si>
    <t xml:space="preserve">   2. Sukhothai Secondary Educational Service Area Office, Area 38</t>
  </si>
  <si>
    <t xml:space="preserve">   2. สำนักงานเขตพื้นที่การศึกษามัธยมศึกษาเขต38 (จังหวัดสุโขทัย)</t>
  </si>
  <si>
    <t>ประถม 2</t>
  </si>
  <si>
    <t>Pratom 2</t>
  </si>
  <si>
    <t xml:space="preserve">อื่น ๆ </t>
  </si>
  <si>
    <t>นักเรียน จำแนกตามสังกัด เพศ และชั้นเรียน ปีการศึกษา 2560</t>
  </si>
  <si>
    <t>Student by Jurisdiction, Sex and Grade: Academic Year 2017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</si>
</sst>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_);_(* \(#,##0\);_(* &quot;-&quot;_);_(@_)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3" xfId="0" applyFont="1" applyBorder="1"/>
    <xf numFmtId="0" fontId="8" fillId="0" borderId="8" xfId="0" applyFont="1" applyBorder="1"/>
    <xf numFmtId="0" fontId="9" fillId="0" borderId="0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4" fillId="0" borderId="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0" xfId="0" applyFont="1" applyBorder="1"/>
    <xf numFmtId="188" fontId="4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4" fillId="0" borderId="0" xfId="0" applyFont="1" applyBorder="1" applyAlignment="1"/>
    <xf numFmtId="0" fontId="8" fillId="0" borderId="8" xfId="0" applyFont="1" applyBorder="1" applyAlignment="1">
      <alignment vertical="top"/>
    </xf>
    <xf numFmtId="187" fontId="8" fillId="0" borderId="0" xfId="1" applyNumberFormat="1" applyFont="1" applyBorder="1" applyAlignment="1">
      <alignment horizontal="right" indent="1"/>
    </xf>
    <xf numFmtId="187" fontId="9" fillId="0" borderId="0" xfId="1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3" fontId="8" fillId="0" borderId="7" xfId="1" applyNumberFormat="1" applyFont="1" applyBorder="1" applyAlignment="1">
      <alignment horizontal="right" indent="1"/>
    </xf>
    <xf numFmtId="3" fontId="8" fillId="0" borderId="8" xfId="1" applyNumberFormat="1" applyFont="1" applyBorder="1" applyAlignment="1">
      <alignment horizontal="right" indent="1"/>
    </xf>
    <xf numFmtId="187" fontId="8" fillId="0" borderId="0" xfId="1" applyNumberFormat="1" applyFont="1" applyBorder="1" applyAlignment="1"/>
    <xf numFmtId="0" fontId="8" fillId="0" borderId="3" xfId="0" applyFont="1" applyBorder="1" applyAlignment="1"/>
    <xf numFmtId="0" fontId="8" fillId="0" borderId="0" xfId="0" applyFont="1" applyAlignment="1"/>
    <xf numFmtId="0" fontId="5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vertical="top"/>
    </xf>
    <xf numFmtId="0" fontId="9" fillId="0" borderId="0" xfId="0" applyFont="1" applyBorder="1" applyAlignment="1">
      <alignment horizontal="center"/>
    </xf>
    <xf numFmtId="3" fontId="8" fillId="0" borderId="7" xfId="1" applyNumberFormat="1" applyFont="1" applyFill="1" applyBorder="1" applyAlignment="1">
      <alignment horizontal="right" indent="1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/>
    <xf numFmtId="0" fontId="4" fillId="0" borderId="2" xfId="0" applyFont="1" applyBorder="1" applyAlignment="1"/>
    <xf numFmtId="0" fontId="8" fillId="0" borderId="0" xfId="0" applyFont="1" applyAlignment="1">
      <alignment horizontal="right"/>
    </xf>
    <xf numFmtId="187" fontId="8" fillId="0" borderId="0" xfId="1" applyNumberFormat="1" applyFont="1" applyBorder="1" applyAlignment="1">
      <alignment horizontal="right"/>
    </xf>
    <xf numFmtId="189" fontId="7" fillId="0" borderId="4" xfId="1" applyNumberFormat="1" applyFont="1" applyFill="1" applyBorder="1" applyAlignment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6" applyFont="1" applyBorder="1"/>
    <xf numFmtId="0" fontId="8" fillId="0" borderId="6" xfId="6" applyFont="1" applyBorder="1"/>
    <xf numFmtId="0" fontId="8" fillId="0" borderId="8" xfId="6" applyFont="1" applyBorder="1" applyAlignment="1">
      <alignment horizontal="left" indent="2"/>
    </xf>
    <xf numFmtId="0" fontId="9" fillId="0" borderId="0" xfId="6" applyFont="1" applyBorder="1" applyAlignment="1">
      <alignment horizontal="left" indent="1"/>
    </xf>
    <xf numFmtId="0" fontId="8" fillId="0" borderId="0" xfId="6" applyFont="1" applyBorder="1" applyAlignment="1">
      <alignment horizontal="left" indent="2"/>
    </xf>
    <xf numFmtId="0" fontId="7" fillId="0" borderId="0" xfId="6" applyFont="1" applyBorder="1" applyAlignment="1">
      <alignment horizontal="left" indent="2"/>
    </xf>
    <xf numFmtId="187" fontId="7" fillId="0" borderId="4" xfId="1" applyNumberFormat="1" applyFont="1" applyFill="1" applyBorder="1" applyAlignment="1"/>
    <xf numFmtId="187" fontId="9" fillId="0" borderId="4" xfId="1" applyNumberFormat="1" applyFont="1" applyBorder="1" applyAlignment="1">
      <alignment horizontal="right"/>
    </xf>
    <xf numFmtId="187" fontId="8" fillId="0" borderId="4" xfId="1" applyNumberFormat="1" applyFont="1" applyBorder="1" applyAlignment="1">
      <alignment horizontal="right"/>
    </xf>
    <xf numFmtId="187" fontId="8" fillId="0" borderId="4" xfId="1" applyNumberFormat="1" applyFont="1" applyFill="1" applyBorder="1" applyAlignment="1">
      <alignment horizontal="right"/>
    </xf>
    <xf numFmtId="187" fontId="8" fillId="0" borderId="2" xfId="1" applyNumberFormat="1" applyFont="1" applyFill="1" applyBorder="1" applyAlignment="1">
      <alignment horizontal="right"/>
    </xf>
    <xf numFmtId="187" fontId="8" fillId="0" borderId="0" xfId="1" applyNumberFormat="1" applyFont="1" applyFill="1" applyBorder="1" applyAlignment="1">
      <alignment horizontal="right"/>
    </xf>
    <xf numFmtId="187" fontId="9" fillId="0" borderId="4" xfId="1" applyNumberFormat="1" applyFont="1" applyFill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19050</xdr:rowOff>
    </xdr:from>
    <xdr:to>
      <xdr:col>22</xdr:col>
      <xdr:colOff>257180</xdr:colOff>
      <xdr:row>19</xdr:row>
      <xdr:rowOff>169191</xdr:rowOff>
    </xdr:to>
    <xdr:grpSp>
      <xdr:nvGrpSpPr>
        <xdr:cNvPr id="6" name="Group 5"/>
        <xdr:cNvGrpSpPr/>
      </xdr:nvGrpSpPr>
      <xdr:grpSpPr>
        <a:xfrm>
          <a:off x="9477375" y="19050"/>
          <a:ext cx="342905" cy="4103016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4021" y="109672"/>
              <a:ext cx="317826" cy="267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38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8"/>
  <sheetViews>
    <sheetView showGridLines="0" tabSelected="1" showWhiteSpace="0" zoomScalePageLayoutView="115" workbookViewId="0">
      <selection activeCell="J22" sqref="J22"/>
    </sheetView>
  </sheetViews>
  <sheetFormatPr defaultColWidth="9.140625" defaultRowHeight="18.75"/>
  <cols>
    <col min="1" max="1" width="1.7109375" style="5" customWidth="1"/>
    <col min="2" max="2" width="6" style="5" customWidth="1"/>
    <col min="3" max="3" width="4.7109375" style="5" customWidth="1"/>
    <col min="4" max="4" width="1.42578125" style="5" customWidth="1"/>
    <col min="5" max="19" width="7.5703125" style="5" customWidth="1"/>
    <col min="20" max="20" width="2.5703125" style="5" customWidth="1"/>
    <col min="21" max="21" width="12.140625" style="5" customWidth="1"/>
    <col min="22" max="22" width="1.28515625" style="5" customWidth="1"/>
    <col min="23" max="23" width="4.140625" style="5" customWidth="1"/>
    <col min="24" max="16384" width="9.140625" style="5"/>
  </cols>
  <sheetData>
    <row r="1" spans="1:22" s="15" customFormat="1">
      <c r="B1" s="15" t="s">
        <v>24</v>
      </c>
      <c r="C1" s="23">
        <v>3.6</v>
      </c>
      <c r="D1" s="15" t="s">
        <v>74</v>
      </c>
    </row>
    <row r="2" spans="1:22" s="1" customFormat="1" ht="20.25" customHeight="1">
      <c r="B2" s="15" t="s">
        <v>62</v>
      </c>
      <c r="C2" s="23">
        <v>3.6</v>
      </c>
      <c r="D2" s="15" t="s">
        <v>75</v>
      </c>
      <c r="E2" s="15"/>
    </row>
    <row r="3" spans="1:22" ht="6.75" customHeight="1"/>
    <row r="4" spans="1:22" s="3" customFormat="1" ht="15" customHeight="1">
      <c r="A4" s="83" t="s">
        <v>21</v>
      </c>
      <c r="B4" s="83"/>
      <c r="C4" s="83"/>
      <c r="D4" s="84"/>
      <c r="E4" s="31"/>
      <c r="F4" s="14"/>
      <c r="G4" s="60"/>
      <c r="H4" s="89" t="s">
        <v>23</v>
      </c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1" t="s">
        <v>22</v>
      </c>
      <c r="U4" s="83"/>
    </row>
    <row r="5" spans="1:22" s="3" customFormat="1" ht="15" customHeight="1">
      <c r="A5" s="85"/>
      <c r="B5" s="85"/>
      <c r="C5" s="85"/>
      <c r="D5" s="86"/>
      <c r="E5" s="8"/>
      <c r="G5" s="11"/>
      <c r="H5" s="21"/>
      <c r="I5" s="14"/>
      <c r="J5" s="22"/>
      <c r="K5" s="95" t="s">
        <v>2</v>
      </c>
      <c r="L5" s="96"/>
      <c r="M5" s="97"/>
      <c r="N5" s="21"/>
      <c r="O5" s="14"/>
      <c r="P5" s="22"/>
      <c r="T5" s="92"/>
      <c r="U5" s="93"/>
    </row>
    <row r="6" spans="1:22" s="3" customFormat="1" ht="15.75" customHeight="1">
      <c r="A6" s="85"/>
      <c r="B6" s="85"/>
      <c r="C6" s="85"/>
      <c r="D6" s="86"/>
      <c r="E6" s="80" t="s">
        <v>7</v>
      </c>
      <c r="F6" s="81"/>
      <c r="G6" s="82"/>
      <c r="H6" s="80" t="s">
        <v>0</v>
      </c>
      <c r="I6" s="81"/>
      <c r="J6" s="82"/>
      <c r="K6" s="80" t="s">
        <v>3</v>
      </c>
      <c r="L6" s="81"/>
      <c r="M6" s="82"/>
      <c r="N6" s="80" t="s">
        <v>35</v>
      </c>
      <c r="O6" s="81"/>
      <c r="P6" s="82"/>
      <c r="Q6" s="81"/>
      <c r="R6" s="81"/>
      <c r="S6" s="81"/>
      <c r="T6" s="92"/>
      <c r="U6" s="93"/>
    </row>
    <row r="7" spans="1:22" s="3" customFormat="1" ht="17.25" customHeight="1">
      <c r="A7" s="85"/>
      <c r="B7" s="85"/>
      <c r="C7" s="85"/>
      <c r="D7" s="86"/>
      <c r="E7" s="80" t="s">
        <v>8</v>
      </c>
      <c r="F7" s="81"/>
      <c r="G7" s="82"/>
      <c r="H7" s="80" t="s">
        <v>1</v>
      </c>
      <c r="I7" s="81"/>
      <c r="J7" s="82"/>
      <c r="K7" s="80" t="s">
        <v>4</v>
      </c>
      <c r="L7" s="81"/>
      <c r="M7" s="82"/>
      <c r="N7" s="80" t="s">
        <v>50</v>
      </c>
      <c r="O7" s="81"/>
      <c r="P7" s="82"/>
      <c r="Q7" s="81" t="s">
        <v>73</v>
      </c>
      <c r="R7" s="81"/>
      <c r="S7" s="81"/>
      <c r="T7" s="92"/>
      <c r="U7" s="93"/>
    </row>
    <row r="8" spans="1:22" s="3" customFormat="1" ht="16.5" customHeight="1">
      <c r="A8" s="85"/>
      <c r="B8" s="85"/>
      <c r="C8" s="85"/>
      <c r="D8" s="86"/>
      <c r="E8" s="8"/>
      <c r="G8" s="11"/>
      <c r="H8" s="80" t="s">
        <v>5</v>
      </c>
      <c r="I8" s="81"/>
      <c r="J8" s="82"/>
      <c r="K8" s="80" t="s">
        <v>10</v>
      </c>
      <c r="L8" s="81"/>
      <c r="M8" s="82"/>
      <c r="N8" s="80" t="s">
        <v>33</v>
      </c>
      <c r="O8" s="81"/>
      <c r="P8" s="82"/>
      <c r="Q8" s="81" t="s">
        <v>9</v>
      </c>
      <c r="R8" s="81"/>
      <c r="S8" s="81"/>
      <c r="T8" s="92"/>
      <c r="U8" s="93"/>
    </row>
    <row r="9" spans="1:22" s="3" customFormat="1" ht="17.25" customHeight="1">
      <c r="A9" s="85"/>
      <c r="B9" s="85"/>
      <c r="C9" s="85"/>
      <c r="D9" s="86"/>
      <c r="E9" s="12"/>
      <c r="F9" s="9"/>
      <c r="G9" s="13"/>
      <c r="H9" s="98" t="s">
        <v>6</v>
      </c>
      <c r="I9" s="99"/>
      <c r="J9" s="100"/>
      <c r="K9" s="98" t="s">
        <v>6</v>
      </c>
      <c r="L9" s="99"/>
      <c r="M9" s="100"/>
      <c r="N9" s="80" t="s">
        <v>34</v>
      </c>
      <c r="O9" s="81"/>
      <c r="P9" s="82"/>
      <c r="Q9" s="9"/>
      <c r="R9" s="9"/>
      <c r="S9" s="9"/>
      <c r="T9" s="92"/>
      <c r="U9" s="93"/>
    </row>
    <row r="10" spans="1:22" s="3" customFormat="1" ht="13.5" customHeight="1">
      <c r="A10" s="85"/>
      <c r="B10" s="85"/>
      <c r="C10" s="85"/>
      <c r="D10" s="86"/>
      <c r="E10" s="20" t="s">
        <v>7</v>
      </c>
      <c r="F10" s="16" t="s">
        <v>17</v>
      </c>
      <c r="G10" s="17" t="s">
        <v>18</v>
      </c>
      <c r="H10" s="20" t="s">
        <v>7</v>
      </c>
      <c r="I10" s="20" t="s">
        <v>17</v>
      </c>
      <c r="J10" s="17" t="s">
        <v>18</v>
      </c>
      <c r="K10" s="20" t="s">
        <v>7</v>
      </c>
      <c r="L10" s="20" t="s">
        <v>17</v>
      </c>
      <c r="M10" s="17" t="s">
        <v>18</v>
      </c>
      <c r="N10" s="20" t="s">
        <v>7</v>
      </c>
      <c r="O10" s="20" t="s">
        <v>17</v>
      </c>
      <c r="P10" s="20" t="s">
        <v>18</v>
      </c>
      <c r="Q10" s="20" t="s">
        <v>7</v>
      </c>
      <c r="R10" s="20" t="s">
        <v>17</v>
      </c>
      <c r="S10" s="18" t="s">
        <v>18</v>
      </c>
      <c r="T10" s="92"/>
      <c r="U10" s="93"/>
    </row>
    <row r="11" spans="1:22" s="3" customFormat="1" ht="21.75" customHeight="1">
      <c r="A11" s="87"/>
      <c r="B11" s="87"/>
      <c r="C11" s="87"/>
      <c r="D11" s="88"/>
      <c r="E11" s="19" t="s">
        <v>8</v>
      </c>
      <c r="F11" s="63" t="s">
        <v>19</v>
      </c>
      <c r="G11" s="63" t="s">
        <v>20</v>
      </c>
      <c r="H11" s="19" t="s">
        <v>8</v>
      </c>
      <c r="I11" s="19" t="s">
        <v>19</v>
      </c>
      <c r="J11" s="63" t="s">
        <v>20</v>
      </c>
      <c r="K11" s="19" t="s">
        <v>8</v>
      </c>
      <c r="L11" s="19" t="s">
        <v>19</v>
      </c>
      <c r="M11" s="63" t="s">
        <v>20</v>
      </c>
      <c r="N11" s="19" t="s">
        <v>8</v>
      </c>
      <c r="O11" s="19" t="s">
        <v>19</v>
      </c>
      <c r="P11" s="63" t="s">
        <v>20</v>
      </c>
      <c r="Q11" s="19" t="s">
        <v>8</v>
      </c>
      <c r="R11" s="19" t="s">
        <v>19</v>
      </c>
      <c r="S11" s="62" t="s">
        <v>20</v>
      </c>
      <c r="T11" s="94"/>
      <c r="U11" s="87"/>
    </row>
    <row r="12" spans="1:22" s="3" customFormat="1" ht="3.75" customHeight="1">
      <c r="A12" s="58"/>
      <c r="B12" s="58"/>
      <c r="C12" s="58"/>
      <c r="D12" s="59"/>
      <c r="E12" s="38"/>
      <c r="F12" s="39"/>
      <c r="G12" s="39"/>
      <c r="H12" s="38"/>
      <c r="I12" s="38"/>
      <c r="J12" s="39"/>
      <c r="K12" s="38"/>
      <c r="L12" s="38"/>
      <c r="M12" s="39"/>
      <c r="N12" s="38"/>
      <c r="O12" s="38"/>
      <c r="P12" s="39"/>
      <c r="Q12" s="38"/>
      <c r="R12" s="38"/>
      <c r="S12" s="40"/>
      <c r="T12" s="41"/>
      <c r="U12" s="10"/>
    </row>
    <row r="13" spans="1:22" s="10" customFormat="1" ht="17.25">
      <c r="A13" s="78" t="s">
        <v>32</v>
      </c>
      <c r="B13" s="78"/>
      <c r="C13" s="78"/>
      <c r="D13" s="79"/>
      <c r="E13" s="71">
        <v>78018</v>
      </c>
      <c r="F13" s="71">
        <v>39608</v>
      </c>
      <c r="G13" s="71">
        <v>38410</v>
      </c>
      <c r="H13" s="71">
        <v>41992</v>
      </c>
      <c r="I13" s="71">
        <v>22171</v>
      </c>
      <c r="J13" s="71">
        <v>19821</v>
      </c>
      <c r="K13" s="71">
        <v>3990</v>
      </c>
      <c r="L13" s="71">
        <v>2064</v>
      </c>
      <c r="M13" s="71">
        <v>1926</v>
      </c>
      <c r="N13" s="71">
        <v>32036</v>
      </c>
      <c r="O13" s="71">
        <v>15373</v>
      </c>
      <c r="P13" s="71">
        <v>16663</v>
      </c>
      <c r="Q13" s="57">
        <v>0</v>
      </c>
      <c r="R13" s="57">
        <v>0</v>
      </c>
      <c r="S13" s="57">
        <v>0</v>
      </c>
      <c r="T13" s="42"/>
      <c r="U13" s="61" t="s">
        <v>8</v>
      </c>
      <c r="V13" s="43"/>
    </row>
    <row r="14" spans="1:22" s="47" customFormat="1" ht="18.95" customHeight="1">
      <c r="A14" s="45" t="s">
        <v>15</v>
      </c>
      <c r="B14" s="43"/>
      <c r="C14" s="43"/>
      <c r="D14" s="46"/>
      <c r="E14" s="72">
        <f t="shared" ref="E14:G29" si="0">H14+K14+N14+Q14</f>
        <v>14313</v>
      </c>
      <c r="F14" s="72">
        <f t="shared" si="0"/>
        <v>7373</v>
      </c>
      <c r="G14" s="72">
        <f t="shared" si="0"/>
        <v>6940</v>
      </c>
      <c r="H14" s="71">
        <f>SUM(H15:H18)</f>
        <v>8709</v>
      </c>
      <c r="I14" s="71">
        <f t="shared" ref="I14:P14" si="1">SUM(I15:I18)</f>
        <v>4518</v>
      </c>
      <c r="J14" s="71">
        <f t="shared" si="1"/>
        <v>4191</v>
      </c>
      <c r="K14" s="71">
        <f t="shared" si="1"/>
        <v>2534</v>
      </c>
      <c r="L14" s="71">
        <f t="shared" si="1"/>
        <v>1328</v>
      </c>
      <c r="M14" s="71">
        <f t="shared" si="1"/>
        <v>1206</v>
      </c>
      <c r="N14" s="71">
        <f t="shared" si="1"/>
        <v>3070</v>
      </c>
      <c r="O14" s="71">
        <f t="shared" si="1"/>
        <v>1527</v>
      </c>
      <c r="P14" s="71">
        <f t="shared" si="1"/>
        <v>1543</v>
      </c>
      <c r="Q14" s="57">
        <f>0</f>
        <v>0</v>
      </c>
      <c r="R14" s="57">
        <f>0</f>
        <v>0</v>
      </c>
      <c r="S14" s="57">
        <f>0</f>
        <v>0</v>
      </c>
      <c r="T14" s="37" t="s">
        <v>16</v>
      </c>
      <c r="U14" s="43"/>
      <c r="V14" s="43"/>
    </row>
    <row r="15" spans="1:22" s="48" customFormat="1" ht="18.95" customHeight="1">
      <c r="B15" s="49" t="s">
        <v>59</v>
      </c>
      <c r="D15" s="50"/>
      <c r="E15" s="72">
        <f t="shared" si="0"/>
        <v>2131</v>
      </c>
      <c r="F15" s="72">
        <f t="shared" si="0"/>
        <v>1050</v>
      </c>
      <c r="G15" s="72">
        <f t="shared" si="0"/>
        <v>1081</v>
      </c>
      <c r="H15" s="72">
        <f>SUM(I15:J15)</f>
        <v>398</v>
      </c>
      <c r="I15" s="73">
        <f>35+158</f>
        <v>193</v>
      </c>
      <c r="J15" s="74">
        <f>43+162</f>
        <v>205</v>
      </c>
      <c r="K15" s="73">
        <f>SUM(L15:M15)</f>
        <v>773</v>
      </c>
      <c r="L15" s="74">
        <f>405</f>
        <v>405</v>
      </c>
      <c r="M15" s="74">
        <f>368</f>
        <v>368</v>
      </c>
      <c r="N15" s="72">
        <f>SUM(O15:P15)</f>
        <v>960</v>
      </c>
      <c r="O15" s="75">
        <f>73+16+24+4+13+5+26+11+19+1+14+123+1+11+9+12+1+9+12+20+9+6+16+17</f>
        <v>452</v>
      </c>
      <c r="P15" s="72">
        <f>72+6+35+7+14+3+19+14+17+3+8+160+0+14+4+20+8+12+10+15+25+7+23+12</f>
        <v>508</v>
      </c>
      <c r="Q15" s="57">
        <f>0</f>
        <v>0</v>
      </c>
      <c r="R15" s="57">
        <f>0</f>
        <v>0</v>
      </c>
      <c r="S15" s="57">
        <f>0</f>
        <v>0</v>
      </c>
      <c r="T15" s="35"/>
      <c r="U15" s="48" t="s">
        <v>29</v>
      </c>
    </row>
    <row r="16" spans="1:22" s="48" customFormat="1" ht="18.95" customHeight="1">
      <c r="B16" s="49" t="s">
        <v>60</v>
      </c>
      <c r="D16" s="50"/>
      <c r="E16" s="72">
        <f t="shared" si="0"/>
        <v>5912</v>
      </c>
      <c r="F16" s="72">
        <f t="shared" si="0"/>
        <v>3076</v>
      </c>
      <c r="G16" s="72">
        <f t="shared" si="0"/>
        <v>2836</v>
      </c>
      <c r="H16" s="72">
        <f t="shared" ref="H16:H17" si="2">SUM(I16:J16)</f>
        <v>4066</v>
      </c>
      <c r="I16" s="73">
        <f>1106+1009</f>
        <v>2115</v>
      </c>
      <c r="J16" s="74">
        <f>1019+932</f>
        <v>1951</v>
      </c>
      <c r="K16" s="73">
        <f t="shared" ref="K16" si="3">SUM(L16:M16)</f>
        <v>853</v>
      </c>
      <c r="L16" s="74">
        <f>450</f>
        <v>450</v>
      </c>
      <c r="M16" s="74">
        <f>403</f>
        <v>403</v>
      </c>
      <c r="N16" s="72">
        <f t="shared" ref="N16" si="4">SUM(O16:P16)</f>
        <v>993</v>
      </c>
      <c r="O16" s="75">
        <f>101+14+9+10+12+2+22+8+18+4+8+164+2+12+13+18+6+7+7+17+19+6+16+16</f>
        <v>511</v>
      </c>
      <c r="P16" s="72">
        <f>87+8+8+5+17+5+15+3+20+1+11+185+0+8+11+16+0+7+9+19+16+4+10+17</f>
        <v>482</v>
      </c>
      <c r="Q16" s="57">
        <f>0</f>
        <v>0</v>
      </c>
      <c r="R16" s="57">
        <f>0</f>
        <v>0</v>
      </c>
      <c r="S16" s="57">
        <f>0</f>
        <v>0</v>
      </c>
      <c r="T16" s="35"/>
      <c r="U16" s="48" t="s">
        <v>30</v>
      </c>
    </row>
    <row r="17" spans="1:23" s="48" customFormat="1" ht="18.95" customHeight="1">
      <c r="B17" s="49" t="s">
        <v>61</v>
      </c>
      <c r="D17" s="50"/>
      <c r="E17" s="72">
        <f t="shared" si="0"/>
        <v>5848</v>
      </c>
      <c r="F17" s="72">
        <f t="shared" si="0"/>
        <v>3029</v>
      </c>
      <c r="G17" s="72">
        <f t="shared" si="0"/>
        <v>2819</v>
      </c>
      <c r="H17" s="72">
        <f t="shared" si="2"/>
        <v>4245</v>
      </c>
      <c r="I17" s="73">
        <f>1172+1038</f>
        <v>2210</v>
      </c>
      <c r="J17" s="74">
        <f>1012+1023</f>
        <v>2035</v>
      </c>
      <c r="K17" s="73">
        <f>SUM(L17:M17)</f>
        <v>745</v>
      </c>
      <c r="L17" s="74">
        <f>388</f>
        <v>388</v>
      </c>
      <c r="M17" s="74">
        <f>357</f>
        <v>357</v>
      </c>
      <c r="N17" s="72">
        <f>SUM(O17:P17)</f>
        <v>858</v>
      </c>
      <c r="O17" s="75">
        <f>113+2+11+24+9+6+2+11+188+10+5+9+1+7+8+17+8</f>
        <v>431</v>
      </c>
      <c r="P17" s="72">
        <f>101+1+9+14+3+3+7+8+193+7+7+15+0+11+12+22+14</f>
        <v>427</v>
      </c>
      <c r="Q17" s="57">
        <f>0</f>
        <v>0</v>
      </c>
      <c r="R17" s="57">
        <f>0</f>
        <v>0</v>
      </c>
      <c r="S17" s="57">
        <f>0</f>
        <v>0</v>
      </c>
      <c r="U17" s="36" t="s">
        <v>31</v>
      </c>
    </row>
    <row r="18" spans="1:23" s="48" customFormat="1" ht="18.95" customHeight="1">
      <c r="B18" s="49" t="s">
        <v>25</v>
      </c>
      <c r="D18" s="50"/>
      <c r="E18" s="72">
        <f t="shared" si="0"/>
        <v>422</v>
      </c>
      <c r="F18" s="72">
        <f t="shared" si="0"/>
        <v>218</v>
      </c>
      <c r="G18" s="72">
        <f t="shared" si="0"/>
        <v>204</v>
      </c>
      <c r="H18" s="57">
        <f>0</f>
        <v>0</v>
      </c>
      <c r="I18" s="57">
        <f>0</f>
        <v>0</v>
      </c>
      <c r="J18" s="57">
        <f>0</f>
        <v>0</v>
      </c>
      <c r="K18" s="73">
        <f>SUM(L18:M18)</f>
        <v>163</v>
      </c>
      <c r="L18" s="70">
        <f>85</f>
        <v>85</v>
      </c>
      <c r="M18" s="70">
        <f>78</f>
        <v>78</v>
      </c>
      <c r="N18" s="72">
        <f>SUM(O18:P18)</f>
        <v>259</v>
      </c>
      <c r="O18" s="75">
        <f>82+16+16+19</f>
        <v>133</v>
      </c>
      <c r="P18" s="72">
        <f>70+23+19+14</f>
        <v>126</v>
      </c>
      <c r="Q18" s="57">
        <f>0</f>
        <v>0</v>
      </c>
      <c r="R18" s="57">
        <f>0</f>
        <v>0</v>
      </c>
      <c r="S18" s="57">
        <f>0</f>
        <v>0</v>
      </c>
      <c r="U18" s="36" t="s">
        <v>27</v>
      </c>
    </row>
    <row r="19" spans="1:23" s="47" customFormat="1" ht="18.95" customHeight="1">
      <c r="A19" s="47" t="s">
        <v>11</v>
      </c>
      <c r="D19" s="51"/>
      <c r="E19" s="72">
        <f>H19+K19+N19+Q19</f>
        <v>35987</v>
      </c>
      <c r="F19" s="72">
        <f t="shared" si="0"/>
        <v>18810</v>
      </c>
      <c r="G19" s="72">
        <f t="shared" si="0"/>
        <v>17177</v>
      </c>
      <c r="H19" s="76">
        <f>SUM(H20:H25)</f>
        <v>29014</v>
      </c>
      <c r="I19" s="76">
        <f>SUM(I20:I25)</f>
        <v>15187</v>
      </c>
      <c r="J19" s="76">
        <f>SUM(J20:J25)</f>
        <v>13827</v>
      </c>
      <c r="K19" s="76">
        <f>SUM(K20:K25)</f>
        <v>1311</v>
      </c>
      <c r="L19" s="76">
        <f t="shared" ref="L19" si="5">SUM(L20:L25)</f>
        <v>699</v>
      </c>
      <c r="M19" s="76">
        <f>SUM(M20:M25)</f>
        <v>612</v>
      </c>
      <c r="N19" s="76">
        <f t="shared" ref="N19:P19" si="6">SUM(N20:N25)</f>
        <v>5662</v>
      </c>
      <c r="O19" s="76">
        <f t="shared" si="6"/>
        <v>2924</v>
      </c>
      <c r="P19" s="76">
        <f t="shared" si="6"/>
        <v>2738</v>
      </c>
      <c r="Q19" s="57">
        <f>0</f>
        <v>0</v>
      </c>
      <c r="R19" s="57">
        <f>0</f>
        <v>0</v>
      </c>
      <c r="S19" s="57">
        <f>0</f>
        <v>0</v>
      </c>
      <c r="T19" s="37" t="s">
        <v>12</v>
      </c>
      <c r="V19" s="43"/>
      <c r="W19" s="43"/>
    </row>
    <row r="20" spans="1:23" s="48" customFormat="1" ht="18.95" customHeight="1">
      <c r="B20" s="49" t="s">
        <v>26</v>
      </c>
      <c r="D20" s="50"/>
      <c r="E20" s="72">
        <f t="shared" si="0"/>
        <v>5878</v>
      </c>
      <c r="F20" s="72">
        <f t="shared" si="0"/>
        <v>3049</v>
      </c>
      <c r="G20" s="72">
        <f t="shared" si="0"/>
        <v>2829</v>
      </c>
      <c r="H20" s="72">
        <f>SUM(I20:J20)</f>
        <v>4727</v>
      </c>
      <c r="I20" s="73">
        <f>1185+1284</f>
        <v>2469</v>
      </c>
      <c r="J20" s="73">
        <f>1117+1141</f>
        <v>2258</v>
      </c>
      <c r="K20" s="73">
        <f>SUM(L20:M20)</f>
        <v>222</v>
      </c>
      <c r="L20" s="73">
        <f>120</f>
        <v>120</v>
      </c>
      <c r="M20" s="73">
        <f>102</f>
        <v>102</v>
      </c>
      <c r="N20" s="72">
        <f>SUM(O20:P20)</f>
        <v>929</v>
      </c>
      <c r="O20" s="72">
        <f>108+12+11+18+4+6+2+7+216+2+3+1+5+5+15+12+6+11+16</f>
        <v>460</v>
      </c>
      <c r="P20" s="56">
        <f>108+11+9+13+6+4+3+8+209+3+8+3+10+7+14+9+11+16+17</f>
        <v>469</v>
      </c>
      <c r="Q20" s="57">
        <f>0</f>
        <v>0</v>
      </c>
      <c r="R20" s="57">
        <f>0</f>
        <v>0</v>
      </c>
      <c r="S20" s="57">
        <f>0</f>
        <v>0</v>
      </c>
      <c r="U20" s="36" t="s">
        <v>28</v>
      </c>
    </row>
    <row r="21" spans="1:23" s="48" customFormat="1" ht="18.95" customHeight="1">
      <c r="B21" s="49" t="s">
        <v>71</v>
      </c>
      <c r="D21" s="50"/>
      <c r="E21" s="72">
        <f t="shared" si="0"/>
        <v>5966</v>
      </c>
      <c r="F21" s="72">
        <f t="shared" si="0"/>
        <v>3072</v>
      </c>
      <c r="G21" s="72">
        <f t="shared" si="0"/>
        <v>2894</v>
      </c>
      <c r="H21" s="72">
        <f t="shared" ref="H21:H25" si="7">SUM(I21:J21)</f>
        <v>4826</v>
      </c>
      <c r="I21" s="73">
        <f>1239+1250</f>
        <v>2489</v>
      </c>
      <c r="J21" s="73">
        <f>1135+1202</f>
        <v>2337</v>
      </c>
      <c r="K21" s="73">
        <f t="shared" ref="K21:K25" si="8">SUM(L21:M21)</f>
        <v>220</v>
      </c>
      <c r="L21" s="73">
        <f>115</f>
        <v>115</v>
      </c>
      <c r="M21" s="73">
        <f>105</f>
        <v>105</v>
      </c>
      <c r="N21" s="72">
        <f t="shared" ref="N21:N24" si="9">SUM(O21:P21)</f>
        <v>920</v>
      </c>
      <c r="O21" s="72">
        <f>117+20+6+17+2+2+4+8+218+1+6+1+3+6+16+5+5+14+17</f>
        <v>468</v>
      </c>
      <c r="P21" s="56">
        <f>109+8+5+13+4+2+6+8+222+0+4+5+4+10+10+7+6+11+18</f>
        <v>452</v>
      </c>
      <c r="Q21" s="57">
        <f>0</f>
        <v>0</v>
      </c>
      <c r="R21" s="57">
        <f>0</f>
        <v>0</v>
      </c>
      <c r="S21" s="57">
        <f>0</f>
        <v>0</v>
      </c>
      <c r="U21" s="36" t="s">
        <v>72</v>
      </c>
    </row>
    <row r="22" spans="1:23" s="48" customFormat="1" ht="18.95" customHeight="1">
      <c r="A22" s="47"/>
      <c r="B22" s="49" t="s">
        <v>39</v>
      </c>
      <c r="C22" s="52"/>
      <c r="D22" s="53"/>
      <c r="E22" s="72">
        <f t="shared" si="0"/>
        <v>5943</v>
      </c>
      <c r="F22" s="72">
        <f t="shared" si="0"/>
        <v>3136</v>
      </c>
      <c r="G22" s="72">
        <f t="shared" si="0"/>
        <v>2807</v>
      </c>
      <c r="H22" s="72">
        <f t="shared" si="7"/>
        <v>4837</v>
      </c>
      <c r="I22" s="73">
        <f>1260+1302</f>
        <v>2562</v>
      </c>
      <c r="J22" s="73">
        <f>1098+1177</f>
        <v>2275</v>
      </c>
      <c r="K22" s="73">
        <f t="shared" si="8"/>
        <v>210</v>
      </c>
      <c r="L22" s="73">
        <f>112</f>
        <v>112</v>
      </c>
      <c r="M22" s="73">
        <f>98</f>
        <v>98</v>
      </c>
      <c r="N22" s="72">
        <f t="shared" si="9"/>
        <v>896</v>
      </c>
      <c r="O22" s="72">
        <f>117+8+4+14+2+3+4+8+220+1+6+2+7+3+19+7+9+12+16</f>
        <v>462</v>
      </c>
      <c r="P22" s="56">
        <f>105+6+5+12+3+1+2+3+209+5+9+2+5+17+24+7+6+7+6</f>
        <v>434</v>
      </c>
      <c r="Q22" s="57">
        <f>0</f>
        <v>0</v>
      </c>
      <c r="R22" s="57">
        <f>0</f>
        <v>0</v>
      </c>
      <c r="S22" s="57">
        <f>0</f>
        <v>0</v>
      </c>
      <c r="T22" s="52"/>
      <c r="U22" s="36" t="s">
        <v>51</v>
      </c>
    </row>
    <row r="23" spans="1:23" s="48" customFormat="1" ht="18.95" customHeight="1">
      <c r="A23" s="52"/>
      <c r="B23" s="49" t="s">
        <v>40</v>
      </c>
      <c r="C23" s="52"/>
      <c r="D23" s="53"/>
      <c r="E23" s="72">
        <f t="shared" si="0"/>
        <v>6016</v>
      </c>
      <c r="F23" s="72">
        <f t="shared" si="0"/>
        <v>3120</v>
      </c>
      <c r="G23" s="72">
        <f t="shared" si="0"/>
        <v>2896</v>
      </c>
      <c r="H23" s="72">
        <f t="shared" si="7"/>
        <v>4815</v>
      </c>
      <c r="I23" s="73">
        <f>1221+1247</f>
        <v>2468</v>
      </c>
      <c r="J23" s="73">
        <f>1165+1182</f>
        <v>2347</v>
      </c>
      <c r="K23" s="73">
        <f t="shared" si="8"/>
        <v>205</v>
      </c>
      <c r="L23" s="73">
        <f>110</f>
        <v>110</v>
      </c>
      <c r="M23" s="73">
        <f>95</f>
        <v>95</v>
      </c>
      <c r="N23" s="72">
        <f t="shared" si="9"/>
        <v>996</v>
      </c>
      <c r="O23" s="72">
        <f>131+10+5+10+5+5+6+4+266+0+0+7+8+12+30+7+6+21+9</f>
        <v>542</v>
      </c>
      <c r="P23" s="56">
        <f>109+12+4+17+1+4+8+4+225+0+0+3+10+8+19+7+6+5+12</f>
        <v>454</v>
      </c>
      <c r="Q23" s="57">
        <f>0</f>
        <v>0</v>
      </c>
      <c r="R23" s="57">
        <f>0</f>
        <v>0</v>
      </c>
      <c r="S23" s="57">
        <f>0</f>
        <v>0</v>
      </c>
      <c r="T23" s="52"/>
      <c r="U23" s="36" t="s">
        <v>52</v>
      </c>
    </row>
    <row r="24" spans="1:23" s="48" customFormat="1" ht="18.95" customHeight="1">
      <c r="A24" s="52"/>
      <c r="B24" s="49" t="s">
        <v>41</v>
      </c>
      <c r="C24" s="52"/>
      <c r="D24" s="53"/>
      <c r="E24" s="72">
        <f t="shared" si="0"/>
        <v>6087</v>
      </c>
      <c r="F24" s="72">
        <f t="shared" si="0"/>
        <v>3194</v>
      </c>
      <c r="G24" s="72">
        <f t="shared" si="0"/>
        <v>2893</v>
      </c>
      <c r="H24" s="72">
        <f t="shared" si="7"/>
        <v>4860</v>
      </c>
      <c r="I24" s="73">
        <f>1245+1325</f>
        <v>2570</v>
      </c>
      <c r="J24" s="73">
        <f>1160+1130</f>
        <v>2290</v>
      </c>
      <c r="K24" s="73">
        <f t="shared" si="8"/>
        <v>238</v>
      </c>
      <c r="L24" s="73">
        <f>123</f>
        <v>123</v>
      </c>
      <c r="M24" s="73">
        <f>115</f>
        <v>115</v>
      </c>
      <c r="N24" s="72">
        <f t="shared" si="9"/>
        <v>989</v>
      </c>
      <c r="O24" s="72">
        <f>98+8+8+19+3+5+2+5+248+0+0+1+16+4+34+12+10+12+16</f>
        <v>501</v>
      </c>
      <c r="P24" s="56">
        <f>116+8+7+10+1+0+3+6+256+0+0+2+8+13+16+10+3+12+17</f>
        <v>488</v>
      </c>
      <c r="Q24" s="57">
        <f>0</f>
        <v>0</v>
      </c>
      <c r="R24" s="57">
        <f>0</f>
        <v>0</v>
      </c>
      <c r="S24" s="57">
        <f>0</f>
        <v>0</v>
      </c>
      <c r="T24" s="52"/>
      <c r="U24" s="36" t="s">
        <v>53</v>
      </c>
    </row>
    <row r="25" spans="1:23" s="48" customFormat="1" ht="18.95" customHeight="1">
      <c r="A25" s="52"/>
      <c r="B25" s="49" t="s">
        <v>42</v>
      </c>
      <c r="C25" s="52"/>
      <c r="D25" s="53"/>
      <c r="E25" s="72">
        <f t="shared" si="0"/>
        <v>6097</v>
      </c>
      <c r="F25" s="72">
        <f t="shared" si="0"/>
        <v>3239</v>
      </c>
      <c r="G25" s="72">
        <f t="shared" si="0"/>
        <v>2858</v>
      </c>
      <c r="H25" s="72">
        <f t="shared" si="7"/>
        <v>4949</v>
      </c>
      <c r="I25" s="73">
        <f>1282+1347</f>
        <v>2629</v>
      </c>
      <c r="J25" s="73">
        <f>1166+1154</f>
        <v>2320</v>
      </c>
      <c r="K25" s="73">
        <f t="shared" si="8"/>
        <v>216</v>
      </c>
      <c r="L25" s="73">
        <f>119</f>
        <v>119</v>
      </c>
      <c r="M25" s="73">
        <f>97</f>
        <v>97</v>
      </c>
      <c r="N25" s="72">
        <f>SUM(O25:P25)</f>
        <v>932</v>
      </c>
      <c r="O25" s="72">
        <f>116+5+7+20+7+0+4+3+257+0+0+3+5+7+20+6+3+14+14</f>
        <v>491</v>
      </c>
      <c r="P25" s="56">
        <f>99+8+5+15+4+1+5+3+222+0+0+3+5+10+16+7+9+13+16</f>
        <v>441</v>
      </c>
      <c r="Q25" s="57">
        <f>0</f>
        <v>0</v>
      </c>
      <c r="R25" s="57">
        <f>0</f>
        <v>0</v>
      </c>
      <c r="S25" s="57">
        <f>0</f>
        <v>0</v>
      </c>
      <c r="T25" s="52"/>
      <c r="U25" s="36" t="s">
        <v>54</v>
      </c>
    </row>
    <row r="26" spans="1:23" s="47" customFormat="1" ht="18.95" customHeight="1">
      <c r="A26" s="47" t="s">
        <v>48</v>
      </c>
      <c r="C26" s="26"/>
      <c r="D26" s="54"/>
      <c r="E26" s="72">
        <f t="shared" si="0"/>
        <v>17827</v>
      </c>
      <c r="F26" s="72">
        <f t="shared" si="0"/>
        <v>9202</v>
      </c>
      <c r="G26" s="72">
        <f t="shared" si="0"/>
        <v>8625</v>
      </c>
      <c r="H26" s="76">
        <f>SUM(H27:H29)</f>
        <v>4269</v>
      </c>
      <c r="I26" s="76">
        <f>SUM(I27:I29)</f>
        <v>2466</v>
      </c>
      <c r="J26" s="76">
        <f>SUM(J27:J29)</f>
        <v>1803</v>
      </c>
      <c r="K26" s="76">
        <f>SUM(K27:K29)</f>
        <v>145</v>
      </c>
      <c r="L26" s="76">
        <f t="shared" ref="L26:M26" si="10">SUM(L27:L29)</f>
        <v>37</v>
      </c>
      <c r="M26" s="76">
        <f t="shared" si="10"/>
        <v>108</v>
      </c>
      <c r="N26" s="76">
        <f>SUM(N27:N29)</f>
        <v>13413</v>
      </c>
      <c r="O26" s="76">
        <f t="shared" ref="O26:P26" si="11">SUM(O27:O29)</f>
        <v>6699</v>
      </c>
      <c r="P26" s="76">
        <f t="shared" si="11"/>
        <v>6714</v>
      </c>
      <c r="Q26" s="57">
        <f>0</f>
        <v>0</v>
      </c>
      <c r="R26" s="57">
        <f>0</f>
        <v>0</v>
      </c>
      <c r="S26" s="57">
        <f>0</f>
        <v>0</v>
      </c>
      <c r="T26" s="37" t="s">
        <v>13</v>
      </c>
      <c r="U26" s="43"/>
      <c r="V26" s="43"/>
    </row>
    <row r="27" spans="1:23" s="48" customFormat="1" ht="18.95" customHeight="1">
      <c r="A27" s="52"/>
      <c r="B27" s="49" t="s">
        <v>36</v>
      </c>
      <c r="C27" s="52"/>
      <c r="D27" s="53"/>
      <c r="E27" s="72">
        <f t="shared" si="0"/>
        <v>6324</v>
      </c>
      <c r="F27" s="72">
        <f t="shared" si="0"/>
        <v>3293</v>
      </c>
      <c r="G27" s="72">
        <f t="shared" si="0"/>
        <v>3031</v>
      </c>
      <c r="H27" s="72">
        <f>SUM(I27:J27)</f>
        <v>1558</v>
      </c>
      <c r="I27" s="73">
        <f>442+450</f>
        <v>892</v>
      </c>
      <c r="J27" s="73">
        <f>347+319</f>
        <v>666</v>
      </c>
      <c r="K27" s="73">
        <f>SUM(L27:M27)</f>
        <v>51</v>
      </c>
      <c r="L27" s="73">
        <f>12</f>
        <v>12</v>
      </c>
      <c r="M27" s="73">
        <f>39</f>
        <v>39</v>
      </c>
      <c r="N27" s="72">
        <f>SUM(O27:P27)</f>
        <v>4715</v>
      </c>
      <c r="O27" s="72">
        <f>194+14+9+230+45+13+20+1864</f>
        <v>2389</v>
      </c>
      <c r="P27" s="56">
        <f>128+3+5+197+36+9+19+1929</f>
        <v>2326</v>
      </c>
      <c r="Q27" s="57">
        <f>0</f>
        <v>0</v>
      </c>
      <c r="R27" s="57">
        <f>0</f>
        <v>0</v>
      </c>
      <c r="S27" s="57">
        <f>0</f>
        <v>0</v>
      </c>
      <c r="T27" s="52"/>
      <c r="U27" s="36" t="s">
        <v>46</v>
      </c>
    </row>
    <row r="28" spans="1:23" s="48" customFormat="1" ht="18.95" customHeight="1">
      <c r="A28" s="52"/>
      <c r="B28" s="49" t="s">
        <v>37</v>
      </c>
      <c r="C28" s="52"/>
      <c r="D28" s="53"/>
      <c r="E28" s="72">
        <f t="shared" si="0"/>
        <v>5959</v>
      </c>
      <c r="F28" s="72">
        <f t="shared" si="0"/>
        <v>3089</v>
      </c>
      <c r="G28" s="72">
        <f t="shared" si="0"/>
        <v>2870</v>
      </c>
      <c r="H28" s="72">
        <f t="shared" ref="H28:H29" si="12">SUM(I28:J28)</f>
        <v>1408</v>
      </c>
      <c r="I28" s="73">
        <f>420+402</f>
        <v>822</v>
      </c>
      <c r="J28" s="73">
        <f>260+326</f>
        <v>586</v>
      </c>
      <c r="K28" s="73">
        <f t="shared" ref="K28:K29" si="13">SUM(L28:M28)</f>
        <v>49</v>
      </c>
      <c r="L28" s="73">
        <f>9</f>
        <v>9</v>
      </c>
      <c r="M28" s="73">
        <f>40</f>
        <v>40</v>
      </c>
      <c r="N28" s="72">
        <f t="shared" ref="N28:N29" si="14">SUM(O28:P28)</f>
        <v>4502</v>
      </c>
      <c r="O28" s="72">
        <f>137+11+7+214+30+10+23+1826</f>
        <v>2258</v>
      </c>
      <c r="P28" s="56">
        <f>86+10+9+144+27+9+21+1938</f>
        <v>2244</v>
      </c>
      <c r="Q28" s="57">
        <f>0</f>
        <v>0</v>
      </c>
      <c r="R28" s="57">
        <f>0</f>
        <v>0</v>
      </c>
      <c r="S28" s="57">
        <f>0</f>
        <v>0</v>
      </c>
      <c r="T28" s="52"/>
      <c r="U28" s="36" t="s">
        <v>55</v>
      </c>
    </row>
    <row r="29" spans="1:23" s="48" customFormat="1" ht="18.95" customHeight="1">
      <c r="A29" s="52"/>
      <c r="B29" s="49" t="s">
        <v>38</v>
      </c>
      <c r="C29" s="52"/>
      <c r="D29" s="53"/>
      <c r="E29" s="72">
        <f t="shared" si="0"/>
        <v>5544</v>
      </c>
      <c r="F29" s="72">
        <f t="shared" si="0"/>
        <v>2820</v>
      </c>
      <c r="G29" s="72">
        <f t="shared" si="0"/>
        <v>2724</v>
      </c>
      <c r="H29" s="72">
        <f t="shared" si="12"/>
        <v>1303</v>
      </c>
      <c r="I29" s="73">
        <f>342+410</f>
        <v>752</v>
      </c>
      <c r="J29" s="73">
        <f>278+273</f>
        <v>551</v>
      </c>
      <c r="K29" s="73">
        <f t="shared" si="13"/>
        <v>45</v>
      </c>
      <c r="L29" s="73">
        <f>16</f>
        <v>16</v>
      </c>
      <c r="M29" s="73">
        <f>29</f>
        <v>29</v>
      </c>
      <c r="N29" s="72">
        <f t="shared" si="14"/>
        <v>4196</v>
      </c>
      <c r="O29" s="72">
        <f>97+10+3+155+31+11+24+1721</f>
        <v>2052</v>
      </c>
      <c r="P29" s="56">
        <f>60+10+4+155+27+10+16+1862</f>
        <v>2144</v>
      </c>
      <c r="Q29" s="57">
        <f>0</f>
        <v>0</v>
      </c>
      <c r="R29" s="57">
        <f>0</f>
        <v>0</v>
      </c>
      <c r="S29" s="57">
        <f>0</f>
        <v>0</v>
      </c>
      <c r="T29" s="52"/>
      <c r="U29" s="36" t="s">
        <v>56</v>
      </c>
    </row>
    <row r="30" spans="1:23" s="4" customFormat="1" ht="14.25" customHeight="1">
      <c r="A30" s="47" t="s">
        <v>49</v>
      </c>
      <c r="B30" s="47"/>
      <c r="C30" s="26"/>
      <c r="D30" s="54"/>
      <c r="E30" s="76">
        <f t="shared" ref="E30:G30" si="15">SUM(E31:E33)</f>
        <v>9891</v>
      </c>
      <c r="F30" s="76">
        <f t="shared" si="15"/>
        <v>4223</v>
      </c>
      <c r="G30" s="76">
        <f t="shared" si="15"/>
        <v>5668</v>
      </c>
      <c r="H30" s="57">
        <f>0</f>
        <v>0</v>
      </c>
      <c r="I30" s="57">
        <f>0</f>
        <v>0</v>
      </c>
      <c r="J30" s="57">
        <f>0</f>
        <v>0</v>
      </c>
      <c r="K30" s="57">
        <f>0</f>
        <v>0</v>
      </c>
      <c r="L30" s="57">
        <f>0</f>
        <v>0</v>
      </c>
      <c r="M30" s="57">
        <f>0</f>
        <v>0</v>
      </c>
      <c r="N30" s="76">
        <f t="shared" ref="N30:P30" si="16">SUM(N31:N33)</f>
        <v>9891</v>
      </c>
      <c r="O30" s="76">
        <f t="shared" si="16"/>
        <v>4223</v>
      </c>
      <c r="P30" s="76">
        <f t="shared" si="16"/>
        <v>5668</v>
      </c>
      <c r="Q30" s="57">
        <f>0</f>
        <v>0</v>
      </c>
      <c r="R30" s="57">
        <f>0</f>
        <v>0</v>
      </c>
      <c r="S30" s="57">
        <f>0</f>
        <v>0</v>
      </c>
      <c r="T30" s="37" t="s">
        <v>14</v>
      </c>
      <c r="U30" s="43"/>
    </row>
    <row r="31" spans="1:23" s="4" customFormat="1" ht="18.75" customHeight="1">
      <c r="A31" s="52"/>
      <c r="B31" s="49" t="s">
        <v>43</v>
      </c>
      <c r="C31" s="52"/>
      <c r="D31" s="53"/>
      <c r="E31" s="72">
        <f>H31+K31+N31+Q31</f>
        <v>3438</v>
      </c>
      <c r="F31" s="72">
        <f t="shared" ref="F31:G33" si="17">I31+L31+O31+R31</f>
        <v>1486</v>
      </c>
      <c r="G31" s="72">
        <f t="shared" si="17"/>
        <v>1952</v>
      </c>
      <c r="H31" s="57">
        <f>0</f>
        <v>0</v>
      </c>
      <c r="I31" s="57">
        <f>0</f>
        <v>0</v>
      </c>
      <c r="J31" s="57">
        <f>0</f>
        <v>0</v>
      </c>
      <c r="K31" s="57">
        <f>0</f>
        <v>0</v>
      </c>
      <c r="L31" s="57">
        <f>0</f>
        <v>0</v>
      </c>
      <c r="M31" s="57">
        <f>0</f>
        <v>0</v>
      </c>
      <c r="N31" s="74">
        <f>SUM(O31:P31)</f>
        <v>3438</v>
      </c>
      <c r="O31" s="77">
        <f>59+77+1350</f>
        <v>1486</v>
      </c>
      <c r="P31" s="77">
        <f>31+95+1826</f>
        <v>1952</v>
      </c>
      <c r="Q31" s="57">
        <f>0</f>
        <v>0</v>
      </c>
      <c r="R31" s="57">
        <f>0</f>
        <v>0</v>
      </c>
      <c r="S31" s="57">
        <f>0</f>
        <v>0</v>
      </c>
      <c r="T31" s="52"/>
      <c r="U31" s="36" t="s">
        <v>47</v>
      </c>
    </row>
    <row r="32" spans="1:23" ht="18.75" customHeight="1">
      <c r="A32" s="52"/>
      <c r="B32" s="49" t="s">
        <v>44</v>
      </c>
      <c r="C32" s="52"/>
      <c r="D32" s="53"/>
      <c r="E32" s="72">
        <f t="shared" ref="E32:E33" si="18">H32+K32+N32+Q32</f>
        <v>3245</v>
      </c>
      <c r="F32" s="72">
        <f t="shared" si="17"/>
        <v>1396</v>
      </c>
      <c r="G32" s="72">
        <f t="shared" si="17"/>
        <v>1849</v>
      </c>
      <c r="H32" s="57">
        <f>0</f>
        <v>0</v>
      </c>
      <c r="I32" s="57">
        <f>0</f>
        <v>0</v>
      </c>
      <c r="J32" s="57">
        <f>0</f>
        <v>0</v>
      </c>
      <c r="K32" s="57">
        <f>0</f>
        <v>0</v>
      </c>
      <c r="L32" s="57">
        <f>0</f>
        <v>0</v>
      </c>
      <c r="M32" s="57">
        <f>0</f>
        <v>0</v>
      </c>
      <c r="N32" s="74">
        <f t="shared" ref="N32:N33" si="19">SUM(O32:P32)</f>
        <v>3245</v>
      </c>
      <c r="O32" s="77">
        <f>36+71+1289</f>
        <v>1396</v>
      </c>
      <c r="P32" s="77">
        <f>33+112+1704</f>
        <v>1849</v>
      </c>
      <c r="Q32" s="57">
        <f>0</f>
        <v>0</v>
      </c>
      <c r="R32" s="57">
        <f>0</f>
        <v>0</v>
      </c>
      <c r="S32" s="57">
        <f>0</f>
        <v>0</v>
      </c>
      <c r="T32" s="52"/>
      <c r="U32" s="36" t="s">
        <v>57</v>
      </c>
    </row>
    <row r="33" spans="1:21" ht="16.5" customHeight="1">
      <c r="A33" s="52"/>
      <c r="B33" s="49" t="s">
        <v>45</v>
      </c>
      <c r="C33" s="52"/>
      <c r="D33" s="53"/>
      <c r="E33" s="72">
        <f t="shared" si="18"/>
        <v>3208</v>
      </c>
      <c r="F33" s="72">
        <f t="shared" si="17"/>
        <v>1341</v>
      </c>
      <c r="G33" s="72">
        <f t="shared" si="17"/>
        <v>1867</v>
      </c>
      <c r="H33" s="57">
        <f>0</f>
        <v>0</v>
      </c>
      <c r="I33" s="57">
        <f>0</f>
        <v>0</v>
      </c>
      <c r="J33" s="57">
        <f>0</f>
        <v>0</v>
      </c>
      <c r="K33" s="57">
        <f>0</f>
        <v>0</v>
      </c>
      <c r="L33" s="57">
        <f>0</f>
        <v>0</v>
      </c>
      <c r="M33" s="57">
        <f>0</f>
        <v>0</v>
      </c>
      <c r="N33" s="74">
        <f t="shared" si="19"/>
        <v>3208</v>
      </c>
      <c r="O33" s="77">
        <f>35+60+1246</f>
        <v>1341</v>
      </c>
      <c r="P33" s="77">
        <f>13+127+1727</f>
        <v>1867</v>
      </c>
      <c r="Q33" s="57">
        <f>0</f>
        <v>0</v>
      </c>
      <c r="R33" s="57">
        <f>0</f>
        <v>0</v>
      </c>
      <c r="S33" s="57">
        <f>0</f>
        <v>0</v>
      </c>
      <c r="T33" s="52"/>
      <c r="U33" s="36" t="s">
        <v>58</v>
      </c>
    </row>
    <row r="34" spans="1:21">
      <c r="A34" s="64"/>
      <c r="B34" s="64"/>
      <c r="C34" s="64"/>
      <c r="D34" s="65"/>
      <c r="E34" s="32"/>
      <c r="F34" s="32"/>
      <c r="G34" s="32"/>
      <c r="H34" s="44"/>
      <c r="I34" s="44"/>
      <c r="J34" s="44"/>
      <c r="K34" s="44"/>
      <c r="L34" s="44"/>
      <c r="M34" s="44"/>
      <c r="N34" s="32"/>
      <c r="O34" s="33"/>
      <c r="P34" s="32"/>
      <c r="Q34" s="32"/>
      <c r="R34" s="32"/>
      <c r="S34" s="32"/>
      <c r="T34" s="66"/>
      <c r="U34" s="27"/>
    </row>
    <row r="35" spans="1:21">
      <c r="A35" s="25"/>
      <c r="B35" s="24"/>
      <c r="C35" s="24"/>
      <c r="D35" s="24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8"/>
      <c r="R35" s="28"/>
      <c r="S35" s="28"/>
      <c r="T35" s="67"/>
      <c r="U35" s="24"/>
    </row>
    <row r="36" spans="1:21">
      <c r="B36" s="55" t="s">
        <v>64</v>
      </c>
      <c r="C36" s="30" t="s">
        <v>68</v>
      </c>
      <c r="D36" s="6"/>
      <c r="E36" s="6"/>
      <c r="F36" s="6"/>
      <c r="G36" s="6"/>
      <c r="H36" s="28"/>
      <c r="I36" s="28"/>
      <c r="J36" s="28"/>
      <c r="L36" s="56" t="s">
        <v>65</v>
      </c>
      <c r="M36" s="30" t="s">
        <v>67</v>
      </c>
      <c r="N36" s="6"/>
      <c r="O36" s="6"/>
      <c r="P36" s="6"/>
      <c r="Q36" s="28"/>
      <c r="R36" s="28"/>
      <c r="S36" s="28"/>
      <c r="T36" s="68"/>
      <c r="U36" s="24"/>
    </row>
    <row r="37" spans="1:21">
      <c r="A37" s="25"/>
      <c r="C37" s="7" t="s">
        <v>70</v>
      </c>
      <c r="D37" s="2"/>
      <c r="E37" s="2"/>
      <c r="F37" s="2"/>
      <c r="G37" s="2"/>
      <c r="H37" s="28"/>
      <c r="I37" s="28"/>
      <c r="J37" s="28"/>
      <c r="K37" s="34"/>
      <c r="M37" s="30" t="s">
        <v>69</v>
      </c>
      <c r="N37" s="2"/>
      <c r="O37" s="2"/>
      <c r="P37" s="2"/>
      <c r="Q37" s="28"/>
      <c r="R37" s="28"/>
      <c r="S37" s="28"/>
      <c r="T37" s="68"/>
      <c r="U37" s="24"/>
    </row>
    <row r="38" spans="1:21">
      <c r="A38" s="24"/>
      <c r="B38" s="24"/>
      <c r="C38" s="30" t="s">
        <v>66</v>
      </c>
      <c r="D38" s="2"/>
      <c r="E38" s="2"/>
      <c r="F38" s="2"/>
      <c r="G38" s="2"/>
      <c r="H38" s="28"/>
      <c r="I38" s="28"/>
      <c r="J38" s="28"/>
      <c r="K38" s="34"/>
      <c r="L38" s="28"/>
      <c r="M38" s="30" t="s">
        <v>63</v>
      </c>
      <c r="N38" s="2"/>
      <c r="O38" s="2"/>
      <c r="P38" s="2"/>
      <c r="Q38" s="28"/>
      <c r="R38" s="28"/>
      <c r="S38" s="28"/>
      <c r="T38" s="69"/>
      <c r="U38" s="24"/>
    </row>
  </sheetData>
  <mergeCells count="22">
    <mergeCell ref="T4:U11"/>
    <mergeCell ref="K5:M5"/>
    <mergeCell ref="E6:G6"/>
    <mergeCell ref="H6:J6"/>
    <mergeCell ref="K6:M6"/>
    <mergeCell ref="N6:P6"/>
    <mergeCell ref="Q6:S6"/>
    <mergeCell ref="E7:G7"/>
    <mergeCell ref="Q7:S7"/>
    <mergeCell ref="H8:J8"/>
    <mergeCell ref="K8:M8"/>
    <mergeCell ref="N8:P8"/>
    <mergeCell ref="Q8:S8"/>
    <mergeCell ref="H9:J9"/>
    <mergeCell ref="K9:M9"/>
    <mergeCell ref="N9:P9"/>
    <mergeCell ref="A13:D13"/>
    <mergeCell ref="H7:J7"/>
    <mergeCell ref="K7:M7"/>
    <mergeCell ref="N7:P7"/>
    <mergeCell ref="A4:D11"/>
    <mergeCell ref="H4:S4"/>
  </mergeCells>
  <pageMargins left="0.55118110236220474" right="0.35433070866141736" top="0.74" bottom="0.33" header="0.39" footer="0.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2018-09-18T03:49:55Z</dcterms:modified>
</cp:coreProperties>
</file>