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950" windowWidth="19335" windowHeight="8055"/>
  </bookViews>
  <sheets>
    <sheet name="T-3.8" sheetId="1" r:id="rId1"/>
  </sheets>
  <definedNames>
    <definedName name="_xlnm.Print_Area" localSheetId="0">'T-3.8'!$A$1:$V$46</definedName>
  </definedNames>
  <calcPr calcId="125725"/>
</workbook>
</file>

<file path=xl/calcChain.xml><?xml version="1.0" encoding="utf-8"?>
<calcChain xmlns="http://schemas.openxmlformats.org/spreadsheetml/2006/main">
  <c r="S35" i="1"/>
  <c r="Q35" s="1"/>
  <c r="R35"/>
  <c r="P35"/>
  <c r="O35"/>
  <c r="N35" s="1"/>
  <c r="K35"/>
  <c r="H35"/>
  <c r="S34"/>
  <c r="G34" s="1"/>
  <c r="R34"/>
  <c r="P34"/>
  <c r="O34"/>
  <c r="N34"/>
  <c r="K34"/>
  <c r="H34"/>
  <c r="F34"/>
  <c r="S33"/>
  <c r="R33"/>
  <c r="Q33" s="1"/>
  <c r="P33"/>
  <c r="G33" s="1"/>
  <c r="O33"/>
  <c r="N33" s="1"/>
  <c r="K33"/>
  <c r="H33"/>
  <c r="S32"/>
  <c r="R32"/>
  <c r="F32" s="1"/>
  <c r="P32"/>
  <c r="O32"/>
  <c r="K32"/>
  <c r="H32"/>
  <c r="S31"/>
  <c r="Q31" s="1"/>
  <c r="R31"/>
  <c r="P31"/>
  <c r="O31"/>
  <c r="K31"/>
  <c r="H31"/>
  <c r="S30"/>
  <c r="R30"/>
  <c r="Q30" s="1"/>
  <c r="P30"/>
  <c r="G30" s="1"/>
  <c r="O30"/>
  <c r="N30" s="1"/>
  <c r="K30"/>
  <c r="H30"/>
  <c r="S29"/>
  <c r="R29"/>
  <c r="Q29" s="1"/>
  <c r="P29"/>
  <c r="O29"/>
  <c r="N29" s="1"/>
  <c r="K29"/>
  <c r="H29"/>
  <c r="G29"/>
  <c r="S28"/>
  <c r="R28"/>
  <c r="F28" s="1"/>
  <c r="P28"/>
  <c r="N28" s="1"/>
  <c r="O28"/>
  <c r="K28"/>
  <c r="H28"/>
  <c r="S27"/>
  <c r="R27"/>
  <c r="P27"/>
  <c r="O27"/>
  <c r="K27"/>
  <c r="H27"/>
  <c r="G27"/>
  <c r="S26"/>
  <c r="R26"/>
  <c r="P26"/>
  <c r="G26" s="1"/>
  <c r="O26"/>
  <c r="N26" s="1"/>
  <c r="K26"/>
  <c r="H26"/>
  <c r="S25"/>
  <c r="R25"/>
  <c r="Q25" s="1"/>
  <c r="P25"/>
  <c r="G25" s="1"/>
  <c r="O25"/>
  <c r="N25"/>
  <c r="K25"/>
  <c r="H25"/>
  <c r="F25"/>
  <c r="E25" s="1"/>
  <c r="S24"/>
  <c r="R24"/>
  <c r="Q24"/>
  <c r="P24"/>
  <c r="N24" s="1"/>
  <c r="O24"/>
  <c r="K24"/>
  <c r="H24"/>
  <c r="F24"/>
  <c r="S23"/>
  <c r="Q23" s="1"/>
  <c r="R23"/>
  <c r="P23"/>
  <c r="O23"/>
  <c r="K23"/>
  <c r="H23"/>
  <c r="G23"/>
  <c r="S22"/>
  <c r="R22"/>
  <c r="P22"/>
  <c r="O22"/>
  <c r="N22" s="1"/>
  <c r="K22"/>
  <c r="H22"/>
  <c r="G22"/>
  <c r="S21"/>
  <c r="R21"/>
  <c r="Q21"/>
  <c r="P21"/>
  <c r="G21" s="1"/>
  <c r="O21"/>
  <c r="N21" s="1"/>
  <c r="K21"/>
  <c r="H21"/>
  <c r="S20"/>
  <c r="R20"/>
  <c r="Q20" s="1"/>
  <c r="P20"/>
  <c r="N20" s="1"/>
  <c r="O20"/>
  <c r="K20"/>
  <c r="H20"/>
  <c r="F20"/>
  <c r="S19"/>
  <c r="Q19" s="1"/>
  <c r="R19"/>
  <c r="P19"/>
  <c r="O19"/>
  <c r="N19" s="1"/>
  <c r="K19"/>
  <c r="H19"/>
  <c r="S18"/>
  <c r="G18" s="1"/>
  <c r="R18"/>
  <c r="P18"/>
  <c r="O18"/>
  <c r="N18"/>
  <c r="K18"/>
  <c r="H18"/>
  <c r="F18"/>
  <c r="S17"/>
  <c r="R17"/>
  <c r="Q17" s="1"/>
  <c r="P17"/>
  <c r="G17" s="1"/>
  <c r="O17"/>
  <c r="N17" s="1"/>
  <c r="K17"/>
  <c r="H17"/>
  <c r="S16"/>
  <c r="R16"/>
  <c r="F16" s="1"/>
  <c r="P16"/>
  <c r="O16"/>
  <c r="K16"/>
  <c r="H16"/>
  <c r="S15"/>
  <c r="Q15" s="1"/>
  <c r="R15"/>
  <c r="P15"/>
  <c r="O15"/>
  <c r="K15"/>
  <c r="H15"/>
  <c r="S14"/>
  <c r="R14"/>
  <c r="R12" s="1"/>
  <c r="P14"/>
  <c r="P12" s="1"/>
  <c r="O14"/>
  <c r="N14" s="1"/>
  <c r="K14"/>
  <c r="H14"/>
  <c r="S13"/>
  <c r="S12" s="1"/>
  <c r="R13"/>
  <c r="Q13" s="1"/>
  <c r="P13"/>
  <c r="O13"/>
  <c r="O12" s="1"/>
  <c r="K13"/>
  <c r="H13"/>
  <c r="G13"/>
  <c r="M12"/>
  <c r="L12"/>
  <c r="J12"/>
  <c r="I12"/>
  <c r="H12"/>
  <c r="G12" l="1"/>
  <c r="F13"/>
  <c r="E13" s="1"/>
  <c r="N13"/>
  <c r="N12" s="1"/>
  <c r="Q18"/>
  <c r="F22"/>
  <c r="E22" s="1"/>
  <c r="N23"/>
  <c r="Q28"/>
  <c r="F29"/>
  <c r="E29" s="1"/>
  <c r="Q34"/>
  <c r="K12"/>
  <c r="G14"/>
  <c r="G15"/>
  <c r="Q16"/>
  <c r="F17"/>
  <c r="E17" s="1"/>
  <c r="Q22"/>
  <c r="F26"/>
  <c r="E26" s="1"/>
  <c r="N27"/>
  <c r="G31"/>
  <c r="Q32"/>
  <c r="F33"/>
  <c r="E33" s="1"/>
  <c r="F14"/>
  <c r="N15"/>
  <c r="N16"/>
  <c r="G19"/>
  <c r="F21"/>
  <c r="E21" s="1"/>
  <c r="Q26"/>
  <c r="Q27"/>
  <c r="F30"/>
  <c r="E30" s="1"/>
  <c r="N31"/>
  <c r="N32"/>
  <c r="G35"/>
  <c r="E18"/>
  <c r="E34"/>
  <c r="F12"/>
  <c r="Q14"/>
  <c r="F15"/>
  <c r="G16"/>
  <c r="E16" s="1"/>
  <c r="F19"/>
  <c r="E19" s="1"/>
  <c r="G20"/>
  <c r="E20" s="1"/>
  <c r="F23"/>
  <c r="E23" s="1"/>
  <c r="G24"/>
  <c r="E24" s="1"/>
  <c r="F27"/>
  <c r="E27" s="1"/>
  <c r="G28"/>
  <c r="E28" s="1"/>
  <c r="F31"/>
  <c r="E31" s="1"/>
  <c r="G32"/>
  <c r="E32" s="1"/>
  <c r="F35"/>
  <c r="E35" s="1"/>
  <c r="Q12" l="1"/>
  <c r="E15"/>
  <c r="E14"/>
  <c r="E12" s="1"/>
</calcChain>
</file>

<file path=xl/sharedStrings.xml><?xml version="1.0" encoding="utf-8"?>
<sst xmlns="http://schemas.openxmlformats.org/spreadsheetml/2006/main" count="101" uniqueCount="74">
  <si>
    <t xml:space="preserve">ตาราง     </t>
  </si>
  <si>
    <t>นักเรียน จำแนกตามระดับการศึกษา ละเพศ เป็นรายอำเภอ ปีการศึกษา 2557</t>
  </si>
  <si>
    <t xml:space="preserve">Table </t>
  </si>
  <si>
    <t>Students by Level of Education, Sex and District: Academic Year 2014</t>
  </si>
  <si>
    <t>อำเภอ</t>
  </si>
  <si>
    <t>ระดับการศึกษา Level of  education</t>
  </si>
  <si>
    <t>มัธยมศึกษา</t>
  </si>
  <si>
    <t>รวม</t>
  </si>
  <si>
    <t>ก่อนประถมศึกษา</t>
  </si>
  <si>
    <t>ประถมศึกษา</t>
  </si>
  <si>
    <t>Secondary</t>
  </si>
  <si>
    <t>District</t>
  </si>
  <si>
    <t>Total</t>
  </si>
  <si>
    <t>Pre-elementary</t>
  </si>
  <si>
    <t>Elementary</t>
  </si>
  <si>
    <t>มัธยมต้น</t>
  </si>
  <si>
    <t>มัธยมปลาย</t>
  </si>
  <si>
    <t>Lower Secondary</t>
  </si>
  <si>
    <t>Upper Secondary</t>
  </si>
  <si>
    <t>ชาย</t>
  </si>
  <si>
    <t>หญิง</t>
  </si>
  <si>
    <t>Male</t>
  </si>
  <si>
    <t>Female</t>
  </si>
  <si>
    <t>รวมยอด</t>
  </si>
  <si>
    <t>เมืองนครศรีธรรมราช</t>
  </si>
  <si>
    <t>Mueang Nakhon Si Thammarat</t>
  </si>
  <si>
    <t>ลานสกา</t>
  </si>
  <si>
    <t>Lan Saka</t>
  </si>
  <si>
    <t>พระพรหม</t>
  </si>
  <si>
    <t>Pra Phrom</t>
  </si>
  <si>
    <t>เฉลิมพระเกียรติ</t>
  </si>
  <si>
    <t>Chaloem Prakiet</t>
  </si>
  <si>
    <t>ฉวาง</t>
  </si>
  <si>
    <t>Chawang</t>
  </si>
  <si>
    <t>พิปูน</t>
  </si>
  <si>
    <t>Phipun</t>
  </si>
  <si>
    <t>ทุ่งสง</t>
  </si>
  <si>
    <t>Thung Song</t>
  </si>
  <si>
    <t xml:space="preserve">นาบอน </t>
  </si>
  <si>
    <t>Na Bon</t>
  </si>
  <si>
    <t>ทุ่งใหญ่</t>
  </si>
  <si>
    <t>Thung Yai</t>
  </si>
  <si>
    <t>บางขัน</t>
  </si>
  <si>
    <t>Bang Khan</t>
  </si>
  <si>
    <t>ถ้ำพรรณรา</t>
  </si>
  <si>
    <t>Tham Phannara</t>
  </si>
  <si>
    <t>ช้างกลาง</t>
  </si>
  <si>
    <t>Chang Klang</t>
  </si>
  <si>
    <t>เชียรใหญ่</t>
  </si>
  <si>
    <t>Chian Yai</t>
  </si>
  <si>
    <t>ชะอวด</t>
  </si>
  <si>
    <t>Cha - uat</t>
  </si>
  <si>
    <t>ปากพนัง</t>
  </si>
  <si>
    <t>Pak Phanang</t>
  </si>
  <si>
    <t>หัวไทร</t>
  </si>
  <si>
    <t>Hua Sai</t>
  </si>
  <si>
    <t>ร่อนพิบูลย์</t>
  </si>
  <si>
    <t>Ron Phibun</t>
  </si>
  <si>
    <t>จุฬาภรณ์</t>
  </si>
  <si>
    <t>Chula Phorn</t>
  </si>
  <si>
    <t>พรหมคีรี</t>
  </si>
  <si>
    <t>Phrommakhiri</t>
  </si>
  <si>
    <t>ท่าศาลา</t>
  </si>
  <si>
    <t>Tha Sala</t>
  </si>
  <si>
    <t>สิชล</t>
  </si>
  <si>
    <t>Sichon</t>
  </si>
  <si>
    <t>ขนอม</t>
  </si>
  <si>
    <t>Khanom</t>
  </si>
  <si>
    <t>นบพิตำ</t>
  </si>
  <si>
    <t>Nop phitam</t>
  </si>
  <si>
    <t xml:space="preserve">     ที่มา:  สำนักงานเขตพื้นที่การศึกษาประถมศึกษานครศรีธรรมราช เขต 1 - 4</t>
  </si>
  <si>
    <t>Source: Nakhon Si Thammarat Educational Service Area Office, Area 1 - 4</t>
  </si>
  <si>
    <t xml:space="preserve">             สำนักงานเขตพื้นที่การศึกษามัธยมศึกษาเขต 12  นครศรีธรรมราช</t>
  </si>
  <si>
    <t xml:space="preserve">Nakhon Si Thammarat Secondary Primary Educational Service Area Office,Area 12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</si>
</sst>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8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2"/>
      <name val="AngsanaUPC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67">
    <xf numFmtId="0" fontId="0" fillId="0" borderId="0" xfId="0"/>
    <xf numFmtId="0" fontId="2" fillId="0" borderId="0" xfId="0" applyFont="1"/>
    <xf numFmtId="0" fontId="2" fillId="0" borderId="0" xfId="0" quotePrefix="1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3" xfId="0" applyFont="1" applyBorder="1"/>
    <xf numFmtId="0" fontId="5" fillId="0" borderId="1" xfId="0" applyFont="1" applyBorder="1"/>
    <xf numFmtId="0" fontId="5" fillId="0" borderId="2" xfId="0" applyFont="1" applyBorder="1"/>
    <xf numFmtId="0" fontId="5" fillId="0" borderId="0" xfId="0" applyFont="1"/>
    <xf numFmtId="0" fontId="6" fillId="0" borderId="0" xfId="0" applyFont="1"/>
    <xf numFmtId="0" fontId="5" fillId="0" borderId="0" xfId="0" applyFont="1" applyBorder="1"/>
    <xf numFmtId="0" fontId="5" fillId="0" borderId="8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1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1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4" fillId="0" borderId="0" xfId="0" applyFont="1" applyBorder="1"/>
    <xf numFmtId="187" fontId="3" fillId="0" borderId="12" xfId="1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187" fontId="5" fillId="0" borderId="12" xfId="1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left" vertical="center"/>
    </xf>
    <xf numFmtId="49" fontId="5" fillId="0" borderId="0" xfId="0" applyNumberFormat="1" applyFont="1" applyBorder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0" fontId="5" fillId="0" borderId="0" xfId="2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49" fontId="5" fillId="0" borderId="9" xfId="0" applyNumberFormat="1" applyFont="1" applyBorder="1" applyAlignment="1">
      <alignment horizontal="left" vertical="center"/>
    </xf>
    <xf numFmtId="187" fontId="5" fillId="0" borderId="14" xfId="1" applyNumberFormat="1" applyFont="1" applyBorder="1" applyAlignment="1">
      <alignment horizontal="right" vertical="center" wrapText="1"/>
    </xf>
    <xf numFmtId="49" fontId="5" fillId="0" borderId="0" xfId="0" applyNumberFormat="1" applyFont="1" applyBorder="1" applyAlignment="1">
      <alignment horizontal="left" vertical="center"/>
    </xf>
    <xf numFmtId="49" fontId="5" fillId="0" borderId="7" xfId="0" applyNumberFormat="1" applyFont="1" applyBorder="1" applyAlignment="1">
      <alignment horizontal="left" vertical="center"/>
    </xf>
    <xf numFmtId="49" fontId="5" fillId="0" borderId="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2" fillId="0" borderId="0" xfId="0" applyFont="1" applyBorder="1"/>
    <xf numFmtId="0" fontId="3" fillId="0" borderId="0" xfId="0" applyFont="1" applyBorder="1"/>
    <xf numFmtId="0" fontId="6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</cellXfs>
  <cellStyles count="3">
    <cellStyle name="Thaihead" xfId="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V38"/>
  <sheetViews>
    <sheetView showGridLines="0" tabSelected="1" topLeftCell="A31" zoomScaleNormal="100" workbookViewId="0">
      <selection activeCell="W17" sqref="W17"/>
    </sheetView>
  </sheetViews>
  <sheetFormatPr defaultRowHeight="21.75"/>
  <cols>
    <col min="1" max="1" width="1.7109375" style="4" customWidth="1"/>
    <col min="2" max="2" width="6" style="4" customWidth="1"/>
    <col min="3" max="3" width="4.5703125" style="4" customWidth="1"/>
    <col min="4" max="4" width="3.42578125" style="4" customWidth="1"/>
    <col min="5" max="5" width="8.42578125" style="4" customWidth="1"/>
    <col min="6" max="6" width="8.28515625" style="4" customWidth="1"/>
    <col min="7" max="7" width="8.85546875" style="4" customWidth="1"/>
    <col min="8" max="8" width="7.28515625" style="4" customWidth="1"/>
    <col min="9" max="9" width="7.42578125" style="4" customWidth="1"/>
    <col min="10" max="12" width="7.5703125" style="4" customWidth="1"/>
    <col min="13" max="13" width="7.28515625" style="4" customWidth="1"/>
    <col min="14" max="14" width="8.42578125" style="4" customWidth="1"/>
    <col min="15" max="15" width="8.140625" style="4" customWidth="1"/>
    <col min="16" max="16" width="7.7109375" style="4" customWidth="1"/>
    <col min="17" max="17" width="7.5703125" style="4" customWidth="1"/>
    <col min="18" max="18" width="7.7109375" style="4" customWidth="1"/>
    <col min="19" max="19" width="7.28515625" style="4" customWidth="1"/>
    <col min="20" max="20" width="24.5703125" style="4" customWidth="1"/>
    <col min="21" max="21" width="2.28515625" style="23" customWidth="1"/>
    <col min="22" max="22" width="6.28515625" style="4" customWidth="1"/>
    <col min="23" max="16384" width="9.140625" style="4"/>
  </cols>
  <sheetData>
    <row r="1" spans="1:22" s="1" customFormat="1">
      <c r="B1" s="1" t="s">
        <v>0</v>
      </c>
      <c r="C1" s="2">
        <v>3.8</v>
      </c>
      <c r="D1" s="1" t="s">
        <v>1</v>
      </c>
      <c r="U1" s="63"/>
    </row>
    <row r="2" spans="1:22" s="3" customFormat="1">
      <c r="B2" s="1" t="s">
        <v>2</v>
      </c>
      <c r="C2" s="2">
        <v>3.8</v>
      </c>
      <c r="D2" s="1" t="s">
        <v>3</v>
      </c>
      <c r="E2" s="1"/>
      <c r="U2" s="64"/>
    </row>
    <row r="3" spans="1:22" ht="6" customHeight="1">
      <c r="T3" s="23"/>
    </row>
    <row r="4" spans="1:22" s="9" customFormat="1" ht="21" customHeight="1">
      <c r="A4" s="49" t="s">
        <v>4</v>
      </c>
      <c r="B4" s="49"/>
      <c r="C4" s="49"/>
      <c r="D4" s="50"/>
      <c r="E4" s="5"/>
      <c r="F4" s="6"/>
      <c r="G4" s="7"/>
      <c r="H4" s="55" t="s">
        <v>5</v>
      </c>
      <c r="I4" s="56"/>
      <c r="J4" s="56"/>
      <c r="K4" s="56"/>
      <c r="L4" s="56"/>
      <c r="M4" s="56"/>
      <c r="N4" s="56"/>
      <c r="O4" s="56"/>
      <c r="P4" s="56"/>
      <c r="Q4" s="56"/>
      <c r="R4" s="56"/>
      <c r="S4" s="57"/>
      <c r="T4" s="6"/>
      <c r="U4" s="10"/>
    </row>
    <row r="5" spans="1:22" s="9" customFormat="1" ht="18" customHeight="1">
      <c r="A5" s="51"/>
      <c r="B5" s="51"/>
      <c r="C5" s="51"/>
      <c r="D5" s="52"/>
      <c r="E5" s="8"/>
      <c r="F5" s="8"/>
      <c r="G5" s="8"/>
      <c r="H5" s="5"/>
      <c r="I5" s="6"/>
      <c r="J5" s="7"/>
      <c r="K5" s="5"/>
      <c r="L5" s="6"/>
      <c r="M5" s="7"/>
      <c r="N5" s="58" t="s">
        <v>6</v>
      </c>
      <c r="O5" s="58"/>
      <c r="P5" s="58"/>
      <c r="Q5" s="58"/>
      <c r="R5" s="58"/>
      <c r="S5" s="59"/>
      <c r="T5" s="10"/>
      <c r="U5" s="10"/>
    </row>
    <row r="6" spans="1:22" s="9" customFormat="1" ht="18" customHeight="1">
      <c r="A6" s="51"/>
      <c r="B6" s="51"/>
      <c r="C6" s="51"/>
      <c r="D6" s="52"/>
      <c r="E6" s="60" t="s">
        <v>7</v>
      </c>
      <c r="F6" s="58"/>
      <c r="G6" s="59"/>
      <c r="H6" s="60" t="s">
        <v>8</v>
      </c>
      <c r="I6" s="58"/>
      <c r="J6" s="59"/>
      <c r="K6" s="60" t="s">
        <v>9</v>
      </c>
      <c r="L6" s="58"/>
      <c r="M6" s="59"/>
      <c r="N6" s="61" t="s">
        <v>10</v>
      </c>
      <c r="O6" s="61"/>
      <c r="P6" s="61"/>
      <c r="Q6" s="61"/>
      <c r="R6" s="61"/>
      <c r="S6" s="62"/>
      <c r="T6" s="11" t="s">
        <v>11</v>
      </c>
      <c r="U6" s="10"/>
    </row>
    <row r="7" spans="1:22" s="9" customFormat="1" ht="19.5" customHeight="1">
      <c r="A7" s="51"/>
      <c r="B7" s="51"/>
      <c r="C7" s="51"/>
      <c r="D7" s="52"/>
      <c r="E7" s="60" t="s">
        <v>12</v>
      </c>
      <c r="F7" s="58"/>
      <c r="G7" s="59"/>
      <c r="H7" s="60" t="s">
        <v>13</v>
      </c>
      <c r="I7" s="58"/>
      <c r="J7" s="59"/>
      <c r="K7" s="60" t="s">
        <v>14</v>
      </c>
      <c r="L7" s="58"/>
      <c r="M7" s="59"/>
      <c r="N7" s="38" t="s">
        <v>15</v>
      </c>
      <c r="O7" s="38"/>
      <c r="P7" s="39"/>
      <c r="Q7" s="40" t="s">
        <v>16</v>
      </c>
      <c r="R7" s="41"/>
      <c r="S7" s="42"/>
      <c r="T7" s="12"/>
      <c r="U7" s="10"/>
    </row>
    <row r="8" spans="1:22" s="9" customFormat="1" ht="19.5" customHeight="1">
      <c r="A8" s="51"/>
      <c r="B8" s="51"/>
      <c r="C8" s="51"/>
      <c r="D8" s="52"/>
      <c r="E8" s="13"/>
      <c r="F8" s="14"/>
      <c r="G8" s="15"/>
      <c r="H8" s="13"/>
      <c r="I8" s="14"/>
      <c r="J8" s="15"/>
      <c r="K8" s="13"/>
      <c r="L8" s="14"/>
      <c r="M8" s="15"/>
      <c r="N8" s="43" t="s">
        <v>17</v>
      </c>
      <c r="O8" s="43"/>
      <c r="P8" s="44"/>
      <c r="Q8" s="45" t="s">
        <v>18</v>
      </c>
      <c r="R8" s="43"/>
      <c r="S8" s="44"/>
      <c r="T8" s="12"/>
      <c r="U8" s="10"/>
    </row>
    <row r="9" spans="1:22" s="9" customFormat="1" ht="19.5" customHeight="1">
      <c r="A9" s="51"/>
      <c r="B9" s="51"/>
      <c r="C9" s="51"/>
      <c r="D9" s="52"/>
      <c r="E9" s="16" t="s">
        <v>7</v>
      </c>
      <c r="F9" s="16" t="s">
        <v>19</v>
      </c>
      <c r="G9" s="17" t="s">
        <v>20</v>
      </c>
      <c r="H9" s="16" t="s">
        <v>7</v>
      </c>
      <c r="I9" s="16" t="s">
        <v>19</v>
      </c>
      <c r="J9" s="17" t="s">
        <v>20</v>
      </c>
      <c r="K9" s="16" t="s">
        <v>7</v>
      </c>
      <c r="L9" s="16" t="s">
        <v>19</v>
      </c>
      <c r="M9" s="17" t="s">
        <v>20</v>
      </c>
      <c r="N9" s="18" t="s">
        <v>7</v>
      </c>
      <c r="O9" s="18" t="s">
        <v>19</v>
      </c>
      <c r="P9" s="17" t="s">
        <v>20</v>
      </c>
      <c r="Q9" s="18" t="s">
        <v>7</v>
      </c>
      <c r="R9" s="18" t="s">
        <v>19</v>
      </c>
      <c r="S9" s="17" t="s">
        <v>20</v>
      </c>
      <c r="T9" s="10"/>
      <c r="U9" s="10"/>
    </row>
    <row r="10" spans="1:22" s="9" customFormat="1" ht="19.5" customHeight="1">
      <c r="A10" s="53"/>
      <c r="B10" s="53"/>
      <c r="C10" s="53"/>
      <c r="D10" s="54"/>
      <c r="E10" s="19" t="s">
        <v>12</v>
      </c>
      <c r="F10" s="19" t="s">
        <v>21</v>
      </c>
      <c r="G10" s="20" t="s">
        <v>22</v>
      </c>
      <c r="H10" s="19" t="s">
        <v>12</v>
      </c>
      <c r="I10" s="19" t="s">
        <v>21</v>
      </c>
      <c r="J10" s="20" t="s">
        <v>22</v>
      </c>
      <c r="K10" s="19" t="s">
        <v>12</v>
      </c>
      <c r="L10" s="19" t="s">
        <v>21</v>
      </c>
      <c r="M10" s="20" t="s">
        <v>22</v>
      </c>
      <c r="N10" s="19" t="s">
        <v>12</v>
      </c>
      <c r="O10" s="19" t="s">
        <v>21</v>
      </c>
      <c r="P10" s="20" t="s">
        <v>22</v>
      </c>
      <c r="Q10" s="19" t="s">
        <v>12</v>
      </c>
      <c r="R10" s="19" t="s">
        <v>21</v>
      </c>
      <c r="S10" s="20" t="s">
        <v>22</v>
      </c>
      <c r="T10" s="14"/>
      <c r="U10" s="10"/>
    </row>
    <row r="11" spans="1:22" s="23" customFormat="1" ht="3" customHeight="1">
      <c r="A11" s="21"/>
      <c r="B11" s="21"/>
      <c r="C11" s="21"/>
      <c r="D11" s="22"/>
      <c r="E11" s="16"/>
      <c r="F11" s="16"/>
      <c r="G11" s="17"/>
      <c r="H11" s="16"/>
      <c r="I11" s="16"/>
      <c r="J11" s="17"/>
      <c r="K11" s="16"/>
      <c r="L11" s="16"/>
      <c r="M11" s="17"/>
      <c r="N11" s="16"/>
      <c r="O11" s="16"/>
      <c r="P11" s="16"/>
      <c r="Q11" s="16"/>
      <c r="R11" s="16"/>
      <c r="S11" s="17"/>
      <c r="T11" s="10"/>
      <c r="U11" s="10"/>
    </row>
    <row r="12" spans="1:22" s="25" customFormat="1" ht="24.95" customHeight="1">
      <c r="A12" s="46" t="s">
        <v>23</v>
      </c>
      <c r="B12" s="46"/>
      <c r="C12" s="46"/>
      <c r="D12" s="47"/>
      <c r="E12" s="24">
        <f>SUM(E13:E35)</f>
        <v>214462</v>
      </c>
      <c r="F12" s="24">
        <f>SUM(R12,O12,L12,I12)</f>
        <v>106324</v>
      </c>
      <c r="G12" s="24">
        <f>SUM(S12,P12,M12,J12)</f>
        <v>108138</v>
      </c>
      <c r="H12" s="24">
        <f t="shared" ref="H12:S12" si="0">SUM(H13:H35)</f>
        <v>33016</v>
      </c>
      <c r="I12" s="24">
        <f t="shared" si="0"/>
        <v>17006</v>
      </c>
      <c r="J12" s="24">
        <f t="shared" si="0"/>
        <v>16010</v>
      </c>
      <c r="K12" s="24">
        <f t="shared" si="0"/>
        <v>98910</v>
      </c>
      <c r="L12" s="24">
        <f t="shared" si="0"/>
        <v>51650</v>
      </c>
      <c r="M12" s="24">
        <f t="shared" si="0"/>
        <v>47260</v>
      </c>
      <c r="N12" s="24">
        <f t="shared" si="0"/>
        <v>58849</v>
      </c>
      <c r="O12" s="24">
        <f t="shared" si="0"/>
        <v>29020</v>
      </c>
      <c r="P12" s="24">
        <f t="shared" si="0"/>
        <v>29829</v>
      </c>
      <c r="Q12" s="24">
        <f t="shared" si="0"/>
        <v>23687</v>
      </c>
      <c r="R12" s="24">
        <f t="shared" si="0"/>
        <v>8648</v>
      </c>
      <c r="S12" s="24">
        <f t="shared" si="0"/>
        <v>15039</v>
      </c>
      <c r="T12" s="48" t="s">
        <v>12</v>
      </c>
      <c r="U12" s="46"/>
      <c r="V12" s="66"/>
    </row>
    <row r="13" spans="1:22" ht="24.95" customHeight="1">
      <c r="A13" s="26"/>
      <c r="B13" s="35" t="s">
        <v>24</v>
      </c>
      <c r="C13" s="35"/>
      <c r="D13" s="36"/>
      <c r="E13" s="27">
        <f>SUM(F13:G13)</f>
        <v>53528</v>
      </c>
      <c r="F13" s="27">
        <f t="shared" ref="F13:G35" si="1">SUM(R13,O13,L13,I13)</f>
        <v>25873</v>
      </c>
      <c r="G13" s="27">
        <f t="shared" si="1"/>
        <v>27655</v>
      </c>
      <c r="H13" s="27">
        <f>SUM(I13:J13)</f>
        <v>8846</v>
      </c>
      <c r="I13" s="27">
        <v>4511</v>
      </c>
      <c r="J13" s="27">
        <v>4335</v>
      </c>
      <c r="K13" s="27">
        <f>SUM(L13:M13)</f>
        <v>18133</v>
      </c>
      <c r="L13" s="27">
        <v>9398</v>
      </c>
      <c r="M13" s="27">
        <v>8735</v>
      </c>
      <c r="N13" s="27">
        <f>SUM(O13:P13)</f>
        <v>21128</v>
      </c>
      <c r="O13" s="27">
        <f>3130+6917</f>
        <v>10047</v>
      </c>
      <c r="P13" s="27">
        <f>3708+7373</f>
        <v>11081</v>
      </c>
      <c r="Q13" s="27">
        <f>SUM(R13:S13)</f>
        <v>5421</v>
      </c>
      <c r="R13" s="27">
        <f>1917</f>
        <v>1917</v>
      </c>
      <c r="S13" s="27">
        <f>3504</f>
        <v>3504</v>
      </c>
      <c r="T13" s="26" t="s">
        <v>25</v>
      </c>
      <c r="U13" s="26"/>
    </row>
    <row r="14" spans="1:22" ht="24.95" customHeight="1">
      <c r="A14" s="28"/>
      <c r="B14" s="35" t="s">
        <v>26</v>
      </c>
      <c r="C14" s="35"/>
      <c r="D14" s="36"/>
      <c r="E14" s="27">
        <f t="shared" ref="E14:E35" si="2">SUM(F14:G14)</f>
        <v>4740</v>
      </c>
      <c r="F14" s="27">
        <f t="shared" si="1"/>
        <v>2409</v>
      </c>
      <c r="G14" s="27">
        <f t="shared" si="1"/>
        <v>2331</v>
      </c>
      <c r="H14" s="27">
        <f t="shared" ref="H14:H35" si="3">SUM(I14:J14)</f>
        <v>881</v>
      </c>
      <c r="I14" s="27">
        <v>475</v>
      </c>
      <c r="J14" s="27">
        <v>406</v>
      </c>
      <c r="K14" s="27">
        <f t="shared" ref="K14:K35" si="4">SUM(L14:M14)</f>
        <v>1984</v>
      </c>
      <c r="L14" s="27">
        <v>993</v>
      </c>
      <c r="M14" s="27">
        <v>991</v>
      </c>
      <c r="N14" s="27">
        <f t="shared" ref="N14:N35" si="5">SUM(O14:P14)</f>
        <v>1320</v>
      </c>
      <c r="O14" s="27">
        <f>501+211</f>
        <v>712</v>
      </c>
      <c r="P14" s="27">
        <f>474+134</f>
        <v>608</v>
      </c>
      <c r="Q14" s="27">
        <f t="shared" ref="Q14:Q35" si="6">SUM(R14:S14)</f>
        <v>555</v>
      </c>
      <c r="R14" s="27">
        <f>229</f>
        <v>229</v>
      </c>
      <c r="S14" s="27">
        <f>326</f>
        <v>326</v>
      </c>
      <c r="T14" s="26" t="s">
        <v>27</v>
      </c>
      <c r="U14" s="26"/>
    </row>
    <row r="15" spans="1:22" ht="24.95" customHeight="1">
      <c r="A15" s="28"/>
      <c r="B15" s="35" t="s">
        <v>28</v>
      </c>
      <c r="C15" s="35"/>
      <c r="D15" s="36"/>
      <c r="E15" s="27">
        <f t="shared" si="2"/>
        <v>4613</v>
      </c>
      <c r="F15" s="27">
        <f t="shared" si="1"/>
        <v>2064</v>
      </c>
      <c r="G15" s="27">
        <f t="shared" si="1"/>
        <v>2549</v>
      </c>
      <c r="H15" s="27">
        <f t="shared" si="3"/>
        <v>455</v>
      </c>
      <c r="I15" s="27">
        <v>232</v>
      </c>
      <c r="J15" s="27">
        <v>223</v>
      </c>
      <c r="K15" s="27">
        <f t="shared" si="4"/>
        <v>1772</v>
      </c>
      <c r="L15" s="27">
        <v>903</v>
      </c>
      <c r="M15" s="27">
        <v>869</v>
      </c>
      <c r="N15" s="27">
        <f t="shared" si="5"/>
        <v>891</v>
      </c>
      <c r="O15" s="27">
        <f>305+165</f>
        <v>470</v>
      </c>
      <c r="P15" s="27">
        <f>299+122</f>
        <v>421</v>
      </c>
      <c r="Q15" s="27">
        <f t="shared" si="6"/>
        <v>1495</v>
      </c>
      <c r="R15" s="27">
        <f>459</f>
        <v>459</v>
      </c>
      <c r="S15" s="27">
        <f>1036</f>
        <v>1036</v>
      </c>
      <c r="T15" s="26" t="s">
        <v>29</v>
      </c>
      <c r="U15" s="26"/>
    </row>
    <row r="16" spans="1:22" ht="24.95" customHeight="1">
      <c r="A16" s="26"/>
      <c r="B16" s="35" t="s">
        <v>30</v>
      </c>
      <c r="C16" s="35"/>
      <c r="D16" s="36"/>
      <c r="E16" s="27">
        <f t="shared" si="2"/>
        <v>3279</v>
      </c>
      <c r="F16" s="27">
        <f t="shared" si="1"/>
        <v>1604</v>
      </c>
      <c r="G16" s="27">
        <f t="shared" si="1"/>
        <v>1675</v>
      </c>
      <c r="H16" s="27">
        <f t="shared" si="3"/>
        <v>213</v>
      </c>
      <c r="I16" s="27">
        <v>113</v>
      </c>
      <c r="J16" s="27">
        <v>100</v>
      </c>
      <c r="K16" s="27">
        <f t="shared" si="4"/>
        <v>1519</v>
      </c>
      <c r="L16" s="27">
        <v>790</v>
      </c>
      <c r="M16" s="27">
        <v>729</v>
      </c>
      <c r="N16" s="27">
        <f t="shared" si="5"/>
        <v>1042</v>
      </c>
      <c r="O16" s="27">
        <f>534</f>
        <v>534</v>
      </c>
      <c r="P16" s="27">
        <f>508</f>
        <v>508</v>
      </c>
      <c r="Q16" s="27">
        <f t="shared" si="6"/>
        <v>505</v>
      </c>
      <c r="R16" s="27">
        <f>167</f>
        <v>167</v>
      </c>
      <c r="S16" s="27">
        <f>338</f>
        <v>338</v>
      </c>
      <c r="T16" s="26" t="s">
        <v>31</v>
      </c>
      <c r="U16" s="26"/>
    </row>
    <row r="17" spans="1:21" ht="24.95" customHeight="1">
      <c r="A17" s="26"/>
      <c r="B17" s="29" t="s">
        <v>32</v>
      </c>
      <c r="C17" s="29"/>
      <c r="D17" s="29"/>
      <c r="E17" s="27">
        <f t="shared" si="2"/>
        <v>10457</v>
      </c>
      <c r="F17" s="27">
        <f t="shared" si="1"/>
        <v>5172</v>
      </c>
      <c r="G17" s="27">
        <f t="shared" si="1"/>
        <v>5285</v>
      </c>
      <c r="H17" s="27">
        <f t="shared" si="3"/>
        <v>2238</v>
      </c>
      <c r="I17" s="27">
        <v>1113</v>
      </c>
      <c r="J17" s="27">
        <v>1125</v>
      </c>
      <c r="K17" s="27">
        <f t="shared" si="4"/>
        <v>5425</v>
      </c>
      <c r="L17" s="27">
        <v>2758</v>
      </c>
      <c r="M17" s="27">
        <v>2667</v>
      </c>
      <c r="N17" s="27">
        <f t="shared" si="5"/>
        <v>1973</v>
      </c>
      <c r="O17" s="27">
        <f>497+485</f>
        <v>982</v>
      </c>
      <c r="P17" s="27">
        <f>609+382</f>
        <v>991</v>
      </c>
      <c r="Q17" s="27">
        <f t="shared" si="6"/>
        <v>821</v>
      </c>
      <c r="R17" s="27">
        <f>319</f>
        <v>319</v>
      </c>
      <c r="S17" s="27">
        <f>502</f>
        <v>502</v>
      </c>
      <c r="T17" s="26" t="s">
        <v>33</v>
      </c>
      <c r="U17" s="26"/>
    </row>
    <row r="18" spans="1:21" ht="24.95" customHeight="1">
      <c r="A18" s="26"/>
      <c r="B18" s="29" t="s">
        <v>34</v>
      </c>
      <c r="C18" s="29"/>
      <c r="D18" s="29"/>
      <c r="E18" s="27">
        <f t="shared" si="2"/>
        <v>3322</v>
      </c>
      <c r="F18" s="27">
        <f t="shared" si="1"/>
        <v>1607</v>
      </c>
      <c r="G18" s="27">
        <f t="shared" si="1"/>
        <v>1715</v>
      </c>
      <c r="H18" s="27">
        <f t="shared" si="3"/>
        <v>578</v>
      </c>
      <c r="I18" s="27">
        <v>270</v>
      </c>
      <c r="J18" s="27">
        <v>308</v>
      </c>
      <c r="K18" s="27">
        <f t="shared" si="4"/>
        <v>1885</v>
      </c>
      <c r="L18" s="27">
        <v>948</v>
      </c>
      <c r="M18" s="27">
        <v>937</v>
      </c>
      <c r="N18" s="27">
        <f t="shared" si="5"/>
        <v>579</v>
      </c>
      <c r="O18" s="27">
        <f>193+101</f>
        <v>294</v>
      </c>
      <c r="P18" s="27">
        <f>207+78</f>
        <v>285</v>
      </c>
      <c r="Q18" s="27">
        <f t="shared" si="6"/>
        <v>280</v>
      </c>
      <c r="R18" s="27">
        <f>95</f>
        <v>95</v>
      </c>
      <c r="S18" s="27">
        <f>185</f>
        <v>185</v>
      </c>
      <c r="T18" s="26" t="s">
        <v>35</v>
      </c>
      <c r="U18" s="26"/>
    </row>
    <row r="19" spans="1:21" ht="24.95" customHeight="1">
      <c r="A19" s="28"/>
      <c r="B19" s="29" t="s">
        <v>36</v>
      </c>
      <c r="C19" s="29"/>
      <c r="D19" s="30"/>
      <c r="E19" s="27">
        <f t="shared" si="2"/>
        <v>25954</v>
      </c>
      <c r="F19" s="27">
        <f t="shared" si="1"/>
        <v>12565</v>
      </c>
      <c r="G19" s="27">
        <f t="shared" si="1"/>
        <v>13389</v>
      </c>
      <c r="H19" s="27">
        <f t="shared" si="3"/>
        <v>5236</v>
      </c>
      <c r="I19" s="27">
        <v>2625</v>
      </c>
      <c r="J19" s="27">
        <v>2611</v>
      </c>
      <c r="K19" s="27">
        <f t="shared" si="4"/>
        <v>11748</v>
      </c>
      <c r="L19" s="27">
        <v>6111</v>
      </c>
      <c r="M19" s="27">
        <v>5637</v>
      </c>
      <c r="N19" s="27">
        <f t="shared" si="5"/>
        <v>5927</v>
      </c>
      <c r="O19" s="27">
        <f>1824+972</f>
        <v>2796</v>
      </c>
      <c r="P19" s="27">
        <f>2368+763</f>
        <v>3131</v>
      </c>
      <c r="Q19" s="27">
        <f t="shared" si="6"/>
        <v>3043</v>
      </c>
      <c r="R19" s="27">
        <f>1033</f>
        <v>1033</v>
      </c>
      <c r="S19" s="27">
        <f>2010</f>
        <v>2010</v>
      </c>
      <c r="T19" s="26" t="s">
        <v>37</v>
      </c>
      <c r="U19" s="26"/>
    </row>
    <row r="20" spans="1:21" ht="24.95" customHeight="1">
      <c r="A20" s="28"/>
      <c r="B20" s="29" t="s">
        <v>38</v>
      </c>
      <c r="C20" s="29"/>
      <c r="D20" s="30"/>
      <c r="E20" s="27">
        <f t="shared" si="2"/>
        <v>3691</v>
      </c>
      <c r="F20" s="27">
        <f t="shared" si="1"/>
        <v>1717</v>
      </c>
      <c r="G20" s="27">
        <f t="shared" si="1"/>
        <v>1974</v>
      </c>
      <c r="H20" s="27">
        <f t="shared" si="3"/>
        <v>579</v>
      </c>
      <c r="I20" s="27">
        <v>215</v>
      </c>
      <c r="J20" s="27">
        <v>364</v>
      </c>
      <c r="K20" s="27">
        <f t="shared" si="4"/>
        <v>1849</v>
      </c>
      <c r="L20" s="27">
        <v>935</v>
      </c>
      <c r="M20" s="27">
        <v>914</v>
      </c>
      <c r="N20" s="27">
        <f t="shared" si="5"/>
        <v>860</v>
      </c>
      <c r="O20" s="27">
        <f>218+182</f>
        <v>400</v>
      </c>
      <c r="P20" s="27">
        <f>279+181</f>
        <v>460</v>
      </c>
      <c r="Q20" s="27">
        <f t="shared" si="6"/>
        <v>403</v>
      </c>
      <c r="R20" s="27">
        <f>167</f>
        <v>167</v>
      </c>
      <c r="S20" s="27">
        <f>236</f>
        <v>236</v>
      </c>
      <c r="T20" s="26" t="s">
        <v>39</v>
      </c>
      <c r="U20" s="26"/>
    </row>
    <row r="21" spans="1:21" ht="24.95" customHeight="1">
      <c r="A21" s="37" t="s">
        <v>40</v>
      </c>
      <c r="B21" s="37"/>
      <c r="C21" s="29"/>
      <c r="D21" s="30"/>
      <c r="E21" s="27">
        <f t="shared" si="2"/>
        <v>12463</v>
      </c>
      <c r="F21" s="27">
        <f t="shared" si="1"/>
        <v>6343</v>
      </c>
      <c r="G21" s="27">
        <f t="shared" si="1"/>
        <v>6120</v>
      </c>
      <c r="H21" s="27">
        <f t="shared" si="3"/>
        <v>2348</v>
      </c>
      <c r="I21" s="27">
        <v>1228</v>
      </c>
      <c r="J21" s="27">
        <v>1120</v>
      </c>
      <c r="K21" s="27">
        <f t="shared" si="4"/>
        <v>6233</v>
      </c>
      <c r="L21" s="27">
        <v>3222</v>
      </c>
      <c r="M21" s="27">
        <v>3011</v>
      </c>
      <c r="N21" s="27">
        <f t="shared" si="5"/>
        <v>2607</v>
      </c>
      <c r="O21" s="27">
        <f>693+652</f>
        <v>1345</v>
      </c>
      <c r="P21" s="27">
        <f>804+458</f>
        <v>1262</v>
      </c>
      <c r="Q21" s="27">
        <f t="shared" si="6"/>
        <v>1275</v>
      </c>
      <c r="R21" s="27">
        <f>548</f>
        <v>548</v>
      </c>
      <c r="S21" s="27">
        <f>727</f>
        <v>727</v>
      </c>
      <c r="T21" s="26" t="s">
        <v>41</v>
      </c>
      <c r="U21" s="26"/>
    </row>
    <row r="22" spans="1:21" ht="24.95" customHeight="1">
      <c r="A22" s="26"/>
      <c r="B22" s="29" t="s">
        <v>42</v>
      </c>
      <c r="C22" s="29"/>
      <c r="D22" s="29"/>
      <c r="E22" s="27">
        <f t="shared" si="2"/>
        <v>6515</v>
      </c>
      <c r="F22" s="27">
        <f t="shared" si="1"/>
        <v>3451</v>
      </c>
      <c r="G22" s="27">
        <f t="shared" si="1"/>
        <v>3064</v>
      </c>
      <c r="H22" s="27">
        <f t="shared" si="3"/>
        <v>1087</v>
      </c>
      <c r="I22" s="27">
        <v>702</v>
      </c>
      <c r="J22" s="27">
        <v>385</v>
      </c>
      <c r="K22" s="27">
        <f t="shared" si="4"/>
        <v>3718</v>
      </c>
      <c r="L22" s="27">
        <v>1987</v>
      </c>
      <c r="M22" s="27">
        <v>1731</v>
      </c>
      <c r="N22" s="27">
        <f t="shared" si="5"/>
        <v>1280</v>
      </c>
      <c r="O22" s="27">
        <f>373+247</f>
        <v>620</v>
      </c>
      <c r="P22" s="27">
        <f>434+226</f>
        <v>660</v>
      </c>
      <c r="Q22" s="27">
        <f t="shared" si="6"/>
        <v>430</v>
      </c>
      <c r="R22" s="27">
        <f>142</f>
        <v>142</v>
      </c>
      <c r="S22" s="27">
        <f>288</f>
        <v>288</v>
      </c>
      <c r="T22" s="26" t="s">
        <v>43</v>
      </c>
      <c r="U22" s="26"/>
    </row>
    <row r="23" spans="1:21" ht="24.95" customHeight="1">
      <c r="A23" s="26"/>
      <c r="B23" s="35" t="s">
        <v>44</v>
      </c>
      <c r="C23" s="35"/>
      <c r="D23" s="36"/>
      <c r="E23" s="27">
        <f t="shared" si="2"/>
        <v>2325</v>
      </c>
      <c r="F23" s="27">
        <f t="shared" si="1"/>
        <v>1301</v>
      </c>
      <c r="G23" s="27">
        <f t="shared" si="1"/>
        <v>1024</v>
      </c>
      <c r="H23" s="27">
        <f t="shared" si="3"/>
        <v>637</v>
      </c>
      <c r="I23" s="27">
        <v>393</v>
      </c>
      <c r="J23" s="27">
        <v>244</v>
      </c>
      <c r="K23" s="27">
        <f t="shared" si="4"/>
        <v>1177</v>
      </c>
      <c r="L23" s="27">
        <v>619</v>
      </c>
      <c r="M23" s="27">
        <v>558</v>
      </c>
      <c r="N23" s="27">
        <f t="shared" si="5"/>
        <v>403</v>
      </c>
      <c r="O23" s="27">
        <f>55+181</f>
        <v>236</v>
      </c>
      <c r="P23" s="27">
        <f>47+120</f>
        <v>167</v>
      </c>
      <c r="Q23" s="27">
        <f t="shared" si="6"/>
        <v>108</v>
      </c>
      <c r="R23" s="27">
        <f>53</f>
        <v>53</v>
      </c>
      <c r="S23" s="27">
        <f>55</f>
        <v>55</v>
      </c>
      <c r="T23" s="26" t="s">
        <v>45</v>
      </c>
      <c r="U23" s="26"/>
    </row>
    <row r="24" spans="1:21" ht="24.95" customHeight="1">
      <c r="A24" s="26"/>
      <c r="B24" s="35" t="s">
        <v>46</v>
      </c>
      <c r="C24" s="35"/>
      <c r="D24" s="29"/>
      <c r="E24" s="27">
        <f t="shared" si="2"/>
        <v>4836</v>
      </c>
      <c r="F24" s="27">
        <f t="shared" si="1"/>
        <v>2475</v>
      </c>
      <c r="G24" s="27">
        <f t="shared" si="1"/>
        <v>2361</v>
      </c>
      <c r="H24" s="27">
        <f t="shared" si="3"/>
        <v>1048</v>
      </c>
      <c r="I24" s="27">
        <v>508</v>
      </c>
      <c r="J24" s="27">
        <v>540</v>
      </c>
      <c r="K24" s="27">
        <f t="shared" si="4"/>
        <v>2432</v>
      </c>
      <c r="L24" s="27">
        <v>1301</v>
      </c>
      <c r="M24" s="27">
        <v>1131</v>
      </c>
      <c r="N24" s="27">
        <f t="shared" si="5"/>
        <v>935</v>
      </c>
      <c r="O24" s="27">
        <f>122+363</f>
        <v>485</v>
      </c>
      <c r="P24" s="27">
        <f>121+329</f>
        <v>450</v>
      </c>
      <c r="Q24" s="27">
        <f t="shared" si="6"/>
        <v>421</v>
      </c>
      <c r="R24" s="27">
        <f>120+61</f>
        <v>181</v>
      </c>
      <c r="S24" s="27">
        <f>207+33</f>
        <v>240</v>
      </c>
      <c r="T24" s="26" t="s">
        <v>47</v>
      </c>
      <c r="U24" s="26"/>
    </row>
    <row r="25" spans="1:21" ht="24.95" customHeight="1">
      <c r="A25" s="26"/>
      <c r="B25" s="35" t="s">
        <v>48</v>
      </c>
      <c r="C25" s="35"/>
      <c r="D25" s="36"/>
      <c r="E25" s="27">
        <f>SUM(F25:G25)</f>
        <v>5361</v>
      </c>
      <c r="F25" s="27">
        <f t="shared" si="1"/>
        <v>2731</v>
      </c>
      <c r="G25" s="27">
        <f t="shared" si="1"/>
        <v>2630</v>
      </c>
      <c r="H25" s="27">
        <f>SUM(I25:J25)</f>
        <v>758</v>
      </c>
      <c r="I25" s="27">
        <v>388</v>
      </c>
      <c r="J25" s="27">
        <v>370</v>
      </c>
      <c r="K25" s="27">
        <f>SUM(L25:M25)</f>
        <v>2536</v>
      </c>
      <c r="L25" s="27">
        <v>1353</v>
      </c>
      <c r="M25" s="27">
        <v>1183</v>
      </c>
      <c r="N25" s="27">
        <f>SUM(O25:P25)</f>
        <v>1412</v>
      </c>
      <c r="O25" s="27">
        <f>158+592</f>
        <v>750</v>
      </c>
      <c r="P25" s="27">
        <f>97+565</f>
        <v>662</v>
      </c>
      <c r="Q25" s="27">
        <f>SUM(R25:S25)</f>
        <v>655</v>
      </c>
      <c r="R25" s="27">
        <f>240</f>
        <v>240</v>
      </c>
      <c r="S25" s="27">
        <f>415</f>
        <v>415</v>
      </c>
      <c r="T25" s="26" t="s">
        <v>49</v>
      </c>
      <c r="U25" s="26"/>
    </row>
    <row r="26" spans="1:21" ht="24.95" customHeight="1">
      <c r="A26" s="28"/>
      <c r="B26" s="35" t="s">
        <v>50</v>
      </c>
      <c r="C26" s="35"/>
      <c r="D26" s="36"/>
      <c r="E26" s="27">
        <f>SUM(F26:G26)</f>
        <v>11356</v>
      </c>
      <c r="F26" s="27">
        <f t="shared" si="1"/>
        <v>5692</v>
      </c>
      <c r="G26" s="27">
        <f t="shared" si="1"/>
        <v>5664</v>
      </c>
      <c r="H26" s="27">
        <f>SUM(I26:J26)</f>
        <v>1520</v>
      </c>
      <c r="I26" s="27">
        <v>775</v>
      </c>
      <c r="J26" s="27">
        <v>745</v>
      </c>
      <c r="K26" s="27">
        <f>SUM(L26:M26)</f>
        <v>5907</v>
      </c>
      <c r="L26" s="27">
        <v>3083</v>
      </c>
      <c r="M26" s="27">
        <v>2824</v>
      </c>
      <c r="N26" s="27">
        <f>SUM(O26:P26)</f>
        <v>2538</v>
      </c>
      <c r="O26" s="27">
        <f>290+997</f>
        <v>1287</v>
      </c>
      <c r="P26" s="27">
        <f>210+1041</f>
        <v>1251</v>
      </c>
      <c r="Q26" s="27">
        <f>SUM(R26:S26)</f>
        <v>1391</v>
      </c>
      <c r="R26" s="27">
        <f>547</f>
        <v>547</v>
      </c>
      <c r="S26" s="27">
        <f>844</f>
        <v>844</v>
      </c>
      <c r="T26" s="26" t="s">
        <v>51</v>
      </c>
      <c r="U26" s="65"/>
    </row>
    <row r="27" spans="1:21" s="1" customFormat="1" ht="24.95" customHeight="1">
      <c r="A27" s="28"/>
      <c r="B27" s="35" t="s">
        <v>52</v>
      </c>
      <c r="C27" s="35"/>
      <c r="D27" s="36"/>
      <c r="E27" s="27">
        <f>SUM(F27:G27)</f>
        <v>8832</v>
      </c>
      <c r="F27" s="27">
        <f t="shared" si="1"/>
        <v>4393</v>
      </c>
      <c r="G27" s="27">
        <f t="shared" si="1"/>
        <v>4439</v>
      </c>
      <c r="H27" s="27">
        <f>SUM(I27:J27)</f>
        <v>822</v>
      </c>
      <c r="I27" s="27">
        <v>439</v>
      </c>
      <c r="J27" s="27">
        <v>383</v>
      </c>
      <c r="K27" s="27">
        <f>SUM(L27:M27)</f>
        <v>3122</v>
      </c>
      <c r="L27" s="27">
        <v>1691</v>
      </c>
      <c r="M27" s="27">
        <v>1431</v>
      </c>
      <c r="N27" s="27">
        <f>SUM(O27:P27)</f>
        <v>3365</v>
      </c>
      <c r="O27" s="27">
        <f>254+1453</f>
        <v>1707</v>
      </c>
      <c r="P27" s="27">
        <f>154+1504</f>
        <v>1658</v>
      </c>
      <c r="Q27" s="27">
        <f>SUM(R27:S27)</f>
        <v>1523</v>
      </c>
      <c r="R27" s="27">
        <f>556</f>
        <v>556</v>
      </c>
      <c r="S27" s="27">
        <f>967</f>
        <v>967</v>
      </c>
      <c r="T27" s="31" t="s">
        <v>53</v>
      </c>
      <c r="U27" s="65"/>
    </row>
    <row r="28" spans="1:21" s="1" customFormat="1" ht="24.95" customHeight="1">
      <c r="A28" s="26"/>
      <c r="B28" s="35" t="s">
        <v>54</v>
      </c>
      <c r="C28" s="35"/>
      <c r="D28" s="36"/>
      <c r="E28" s="27">
        <f>SUM(F28:G28)</f>
        <v>7479</v>
      </c>
      <c r="F28" s="27">
        <f t="shared" si="1"/>
        <v>3751</v>
      </c>
      <c r="G28" s="27">
        <f t="shared" si="1"/>
        <v>3728</v>
      </c>
      <c r="H28" s="27">
        <f>SUM(I28:J28)</f>
        <v>789</v>
      </c>
      <c r="I28" s="27">
        <v>388</v>
      </c>
      <c r="J28" s="27">
        <v>401</v>
      </c>
      <c r="K28" s="27">
        <f>SUM(L28:M28)</f>
        <v>4044</v>
      </c>
      <c r="L28" s="27">
        <v>2097</v>
      </c>
      <c r="M28" s="27">
        <v>1947</v>
      </c>
      <c r="N28" s="27">
        <f>SUM(O28:P28)</f>
        <v>1752</v>
      </c>
      <c r="O28" s="27">
        <f>95+784</f>
        <v>879</v>
      </c>
      <c r="P28" s="27">
        <f>96+777</f>
        <v>873</v>
      </c>
      <c r="Q28" s="27">
        <f>SUM(R28:S28)</f>
        <v>894</v>
      </c>
      <c r="R28" s="27">
        <f>387</f>
        <v>387</v>
      </c>
      <c r="S28" s="27">
        <f>507</f>
        <v>507</v>
      </c>
      <c r="T28" s="26" t="s">
        <v>55</v>
      </c>
      <c r="U28" s="65"/>
    </row>
    <row r="29" spans="1:21" s="9" customFormat="1" ht="24.95" customHeight="1">
      <c r="A29" s="26"/>
      <c r="B29" s="35" t="s">
        <v>56</v>
      </c>
      <c r="C29" s="35"/>
      <c r="D29" s="36"/>
      <c r="E29" s="27">
        <f>SUM(F29:G29)</f>
        <v>8526</v>
      </c>
      <c r="F29" s="27">
        <f>SUM(R29,O29,L29,I29)</f>
        <v>4391</v>
      </c>
      <c r="G29" s="27">
        <f>SUM(S29,P29,M29,J29)</f>
        <v>4135</v>
      </c>
      <c r="H29" s="27">
        <f>SUM(I29:J29)</f>
        <v>983</v>
      </c>
      <c r="I29" s="27">
        <v>515</v>
      </c>
      <c r="J29" s="27">
        <v>468</v>
      </c>
      <c r="K29" s="27">
        <f>SUM(L29:M29)</f>
        <v>4809</v>
      </c>
      <c r="L29" s="27">
        <v>2572</v>
      </c>
      <c r="M29" s="27">
        <v>2237</v>
      </c>
      <c r="N29" s="27">
        <f>SUM(O29:P29)</f>
        <v>1942</v>
      </c>
      <c r="O29" s="27">
        <f>279+703</f>
        <v>982</v>
      </c>
      <c r="P29" s="27">
        <f>221+739</f>
        <v>960</v>
      </c>
      <c r="Q29" s="27">
        <f>SUM(R29:S29)</f>
        <v>792</v>
      </c>
      <c r="R29" s="27">
        <f>322</f>
        <v>322</v>
      </c>
      <c r="S29" s="27">
        <f>470</f>
        <v>470</v>
      </c>
      <c r="T29" s="26" t="s">
        <v>57</v>
      </c>
      <c r="U29" s="65"/>
    </row>
    <row r="30" spans="1:21" s="9" customFormat="1" ht="24.95" customHeight="1">
      <c r="A30" s="26"/>
      <c r="B30" s="35" t="s">
        <v>58</v>
      </c>
      <c r="C30" s="35"/>
      <c r="D30" s="36"/>
      <c r="E30" s="27">
        <f t="shared" si="2"/>
        <v>2253</v>
      </c>
      <c r="F30" s="27">
        <f t="shared" si="1"/>
        <v>1141</v>
      </c>
      <c r="G30" s="27">
        <f t="shared" si="1"/>
        <v>1112</v>
      </c>
      <c r="H30" s="27">
        <f t="shared" si="3"/>
        <v>446</v>
      </c>
      <c r="I30" s="27">
        <v>239</v>
      </c>
      <c r="J30" s="27">
        <v>207</v>
      </c>
      <c r="K30" s="27">
        <f t="shared" si="4"/>
        <v>1191</v>
      </c>
      <c r="L30" s="27">
        <v>639</v>
      </c>
      <c r="M30" s="27">
        <v>552</v>
      </c>
      <c r="N30" s="27">
        <f t="shared" si="5"/>
        <v>434</v>
      </c>
      <c r="O30" s="27">
        <f>50+154</f>
        <v>204</v>
      </c>
      <c r="P30" s="27">
        <f>29+201</f>
        <v>230</v>
      </c>
      <c r="Q30" s="27">
        <f t="shared" si="6"/>
        <v>182</v>
      </c>
      <c r="R30" s="27">
        <f>59</f>
        <v>59</v>
      </c>
      <c r="S30" s="27">
        <f>123</f>
        <v>123</v>
      </c>
      <c r="T30" s="26" t="s">
        <v>59</v>
      </c>
      <c r="U30" s="65"/>
    </row>
    <row r="31" spans="1:21" ht="24.95" customHeight="1">
      <c r="A31" s="26"/>
      <c r="B31" s="35" t="s">
        <v>60</v>
      </c>
      <c r="C31" s="35"/>
      <c r="D31" s="36"/>
      <c r="E31" s="27">
        <f t="shared" si="2"/>
        <v>4020</v>
      </c>
      <c r="F31" s="27">
        <f t="shared" si="1"/>
        <v>1972</v>
      </c>
      <c r="G31" s="27">
        <f t="shared" si="1"/>
        <v>2048</v>
      </c>
      <c r="H31" s="27">
        <f t="shared" si="3"/>
        <v>245</v>
      </c>
      <c r="I31" s="27">
        <v>144</v>
      </c>
      <c r="J31" s="27">
        <v>101</v>
      </c>
      <c r="K31" s="27">
        <f t="shared" si="4"/>
        <v>1712</v>
      </c>
      <c r="L31" s="27">
        <v>927</v>
      </c>
      <c r="M31" s="27">
        <v>785</v>
      </c>
      <c r="N31" s="27">
        <f t="shared" si="5"/>
        <v>1413</v>
      </c>
      <c r="O31" s="27">
        <f>219+476</f>
        <v>695</v>
      </c>
      <c r="P31" s="27">
        <f>145+573</f>
        <v>718</v>
      </c>
      <c r="Q31" s="27">
        <f t="shared" si="6"/>
        <v>650</v>
      </c>
      <c r="R31" s="27">
        <f>206</f>
        <v>206</v>
      </c>
      <c r="S31" s="27">
        <f>444</f>
        <v>444</v>
      </c>
      <c r="T31" s="26" t="s">
        <v>61</v>
      </c>
      <c r="U31" s="65"/>
    </row>
    <row r="32" spans="1:21" ht="24.95" customHeight="1">
      <c r="A32" s="28"/>
      <c r="B32" s="29" t="s">
        <v>62</v>
      </c>
      <c r="C32" s="29"/>
      <c r="D32" s="30"/>
      <c r="E32" s="27">
        <f t="shared" si="2"/>
        <v>13514</v>
      </c>
      <c r="F32" s="27">
        <f t="shared" si="1"/>
        <v>6834</v>
      </c>
      <c r="G32" s="27">
        <f t="shared" si="1"/>
        <v>6680</v>
      </c>
      <c r="H32" s="27">
        <f t="shared" si="3"/>
        <v>1533</v>
      </c>
      <c r="I32" s="27">
        <v>797</v>
      </c>
      <c r="J32" s="27">
        <v>736</v>
      </c>
      <c r="K32" s="27">
        <f t="shared" si="4"/>
        <v>8053</v>
      </c>
      <c r="L32" s="27">
        <v>4260</v>
      </c>
      <c r="M32" s="27">
        <v>3793</v>
      </c>
      <c r="N32" s="27">
        <f t="shared" si="5"/>
        <v>2806</v>
      </c>
      <c r="O32" s="27">
        <f>471+945</f>
        <v>1416</v>
      </c>
      <c r="P32" s="27">
        <f>328+1062</f>
        <v>1390</v>
      </c>
      <c r="Q32" s="27">
        <f t="shared" si="6"/>
        <v>1122</v>
      </c>
      <c r="R32" s="27">
        <f>361</f>
        <v>361</v>
      </c>
      <c r="S32" s="27">
        <f>761</f>
        <v>761</v>
      </c>
      <c r="T32" s="26" t="s">
        <v>63</v>
      </c>
      <c r="U32" s="65"/>
    </row>
    <row r="33" spans="1:21" ht="24.95" customHeight="1">
      <c r="A33" s="28"/>
      <c r="B33" s="29" t="s">
        <v>64</v>
      </c>
      <c r="C33" s="29"/>
      <c r="D33" s="30"/>
      <c r="E33" s="27">
        <f t="shared" si="2"/>
        <v>10612</v>
      </c>
      <c r="F33" s="27">
        <f t="shared" si="1"/>
        <v>5314</v>
      </c>
      <c r="G33" s="27">
        <f t="shared" si="1"/>
        <v>5298</v>
      </c>
      <c r="H33" s="27">
        <f t="shared" si="3"/>
        <v>1057</v>
      </c>
      <c r="I33" s="27">
        <v>561</v>
      </c>
      <c r="J33" s="27">
        <v>496</v>
      </c>
      <c r="K33" s="27">
        <f t="shared" si="4"/>
        <v>5925</v>
      </c>
      <c r="L33" s="27">
        <v>3115</v>
      </c>
      <c r="M33" s="27">
        <v>2810</v>
      </c>
      <c r="N33" s="27">
        <f t="shared" si="5"/>
        <v>2570</v>
      </c>
      <c r="O33" s="27">
        <f>305+990</f>
        <v>1295</v>
      </c>
      <c r="P33" s="27">
        <f>191+1084</f>
        <v>1275</v>
      </c>
      <c r="Q33" s="27">
        <f t="shared" si="6"/>
        <v>1060</v>
      </c>
      <c r="R33" s="27">
        <f>343</f>
        <v>343</v>
      </c>
      <c r="S33" s="27">
        <f>717</f>
        <v>717</v>
      </c>
      <c r="T33" s="26" t="s">
        <v>65</v>
      </c>
      <c r="U33" s="65"/>
    </row>
    <row r="34" spans="1:21" ht="24.95" customHeight="1">
      <c r="A34" s="26"/>
      <c r="B34" s="29" t="s">
        <v>66</v>
      </c>
      <c r="C34" s="29"/>
      <c r="D34" s="29"/>
      <c r="E34" s="27">
        <f t="shared" si="2"/>
        <v>3595</v>
      </c>
      <c r="F34" s="27">
        <f t="shared" si="1"/>
        <v>1830</v>
      </c>
      <c r="G34" s="27">
        <f t="shared" si="1"/>
        <v>1765</v>
      </c>
      <c r="H34" s="27">
        <f t="shared" si="3"/>
        <v>505</v>
      </c>
      <c r="I34" s="27">
        <v>263</v>
      </c>
      <c r="J34" s="27">
        <v>242</v>
      </c>
      <c r="K34" s="27">
        <f t="shared" si="4"/>
        <v>1883</v>
      </c>
      <c r="L34" s="27">
        <v>985</v>
      </c>
      <c r="M34" s="27">
        <v>898</v>
      </c>
      <c r="N34" s="27">
        <f t="shared" si="5"/>
        <v>840</v>
      </c>
      <c r="O34" s="27">
        <f>163+261</f>
        <v>424</v>
      </c>
      <c r="P34" s="27">
        <f>185+231</f>
        <v>416</v>
      </c>
      <c r="Q34" s="27">
        <f t="shared" si="6"/>
        <v>367</v>
      </c>
      <c r="R34" s="27">
        <f>158</f>
        <v>158</v>
      </c>
      <c r="S34" s="27">
        <f>209</f>
        <v>209</v>
      </c>
      <c r="T34" s="26" t="s">
        <v>67</v>
      </c>
      <c r="U34" s="65"/>
    </row>
    <row r="35" spans="1:21" ht="24.95" customHeight="1">
      <c r="A35" s="32"/>
      <c r="B35" s="33" t="s">
        <v>68</v>
      </c>
      <c r="C35" s="33"/>
      <c r="D35" s="33"/>
      <c r="E35" s="34">
        <f t="shared" si="2"/>
        <v>3191</v>
      </c>
      <c r="F35" s="34">
        <f t="shared" si="1"/>
        <v>1694</v>
      </c>
      <c r="G35" s="34">
        <f t="shared" si="1"/>
        <v>1497</v>
      </c>
      <c r="H35" s="34">
        <f t="shared" si="3"/>
        <v>212</v>
      </c>
      <c r="I35" s="34">
        <v>112</v>
      </c>
      <c r="J35" s="34">
        <v>100</v>
      </c>
      <c r="K35" s="34">
        <f t="shared" si="4"/>
        <v>1853</v>
      </c>
      <c r="L35" s="34">
        <v>963</v>
      </c>
      <c r="M35" s="34">
        <v>890</v>
      </c>
      <c r="N35" s="34">
        <f t="shared" si="5"/>
        <v>832</v>
      </c>
      <c r="O35" s="34">
        <f>134+326</f>
        <v>460</v>
      </c>
      <c r="P35" s="34">
        <f>103+269</f>
        <v>372</v>
      </c>
      <c r="Q35" s="34">
        <f t="shared" si="6"/>
        <v>294</v>
      </c>
      <c r="R35" s="34">
        <f>159</f>
        <v>159</v>
      </c>
      <c r="S35" s="34">
        <f>135</f>
        <v>135</v>
      </c>
      <c r="T35" s="32" t="s">
        <v>69</v>
      </c>
      <c r="U35" s="65"/>
    </row>
    <row r="36" spans="1:21" ht="9.75" customHeight="1">
      <c r="B36" s="8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</row>
    <row r="37" spans="1:21" s="8" customFormat="1" ht="19.5">
      <c r="B37" s="8" t="s">
        <v>70</v>
      </c>
      <c r="J37" s="8" t="s">
        <v>71</v>
      </c>
      <c r="U37" s="10"/>
    </row>
    <row r="38" spans="1:21" s="8" customFormat="1" ht="19.5">
      <c r="B38" s="8" t="s">
        <v>72</v>
      </c>
      <c r="J38" s="8" t="s">
        <v>73</v>
      </c>
      <c r="U38" s="10"/>
    </row>
  </sheetData>
  <mergeCells count="30">
    <mergeCell ref="T12:U12"/>
    <mergeCell ref="A4:D10"/>
    <mergeCell ref="H4:S4"/>
    <mergeCell ref="N5:S5"/>
    <mergeCell ref="E6:G6"/>
    <mergeCell ref="H6:J6"/>
    <mergeCell ref="K6:M6"/>
    <mergeCell ref="N6:S6"/>
    <mergeCell ref="E7:G7"/>
    <mergeCell ref="H7:J7"/>
    <mergeCell ref="K7:M7"/>
    <mergeCell ref="B23:D23"/>
    <mergeCell ref="N7:P7"/>
    <mergeCell ref="Q7:S7"/>
    <mergeCell ref="N8:P8"/>
    <mergeCell ref="Q8:S8"/>
    <mergeCell ref="A12:D12"/>
    <mergeCell ref="B13:D13"/>
    <mergeCell ref="B14:D14"/>
    <mergeCell ref="B15:D15"/>
    <mergeCell ref="B16:D16"/>
    <mergeCell ref="A21:B21"/>
    <mergeCell ref="B29:D29"/>
    <mergeCell ref="B30:D30"/>
    <mergeCell ref="B31:D31"/>
    <mergeCell ref="B24:C24"/>
    <mergeCell ref="B25:D25"/>
    <mergeCell ref="B26:D26"/>
    <mergeCell ref="B27:D27"/>
    <mergeCell ref="B28:D28"/>
  </mergeCells>
  <pageMargins left="0.59055118110236227" right="0.35433070866141736" top="0.59055118110236227" bottom="0.39370078740157483" header="0.51181102362204722" footer="0.51181102362204722"/>
  <pageSetup paperSize="9" scale="90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T-3.8</vt:lpstr>
      <vt:lpstr>'T-3.8'!Print_Area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KKD Windows 7 V.3</cp:lastModifiedBy>
  <dcterms:created xsi:type="dcterms:W3CDTF">2015-11-03T03:16:23Z</dcterms:created>
  <dcterms:modified xsi:type="dcterms:W3CDTF">2015-11-03T04:40:05Z</dcterms:modified>
</cp:coreProperties>
</file>