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crosoft\Desktop\68  บทที่11 2564\"/>
    </mc:Choice>
  </mc:AlternateContent>
  <bookViews>
    <workbookView xWindow="0" yWindow="0" windowWidth="14670" windowHeight="5910" firstSheet="18" activeTab="20"/>
  </bookViews>
  <sheets>
    <sheet name="T-1 2565 " sheetId="10" r:id="rId1"/>
    <sheet name="T-2 2565" sheetId="14" r:id="rId2"/>
    <sheet name="nkrat_O-src-10_2564_000_0000010" sheetId="11" r:id="rId3"/>
    <sheet name="T-3ข้าวนาปี 2563" sheetId="30" r:id="rId4"/>
    <sheet name="T-3ข้าวนาปี 2562" sheetId="31" r:id="rId5"/>
    <sheet name="T-3ข้าวนาปี 2564" sheetId="29" r:id="rId6"/>
    <sheet name="T-4 2564" sheetId="26" r:id="rId7"/>
    <sheet name="T-4 2563" sheetId="27" r:id="rId8"/>
    <sheet name="T-4 2562" sheetId="28" r:id="rId9"/>
    <sheet name="T-  6 2564  " sheetId="23" r:id="rId10"/>
    <sheet name="T-  6 2563" sheetId="24" r:id="rId11"/>
    <sheet name="T-  6 2562" sheetId="25" r:id="rId12"/>
    <sheet name="T-7 2564" sheetId="20" r:id="rId13"/>
    <sheet name="T-7 2563" sheetId="21" r:id="rId14"/>
    <sheet name="T-7 2562" sheetId="22" r:id="rId15"/>
    <sheet name="T - 8 2564" sheetId="17" r:id="rId16"/>
    <sheet name="T - 8 2563" sheetId="18" r:id="rId17"/>
    <sheet name="T- 8 2562" sheetId="19" r:id="rId18"/>
    <sheet name="T-9  2564" sheetId="15" r:id="rId19"/>
    <sheet name="T-11. 9 2563 " sheetId="16" r:id="rId20"/>
    <sheet name="T-11. 10 2561 " sheetId="32" r:id="rId21"/>
    <sheet name="T-11. 11 2561 " sheetId="33" r:id="rId22"/>
  </sheets>
  <definedNames>
    <definedName name="\a" localSheetId="11">#REF!</definedName>
    <definedName name="\a" localSheetId="10">#REF!</definedName>
    <definedName name="\a" localSheetId="9">#REF!</definedName>
    <definedName name="\a" localSheetId="19">#REF!</definedName>
    <definedName name="\a" localSheetId="18">#REF!</definedName>
    <definedName name="\a">#REF!</definedName>
    <definedName name="_xlnm.Print_Titles" localSheetId="21">'T-11. 11 2561 '!$1:$7</definedName>
    <definedName name="_xlnm.Print_Titles" localSheetId="4">'T-3ข้าวนาปี 2562'!$1:$8</definedName>
    <definedName name="_xlnm.Print_Titles" localSheetId="3">'T-3ข้าวนาปี 2563'!$1:$8</definedName>
    <definedName name="_xlnm.Print_Titles" localSheetId="5">'T-3ข้าวนาปี 2564'!$1:$8</definedName>
    <definedName name="_xlnm.Print_Titles" localSheetId="8">'T-4 2562'!$1:$8</definedName>
    <definedName name="_xlnm.Print_Titles" localSheetId="7">'T-4 2563'!$1:$8</definedName>
    <definedName name="_xlnm.Print_Titles" localSheetId="6">'T-4 2564'!$1:$8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6" l="1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33" i="16"/>
  <c r="E34" i="16"/>
  <c r="E35" i="16"/>
  <c r="E36" i="16"/>
  <c r="E37" i="16"/>
  <c r="E38" i="16"/>
  <c r="E39" i="16"/>
  <c r="E40" i="16"/>
  <c r="E41" i="16"/>
  <c r="E42" i="16"/>
  <c r="E43" i="16"/>
  <c r="E44" i="16"/>
  <c r="E45" i="16"/>
  <c r="D6" i="22" l="1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6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13" i="18" l="1"/>
  <c r="D14" i="18"/>
  <c r="F8" i="16" l="1"/>
  <c r="F9" i="16"/>
  <c r="F10" i="16"/>
  <c r="F11" i="16"/>
  <c r="F12" i="16"/>
  <c r="F13" i="16"/>
  <c r="F14" i="16"/>
  <c r="F15" i="16"/>
  <c r="F16" i="16"/>
  <c r="F17" i="16"/>
  <c r="F18" i="16"/>
  <c r="F19" i="16"/>
  <c r="F21" i="16"/>
  <c r="F22" i="16"/>
  <c r="F23" i="16"/>
  <c r="F24" i="16"/>
  <c r="F25" i="16"/>
  <c r="F26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G7" i="15"/>
  <c r="H7" i="15"/>
  <c r="I7" i="15"/>
  <c r="K7" i="15"/>
  <c r="L7" i="15"/>
  <c r="M7" i="15"/>
  <c r="N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34" i="15"/>
  <c r="F35" i="15"/>
  <c r="F36" i="15"/>
  <c r="F37" i="15"/>
  <c r="F38" i="15"/>
  <c r="F39" i="15"/>
  <c r="F40" i="15"/>
  <c r="F41" i="15"/>
  <c r="F42" i="15"/>
  <c r="F43" i="15"/>
  <c r="F44" i="15"/>
  <c r="F46" i="15"/>
  <c r="F7" i="15" l="1"/>
</calcChain>
</file>

<file path=xl/sharedStrings.xml><?xml version="1.0" encoding="utf-8"?>
<sst xmlns="http://schemas.openxmlformats.org/spreadsheetml/2006/main" count="2549" uniqueCount="383">
  <si>
    <t>อื่น ๆ</t>
  </si>
  <si>
    <t>Others</t>
  </si>
  <si>
    <t xml:space="preserve">               Source:  Nakhon Ratchasima  Provincial Livestock Office                                                                                                                                        </t>
  </si>
  <si>
    <t xml:space="preserve">    ที่มา:   สำนักงานปศุสัตว์จังหวัดนครราชสีมา</t>
  </si>
  <si>
    <t xml:space="preserve"> Chaloem Phra Kiat District</t>
  </si>
  <si>
    <t>อำเภอเฉลิมพระเกียรติ</t>
  </si>
  <si>
    <t xml:space="preserve"> Sida District</t>
  </si>
  <si>
    <t>อำเภอสีดา</t>
  </si>
  <si>
    <t xml:space="preserve"> Bua Lai District</t>
  </si>
  <si>
    <t>อำเภอบัวลาย</t>
  </si>
  <si>
    <t xml:space="preserve"> Lam Thamenchai District</t>
  </si>
  <si>
    <t>อำเภอลำทะเมนชัย</t>
  </si>
  <si>
    <t xml:space="preserve"> Phra Thong Kham District</t>
  </si>
  <si>
    <t>อำเภอพระทองคำ</t>
  </si>
  <si>
    <t xml:space="preserve"> Mueang Yang District</t>
  </si>
  <si>
    <t>อำเภอเมืองยาง</t>
  </si>
  <si>
    <t xml:space="preserve"> Thepharak District</t>
  </si>
  <si>
    <t>อำเภอเทพารักษ์</t>
  </si>
  <si>
    <t xml:space="preserve"> Wang Nam Khiao District</t>
  </si>
  <si>
    <t>อำเภอวังน้ำเขียว</t>
  </si>
  <si>
    <t xml:space="preserve"> Non Daeng District</t>
  </si>
  <si>
    <t>อำเภอโนนแดง</t>
  </si>
  <si>
    <t xml:space="preserve"> Kaeng Sanam Nang District</t>
  </si>
  <si>
    <t>อำเภอแก้งสนามนาง</t>
  </si>
  <si>
    <t xml:space="preserve"> Nong Bunnak District</t>
  </si>
  <si>
    <t>อำเภอหนองบุญมาก</t>
  </si>
  <si>
    <t xml:space="preserve"> Pak Chong District</t>
  </si>
  <si>
    <t>อำเภอปากช่อง</t>
  </si>
  <si>
    <t xml:space="preserve"> Sikhio District</t>
  </si>
  <si>
    <t>อำเภอสีคิ้ว</t>
  </si>
  <si>
    <t>Quail</t>
  </si>
  <si>
    <t>Sheep</t>
  </si>
  <si>
    <t>Duck</t>
  </si>
  <si>
    <t>Chicken</t>
  </si>
  <si>
    <t>Goose</t>
  </si>
  <si>
    <t>Goat</t>
  </si>
  <si>
    <t>Swine</t>
  </si>
  <si>
    <t>Buffalo</t>
  </si>
  <si>
    <t>Cattle</t>
  </si>
  <si>
    <t>District</t>
  </si>
  <si>
    <t>นกกระทา</t>
  </si>
  <si>
    <t>แกะ</t>
  </si>
  <si>
    <t>เป็ด</t>
  </si>
  <si>
    <t>ไก่</t>
  </si>
  <si>
    <t>ห่าน</t>
  </si>
  <si>
    <t>แพะ</t>
  </si>
  <si>
    <t>สุกร</t>
  </si>
  <si>
    <t>กระบือ</t>
  </si>
  <si>
    <t>โค</t>
  </si>
  <si>
    <t>อำเภอ</t>
  </si>
  <si>
    <t>Livestock by District: 2020  (Cont.)</t>
  </si>
  <si>
    <t>Table 11.9</t>
  </si>
  <si>
    <t>ปศุสัตว์ จำแนกเป็นรายอำเภอ พ.ศ. 2563 (ต่อ)</t>
  </si>
  <si>
    <t>ตาราง 11.9</t>
  </si>
  <si>
    <t xml:space="preserve"> Kham Thale So District</t>
  </si>
  <si>
    <t>อำเภอขามทะเลสอ</t>
  </si>
  <si>
    <t xml:space="preserve"> Sung Noen District</t>
  </si>
  <si>
    <t>อำเภอสูงเนิน</t>
  </si>
  <si>
    <t xml:space="preserve"> Chum Phuang District</t>
  </si>
  <si>
    <t>อำเภอชุมพวง</t>
  </si>
  <si>
    <t xml:space="preserve"> Huai Thalaeng District</t>
  </si>
  <si>
    <t>อำเภอห้วยแถลง</t>
  </si>
  <si>
    <t xml:space="preserve"> Phimai District</t>
  </si>
  <si>
    <t>อำเภอพิมาย</t>
  </si>
  <si>
    <t xml:space="preserve"> Pak Thong Chai District</t>
  </si>
  <si>
    <t>อำเภอปักธงชัย</t>
  </si>
  <si>
    <t xml:space="preserve"> Prathai District</t>
  </si>
  <si>
    <t>อำเภอประทาย</t>
  </si>
  <si>
    <t xml:space="preserve"> Bua Yai District</t>
  </si>
  <si>
    <t>อำเภอบัวใหญ่</t>
  </si>
  <si>
    <t xml:space="preserve"> Kham Sakaesaeng District</t>
  </si>
  <si>
    <t>อำเภอขามสะแกแสง</t>
  </si>
  <si>
    <t xml:space="preserve"> Non Sung District</t>
  </si>
  <si>
    <t>อำเภอโนนสูง</t>
  </si>
  <si>
    <t xml:space="preserve"> Non Thai District</t>
  </si>
  <si>
    <t>อำเภอโนนไทย</t>
  </si>
  <si>
    <t xml:space="preserve"> Dan Khun Thot District</t>
  </si>
  <si>
    <t>อำเภอด่านขุนทด</t>
  </si>
  <si>
    <t xml:space="preserve"> Chok Chai District</t>
  </si>
  <si>
    <t>อำเภอโชคชัย</t>
  </si>
  <si>
    <t xml:space="preserve"> Chakkarat District</t>
  </si>
  <si>
    <t>อำเภอจักราช</t>
  </si>
  <si>
    <t xml:space="preserve"> Ban Lueam District</t>
  </si>
  <si>
    <t>อำเภอบ้านเหลื่อม</t>
  </si>
  <si>
    <t xml:space="preserve"> Khong District</t>
  </si>
  <si>
    <t>อำเภอคง</t>
  </si>
  <si>
    <t xml:space="preserve"> Soeng Sang District</t>
  </si>
  <si>
    <t>อำเภอเสิงสาง</t>
  </si>
  <si>
    <t xml:space="preserve"> Khon Buri District</t>
  </si>
  <si>
    <t>อำเภอครบุรี</t>
  </si>
  <si>
    <t xml:space="preserve"> Mueang Nakhon Ratchasima District</t>
  </si>
  <si>
    <t>อำเภอเมืองนครราชสีมา</t>
  </si>
  <si>
    <t>Total</t>
  </si>
  <si>
    <t>รวมยอด</t>
  </si>
  <si>
    <t>Livestock by District: 2020</t>
  </si>
  <si>
    <t>Table</t>
  </si>
  <si>
    <t>ปศุสัตว์ จำแนกเป็นรายอำเภอ พ.ศ. 2563</t>
  </si>
  <si>
    <t>ตาราง</t>
  </si>
  <si>
    <t>Source:  Nakhon Ratchasima Provincial Agricaltural Extension Office</t>
  </si>
  <si>
    <t>สำนักงานเกษตรจังหวัดนครราชสีมา</t>
  </si>
  <si>
    <t>ที่มา:  </t>
  </si>
  <si>
    <t>Rambutan</t>
  </si>
  <si>
    <t>เงาะ</t>
  </si>
  <si>
    <t>Papaya</t>
  </si>
  <si>
    <t>มะละกอ</t>
  </si>
  <si>
    <t>Grape</t>
  </si>
  <si>
    <t>องุ่น</t>
  </si>
  <si>
    <t>Longan</t>
  </si>
  <si>
    <t>ลำไย</t>
  </si>
  <si>
    <t>Manila tamarind</t>
  </si>
  <si>
    <t>มะขามเทศ</t>
  </si>
  <si>
    <t>Durian</t>
  </si>
  <si>
    <t>ทุเรียน</t>
  </si>
  <si>
    <t>Para rubber</t>
  </si>
  <si>
    <t>ยางพารา</t>
  </si>
  <si>
    <t>Oil palm</t>
  </si>
  <si>
    <t>ปาล์มน้ำมัน</t>
  </si>
  <si>
    <t>Mango</t>
  </si>
  <si>
    <t>มะม่วง</t>
  </si>
  <si>
    <t>Jujube</t>
  </si>
  <si>
    <t>พุทรา</t>
  </si>
  <si>
    <t>Sugar apple</t>
  </si>
  <si>
    <t>น้อยหน่า</t>
  </si>
  <si>
    <t>Jack fruit</t>
  </si>
  <si>
    <t>ขนุน</t>
  </si>
  <si>
    <t>Dragon fruit</t>
  </si>
  <si>
    <t>แก้วมังกร</t>
  </si>
  <si>
    <t>Sweet banana</t>
  </si>
  <si>
    <t>กล้วยหอม</t>
  </si>
  <si>
    <t>Banana (kluai numwa)</t>
  </si>
  <si>
    <t>กล้วยน้ำว้า</t>
  </si>
  <si>
    <t>Yield per rai (kgs.)</t>
  </si>
  <si>
    <t>Production (ton)</t>
  </si>
  <si>
    <t>Harvested area (rai)</t>
  </si>
  <si>
    <t>Planted area (rai)</t>
  </si>
  <si>
    <t>Type of fruit trees and tree crops</t>
  </si>
  <si>
    <t>ผลผลิตเฉลี่ยต่อไร่ (กก.)</t>
  </si>
  <si>
    <t>ผลผลิต (ตัน)</t>
  </si>
  <si>
    <t>เนื้อที่เก็บเกี่ยว (ไร่)</t>
  </si>
  <si>
    <t>เนื้อที่เพาะปลูก (ไร่)</t>
  </si>
  <si>
    <t>ชนิดของไม้ผลและไม้ยืนต้น</t>
  </si>
  <si>
    <t>Nakhon Ratchasima Provincial Agricaltural Extension Office</t>
  </si>
  <si>
    <t>Source:  </t>
  </si>
  <si>
    <t>-</t>
  </si>
  <si>
    <t>ชนิดของพืชผัก</t>
  </si>
  <si>
    <t>Type of vegetable crops</t>
  </si>
  <si>
    <t>ข้าวโพดรับประทานฝักสด</t>
  </si>
  <si>
    <t>Specialty corns</t>
  </si>
  <si>
    <t>ตะไคร้</t>
  </si>
  <si>
    <t>Lemon grass</t>
  </si>
  <si>
    <t>แตงกวา/แตงร้าน</t>
  </si>
  <si>
    <t>Cucumber</t>
  </si>
  <si>
    <t>แตงโม</t>
  </si>
  <si>
    <t>Watermelon</t>
  </si>
  <si>
    <t>ถั่วฝักยาว</t>
  </si>
  <si>
    <t>Yard long bean</t>
  </si>
  <si>
    <t>ผักกวางตุ้ง</t>
  </si>
  <si>
    <t>Pakchoi</t>
  </si>
  <si>
    <t>ผักกาดหอม</t>
  </si>
  <si>
    <t>Lettuce</t>
  </si>
  <si>
    <t>ผักชี</t>
  </si>
  <si>
    <t>Coriander</t>
  </si>
  <si>
    <t>ผักบุ้งจีน</t>
  </si>
  <si>
    <t>Chinese convolvulus</t>
  </si>
  <si>
    <t>พริกขี้หนู</t>
  </si>
  <si>
    <t>Bird pepper</t>
  </si>
  <si>
    <t>ฟักทอง</t>
  </si>
  <si>
    <t>Pumpkin</t>
  </si>
  <si>
    <t>มะเขือเปราะ</t>
  </si>
  <si>
    <t>Brinjal</t>
  </si>
  <si>
    <t>หอมแบ่ง (ต้นหอม)</t>
  </si>
  <si>
    <t>Spring onion</t>
  </si>
  <si>
    <t>เห็ดนางฟ้า</t>
  </si>
  <si>
    <t>Grey osyter</t>
  </si>
  <si>
    <t>โหระพา</t>
  </si>
  <si>
    <t>Basil</t>
  </si>
  <si>
    <t>ผักคึ่นฉ่าย</t>
  </si>
  <si>
    <t>Celery</t>
  </si>
  <si>
    <t>ขิง</t>
  </si>
  <si>
    <t>Ginger</t>
  </si>
  <si>
    <t>ตาราง 11.6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</si>
  <si>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2564</t>
  </si>
  <si>
    <t>https://production.doae.go.th/data-state-product/index</t>
  </si>
  <si>
    <t>Table 11.6</t>
  </si>
  <si>
    <t>Planted Area of Field Crops, Harvested Area, Production and Yield per Rai by Type of Field Crops: Crop Year 2021</t>
  </si>
  <si>
    <t>ชนิดของพืชไร่</t>
  </si>
  <si>
    <t>Type of field crops</t>
  </si>
  <si>
    <t>Planted area   (rai)</t>
  </si>
  <si>
    <t>Harvested area   (rai)</t>
  </si>
  <si>
    <t>Cassava</t>
  </si>
  <si>
    <t>Maize</t>
  </si>
  <si>
    <t>อ้อยโรงงาน</t>
  </si>
  <si>
    <t xml:space="preserve">    ที่มา:   สำนักงานเกษตรจังหวัดนครราชสีมา</t>
  </si>
  <si>
    <t xml:space="preserve">                 Source: Nakhon Ratchasima Provincial Agricultural Extension Office</t>
  </si>
  <si>
    <t>สำนักงานเศรษฐกิจการเกษตร กระทรวงเกษตรและสหกรณ์</t>
  </si>
  <si>
    <t>Note:  Year 2020 is a preliminary report</t>
  </si>
  <si>
    <t>หมายเหตุ:  ปี 2563 เป็นข้อมูลรายงานผลเบื้องต้น</t>
  </si>
  <si>
    <t>2563 (2020)</t>
  </si>
  <si>
    <t>2562 (2019)</t>
  </si>
  <si>
    <t>2561 (2018)</t>
  </si>
  <si>
    <t>2560 (2017)</t>
  </si>
  <si>
    <t>2559 (2016)</t>
  </si>
  <si>
    <t>2558 (2015)</t>
  </si>
  <si>
    <t>2557 (2014)</t>
  </si>
  <si>
    <t>2556 (2013)</t>
  </si>
  <si>
    <t>Forest land</t>
  </si>
  <si>
    <t>land</t>
  </si>
  <si>
    <t>plant</t>
  </si>
  <si>
    <t>trees</t>
  </si>
  <si>
    <t>เนื้อที่ป่าไม้</t>
  </si>
  <si>
    <t>Unclassified</t>
  </si>
  <si>
    <t>and ornamental</t>
  </si>
  <si>
    <t>perennial</t>
  </si>
  <si>
    <t>นอกการเกษตร</t>
  </si>
  <si>
    <t xml:space="preserve">Vegetable, cut flowers </t>
  </si>
  <si>
    <t>Fruit trees  and</t>
  </si>
  <si>
    <t>crop</t>
  </si>
  <si>
    <t>เนื้อที่</t>
  </si>
  <si>
    <t>ทางการเกษตร</t>
  </si>
  <si>
    <t>ไม้ดอก/ไม้ประดับ</t>
  </si>
  <si>
    <t>ไม้ยืนต้น</t>
  </si>
  <si>
    <t>Upland field</t>
  </si>
  <si>
    <t>Paddy land</t>
  </si>
  <si>
    <t>เนื้อที่ใช้ประโยชน์</t>
  </si>
  <si>
    <t>สวนผักและ</t>
  </si>
  <si>
    <t>สวนไม้ผลและ</t>
  </si>
  <si>
    <t>ที่พืชไร่</t>
  </si>
  <si>
    <t>นาข้าว</t>
  </si>
  <si>
    <t>Year</t>
  </si>
  <si>
    <t>เนื้อที่ทั้งหมด</t>
  </si>
  <si>
    <t>ปี</t>
  </si>
  <si>
    <t>(ไร่ Rai)</t>
  </si>
  <si>
    <t>Table 11.1 Land Utilization: 2016 - 2020</t>
  </si>
  <si>
    <t>ตาราง 11.1 การใช้ที่ดิน พ.ศ. 2559 - 2563</t>
  </si>
  <si>
    <t>Office of Agricultural Economics</t>
  </si>
  <si>
    <t>สำนักงานเศรษฐกิจการเกษตร</t>
  </si>
  <si>
    <t>ornamental</t>
  </si>
  <si>
    <t>Vegetable and</t>
  </si>
  <si>
    <t>Orchard and</t>
  </si>
  <si>
    <t>Miscellaneous</t>
  </si>
  <si>
    <t>ไม้ดอก ไม้ประดับ</t>
  </si>
  <si>
    <t>ที่อื่น ๆ</t>
  </si>
  <si>
    <t>ที่สวนผักและ</t>
  </si>
  <si>
    <t>ที่ไม้ผลและ</t>
  </si>
  <si>
    <t>ที่นา</t>
  </si>
  <si>
    <t>เนื้อที่ถือครองทางการเกษตร Farm holding land</t>
  </si>
  <si>
    <t>Table 11.1 Land Utilization: 2013 - 2020</t>
  </si>
  <si>
    <t>ตาราง 11.1 การใช้ที่ดิน พ.ศ. 2556 - 2563</t>
  </si>
  <si>
    <t>2563 (2017)</t>
  </si>
  <si>
    <t>2562 (2017)</t>
  </si>
  <si>
    <t>2561 (2017)</t>
  </si>
  <si>
    <t>Rented</t>
  </si>
  <si>
    <t>เช่าผู้อื่น</t>
  </si>
  <si>
    <t>รวม</t>
  </si>
  <si>
    <t>Mortgaged/redemption/free use</t>
  </si>
  <si>
    <t xml:space="preserve"> Owned</t>
  </si>
  <si>
    <t>Total agricultural land</t>
  </si>
  <si>
    <t xml:space="preserve">รับจำนอง/รับขายฝาก/ได้ทำฟรี </t>
  </si>
  <si>
    <t>เนื้อที่ของตนเอง</t>
  </si>
  <si>
    <t>เนื้อที่ของผู้อื่น Others' land</t>
  </si>
  <si>
    <t>Table 11.2 Type of Agricultural Landholding: 2016 - 2020</t>
  </si>
  <si>
    <t>ตาราง 11.2 ลักษณะการถือครองที่ดินทางการเกษตร พ.ศ. 2559 - 2563</t>
  </si>
  <si>
    <t>Planted Area of Field Crops, Harvested Area, Production and Yield per Rai by Type of Field Crops: Crop Year 2020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</si>
  <si>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2563</t>
  </si>
  <si>
    <t>Planted Area of Field Crops, Harvested Area, Production and Yield per Rai by Type of Field Crops: Crop Year 2019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</si>
  <si>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2562</t>
  </si>
  <si>
    <t>Chaloem Phra Kiat District</t>
  </si>
  <si>
    <t>Sida District</t>
  </si>
  <si>
    <t>Bua Lai District</t>
  </si>
  <si>
    <t>Lam Thamenchai District</t>
  </si>
  <si>
    <t>Phra Thong Kham District</t>
  </si>
  <si>
    <t>Mueang Yang District</t>
  </si>
  <si>
    <t>Thepharak District</t>
  </si>
  <si>
    <t>Wang Nam Khiao District</t>
  </si>
  <si>
    <t>Non Daeng District</t>
  </si>
  <si>
    <t>Kaeng Sanam Nang District</t>
  </si>
  <si>
    <t>Nong Bunmak District</t>
  </si>
  <si>
    <t>Pak Chong District</t>
  </si>
  <si>
    <t>Sikhio District</t>
  </si>
  <si>
    <t>Kham Thale So District</t>
  </si>
  <si>
    <t>Sung Noen District</t>
  </si>
  <si>
    <t>Chum Phuang District</t>
  </si>
  <si>
    <t>Huai Thalaeng District</t>
  </si>
  <si>
    <t>Phimai District</t>
  </si>
  <si>
    <t>Pak Thong Chai District</t>
  </si>
  <si>
    <t>Prathai District</t>
  </si>
  <si>
    <t>Bua Yai District</t>
  </si>
  <si>
    <t>Kham Sakaesaeng District</t>
  </si>
  <si>
    <t>Non Sung District</t>
  </si>
  <si>
    <t>Non Thai District</t>
  </si>
  <si>
    <t>Dan Khun Thot District</t>
  </si>
  <si>
    <t>Chok Chai District</t>
  </si>
  <si>
    <t>Chakkarat District</t>
  </si>
  <si>
    <t>Ban Lueam District</t>
  </si>
  <si>
    <t>Khong District</t>
  </si>
  <si>
    <t>Soeng Sang District</t>
  </si>
  <si>
    <t>Khon Buri District</t>
  </si>
  <si>
    <t>Mueang Nakhon Ratchasima District</t>
  </si>
  <si>
    <t>glutinous rice</t>
  </si>
  <si>
    <t>Glutinous rice</t>
  </si>
  <si>
    <t>Non-</t>
  </si>
  <si>
    <t>ข้าวเหนียว</t>
  </si>
  <si>
    <t>ข้าวเจ้า</t>
  </si>
  <si>
    <t>เนื้อที่เพาะปลูกข้าว (ไร่)</t>
  </si>
  <si>
    <t>Table 11.4 Planted Area of Second Rice, Harvested Area, Production and Yield per Rai by Type of Rice and District: Crop Year 2021</t>
  </si>
  <si>
    <t>ตาราง 11.4 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2564</t>
  </si>
  <si>
    <t>Table 11.4 Planted Area of Second Rice, Harvested Area, Production and Yield per Rai by Type of Rice and District: Crop Year 2020</t>
  </si>
  <si>
    <t>ตาราง 11.4 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2563</t>
  </si>
  <si>
    <t>Table 11.4 Planted Area of Second Rice, Harvested Area, Production and Yield per Rai by Type of Rice and District: Crop Year 2019</t>
  </si>
  <si>
    <t>ตาราง 11.4 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2562</t>
  </si>
  <si>
    <t>Table 11.3 Planted Area of Major Rice Harvested Area, Production and Yield per Rai by Type of Rice and District: Crop Year 2021</t>
  </si>
  <si>
    <t>ตาราง 11.3 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2564</t>
  </si>
  <si>
    <t>Table 11.3 Planted Area of Major Rice Harvested Area, Production and Yield per Rai by Type of Rice and District: Crop Year 2020</t>
  </si>
  <si>
    <t>ตาราง 11.3 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2563</t>
  </si>
  <si>
    <t>Table 11.3 Planted Area of Major Rice Harvested Area, Production and Yield per Rai by Type of Rice and District: Crop Year 2019</t>
  </si>
  <si>
    <t>ตาราง 11.3 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2562</t>
  </si>
  <si>
    <t>เนื้อที่ใช้ประโยชน์ทางการเกษตร Agricultural land use</t>
  </si>
  <si>
    <t xml:space="preserve"> Office of Agricultural Economics, Ministry of Agriculture and Cooperatives</t>
  </si>
  <si>
    <t>เกษตรกรผู้เลี้ยงสัตว์และปศุสัตว์ จำแนกเป็นรายอำเภอ พ.ศ. 2564</t>
  </si>
  <si>
    <t>Livestock Farmer and Livestock by District: 2021 (Cont.)</t>
  </si>
  <si>
    <t>farmer(cases)</t>
  </si>
  <si>
    <t>เกษตรกรรวม(ราย)</t>
  </si>
  <si>
    <t>(ต่อ)</t>
  </si>
  <si>
    <t>(Cont.)</t>
  </si>
  <si>
    <t>มันสำปะหลังโรงาน</t>
  </si>
  <si>
    <t>ข้าวโพดเลี้ยงสัตว์(ต้นสด)</t>
  </si>
  <si>
    <t>Maize(fresh)</t>
  </si>
  <si>
    <t>Sugarcane</t>
  </si>
  <si>
    <t>ตาราง 11.7 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2562</t>
  </si>
  <si>
    <t>Table 11.7 Planted Area of Vegetable Crops, Harvested Area, Production and Yield per Rai by Type of Vegetable Crops: Crop Year 2019</t>
  </si>
  <si>
    <t>ตาราง 11.7 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2563</t>
  </si>
  <si>
    <t>Table 11.7 Planted Area of Vegetable Crops, Harvested Area, Production and Yield per Rai by Type of Vegetable Crops: Crop Year 2020</t>
  </si>
  <si>
    <t>ตาราง 11.7 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2564</t>
  </si>
  <si>
    <t>Table 11.7 Planted Area of Vegetable Crops, Harvested Area, Production and Yield per Rai by Type of Vegetable Crops: Crop Year 2021</t>
  </si>
  <si>
    <t>ตาราง 11.8 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2562</t>
  </si>
  <si>
    <t>Table 11.8 Planted Area of Fruit Trees and Tree Crops, Harvested Area, Production and Yield per Rai by Type of Fruit Trees and Tree Crops: Crop Year 2019</t>
  </si>
  <si>
    <t>ตาราง 11.8 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2564</t>
  </si>
  <si>
    <t>Table 11.8 Planted Area of Fruit Trees and Tree Crops, Harvested Area, Production and Yield per Rai by Type of Fruit Trees and Tree Crops: Crop Year 2021</t>
  </si>
  <si>
    <t>ตาราง 11.8 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2563</t>
  </si>
  <si>
    <t>Table 11.8 Planted Area of Fruit Trees and Tree Crops, Harvested Area, Production and Yield per Rai by Type of Fruit Trees and Tree Crops: Crop Year 2020</t>
  </si>
  <si>
    <t>(ตัน Ton)</t>
  </si>
  <si>
    <t>สำนักงานประมงจังหวัดนครราชสีมา</t>
  </si>
  <si>
    <t>Nakhon Ratchasima Provincial Fishery Office</t>
  </si>
  <si>
    <t>ตาราง 11.10 สัตว์น้ำจืดที่จับได้ จำแนกตามชนิดสัตว์น้ำจืด เป็นรายอำเภอ พ.ศ. 2561</t>
  </si>
  <si>
    <t>Table 11.10 Catch of Freshwater by Species and District: 2018</t>
  </si>
  <si>
    <t>กุ้งก้ามกราม</t>
  </si>
  <si>
    <t>Giant Fresh water prawn</t>
  </si>
  <si>
    <t>ปลาสลิด</t>
  </si>
  <si>
    <t>Snake skin gourami</t>
  </si>
  <si>
    <t>ปลาไหล</t>
  </si>
  <si>
    <t>Swamp eel</t>
  </si>
  <si>
    <t>ปลาไน</t>
  </si>
  <si>
    <t>Common carp</t>
  </si>
  <si>
    <t>ปลานิล</t>
  </si>
  <si>
    <t>Nile tilapia</t>
  </si>
  <si>
    <t>ปลาตะเพียน</t>
  </si>
  <si>
    <t>Common silver barb</t>
  </si>
  <si>
    <t>ปลาหมอ</t>
  </si>
  <si>
    <t>Common climbing perch</t>
  </si>
  <si>
    <t>ปลาดุก</t>
  </si>
  <si>
    <t>Walking catfish</t>
  </si>
  <si>
    <t>ปลาช่อน</t>
  </si>
  <si>
    <t>Striped snakes-head fish</t>
  </si>
  <si>
    <t>ประเภทการเลี้ยง (ไร่)</t>
  </si>
  <si>
    <t>Type of culture (Rai)</t>
  </si>
  <si>
    <t>Production of freshwater</t>
  </si>
  <si>
    <t>รวมเนื้อที่</t>
  </si>
  <si>
    <t>บ่อ</t>
  </si>
  <si>
    <t>นา</t>
  </si>
  <si>
    <t>ร่องสวน</t>
  </si>
  <si>
    <t>กระชัง</t>
  </si>
  <si>
    <t>aquaculture (kgs.)</t>
  </si>
  <si>
    <t>Total area</t>
  </si>
  <si>
    <t>Pond</t>
  </si>
  <si>
    <t>Paddy cum fish</t>
  </si>
  <si>
    <t>Ditch</t>
  </si>
  <si>
    <t>Cage</t>
  </si>
  <si>
    <t>ตาราง 11.11 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2561</t>
  </si>
  <si>
    <t>Table 11.11 Freshwater Culture Household by Type of Culture, Production of Freshwater Aquaculture and District: 2018</t>
  </si>
  <si>
    <t>ฟาร์ม</t>
  </si>
  <si>
    <t>Farm</t>
  </si>
  <si>
    <t>(กก.)</t>
  </si>
  <si>
    <t xml:space="preserve">ผลผลิตการเลี้ยงสัตว์น้ำจืด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</si>
</sst>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#,##0.0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b/>
      <sz val="14"/>
      <color theme="1"/>
      <name val="TH SarabunPSK"/>
      <family val="2"/>
    </font>
    <font>
      <u/>
      <sz val="14"/>
      <color theme="10"/>
      <name val="Cordia New"/>
      <family val="2"/>
    </font>
    <font>
      <b/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252">
    <xf numFmtId="0" fontId="0" fillId="0" borderId="0" xfId="0"/>
    <xf numFmtId="0" fontId="3" fillId="0" borderId="0" xfId="2" applyFont="1" applyBorder="1"/>
    <xf numFmtId="0" fontId="3" fillId="0" borderId="0" xfId="2" applyFont="1"/>
    <xf numFmtId="0" fontId="4" fillId="0" borderId="0" xfId="2" applyFont="1"/>
    <xf numFmtId="0" fontId="5" fillId="0" borderId="0" xfId="2" applyFont="1" applyBorder="1" applyAlignment="1"/>
    <xf numFmtId="0" fontId="6" fillId="0" borderId="0" xfId="2" applyFont="1" applyBorder="1"/>
    <xf numFmtId="0" fontId="7" fillId="0" borderId="0" xfId="2" applyFont="1" applyBorder="1"/>
    <xf numFmtId="0" fontId="5" fillId="0" borderId="0" xfId="2" applyFont="1" applyBorder="1"/>
    <xf numFmtId="0" fontId="8" fillId="0" borderId="0" xfId="2" applyFont="1" applyBorder="1"/>
    <xf numFmtId="0" fontId="8" fillId="0" borderId="0" xfId="2" applyFont="1"/>
    <xf numFmtId="0" fontId="8" fillId="0" borderId="1" xfId="2" applyFont="1" applyBorder="1"/>
    <xf numFmtId="0" fontId="8" fillId="0" borderId="2" xfId="2" applyFont="1" applyBorder="1"/>
    <xf numFmtId="0" fontId="8" fillId="0" borderId="4" xfId="2" applyFont="1" applyBorder="1"/>
    <xf numFmtId="0" fontId="8" fillId="0" borderId="5" xfId="2" applyFont="1" applyBorder="1"/>
    <xf numFmtId="0" fontId="3" fillId="0" borderId="0" xfId="2" applyFont="1" applyBorder="1" applyAlignment="1"/>
    <xf numFmtId="0" fontId="8" fillId="0" borderId="0" xfId="2" applyFont="1" applyBorder="1" applyAlignment="1">
      <alignment horizontal="left"/>
    </xf>
    <xf numFmtId="0" fontId="6" fillId="0" borderId="5" xfId="2" applyFont="1" applyBorder="1" applyAlignment="1">
      <alignment horizontal="center"/>
    </xf>
    <xf numFmtId="0" fontId="8" fillId="0" borderId="0" xfId="2" applyFont="1" applyBorder="1" applyAlignment="1"/>
    <xf numFmtId="0" fontId="4" fillId="0" borderId="0" xfId="2" applyFont="1" applyAlignment="1"/>
    <xf numFmtId="0" fontId="6" fillId="0" borderId="0" xfId="2" applyFont="1" applyBorder="1" applyAlignment="1"/>
    <xf numFmtId="0" fontId="7" fillId="0" borderId="0" xfId="2" applyFont="1" applyBorder="1" applyAlignment="1"/>
    <xf numFmtId="0" fontId="6" fillId="0" borderId="0" xfId="2" applyFont="1"/>
    <xf numFmtId="0" fontId="7" fillId="0" borderId="0" xfId="2" applyFont="1"/>
    <xf numFmtId="188" fontId="7" fillId="0" borderId="0" xfId="2" applyNumberFormat="1" applyFont="1" applyAlignment="1">
      <alignment horizontal="center"/>
    </xf>
    <xf numFmtId="0" fontId="5" fillId="0" borderId="0" xfId="2" applyFont="1"/>
    <xf numFmtId="0" fontId="8" fillId="0" borderId="0" xfId="2" applyFont="1" applyAlignment="1">
      <alignment horizontal="left"/>
    </xf>
    <xf numFmtId="0" fontId="9" fillId="0" borderId="0" xfId="0" applyFont="1" applyAlignment="1">
      <alignment horizontal="right" vertical="top" wrapText="1"/>
    </xf>
    <xf numFmtId="3" fontId="11" fillId="0" borderId="12" xfId="0" applyNumberFormat="1" applyFont="1" applyBorder="1" applyAlignment="1">
      <alignment horizontal="right" wrapText="1"/>
    </xf>
    <xf numFmtId="0" fontId="12" fillId="0" borderId="0" xfId="0" applyFont="1"/>
    <xf numFmtId="0" fontId="9" fillId="0" borderId="0" xfId="0" applyFont="1" applyAlignment="1">
      <alignment horizontal="left" vertical="top"/>
    </xf>
    <xf numFmtId="0" fontId="7" fillId="0" borderId="0" xfId="5" applyFont="1"/>
    <xf numFmtId="188" fontId="7" fillId="0" borderId="0" xfId="5" applyNumberFormat="1" applyFont="1" applyAlignment="1">
      <alignment horizontal="center"/>
    </xf>
    <xf numFmtId="0" fontId="3" fillId="0" borderId="0" xfId="5" applyFont="1"/>
    <xf numFmtId="0" fontId="7" fillId="0" borderId="0" xfId="5" applyFont="1" applyBorder="1"/>
    <xf numFmtId="0" fontId="13" fillId="0" borderId="0" xfId="6" applyAlignment="1" applyProtection="1"/>
    <xf numFmtId="0" fontId="6" fillId="0" borderId="0" xfId="5" applyFont="1"/>
    <xf numFmtId="0" fontId="8" fillId="0" borderId="0" xfId="5" applyFont="1"/>
    <xf numFmtId="0" fontId="6" fillId="0" borderId="0" xfId="5" applyFont="1" applyBorder="1"/>
    <xf numFmtId="0" fontId="3" fillId="0" borderId="0" xfId="5" applyFont="1" applyBorder="1"/>
    <xf numFmtId="0" fontId="8" fillId="0" borderId="10" xfId="5" applyFont="1" applyBorder="1" applyAlignment="1">
      <alignment horizontal="center"/>
    </xf>
    <xf numFmtId="0" fontId="4" fillId="0" borderId="0" xfId="5" applyFont="1"/>
    <xf numFmtId="0" fontId="8" fillId="0" borderId="6" xfId="5" applyFont="1" applyBorder="1" applyAlignment="1">
      <alignment horizontal="center"/>
    </xf>
    <xf numFmtId="0" fontId="6" fillId="0" borderId="8" xfId="5" applyFont="1" applyBorder="1" applyAlignment="1">
      <alignment horizontal="center"/>
    </xf>
    <xf numFmtId="0" fontId="6" fillId="0" borderId="9" xfId="5" applyFont="1" applyBorder="1"/>
    <xf numFmtId="0" fontId="6" fillId="0" borderId="11" xfId="5" applyFont="1" applyBorder="1"/>
    <xf numFmtId="0" fontId="6" fillId="0" borderId="10" xfId="5" applyFont="1" applyBorder="1"/>
    <xf numFmtId="0" fontId="6" fillId="0" borderId="9" xfId="5" applyFont="1" applyBorder="1" applyAlignment="1">
      <alignment horizontal="center"/>
    </xf>
    <xf numFmtId="0" fontId="5" fillId="0" borderId="0" xfId="5" applyFont="1" applyBorder="1"/>
    <xf numFmtId="0" fontId="11" fillId="0" borderId="0" xfId="5" applyFont="1" applyBorder="1" applyAlignment="1">
      <alignment horizontal="left"/>
    </xf>
    <xf numFmtId="0" fontId="11" fillId="0" borderId="0" xfId="5" applyFont="1" applyBorder="1" applyAlignment="1"/>
    <xf numFmtId="187" fontId="11" fillId="0" borderId="5" xfId="3" applyNumberFormat="1" applyFont="1" applyBorder="1" applyAlignment="1"/>
    <xf numFmtId="187" fontId="11" fillId="0" borderId="7" xfId="3" applyNumberFormat="1" applyFont="1" applyBorder="1" applyAlignment="1"/>
    <xf numFmtId="187" fontId="11" fillId="0" borderId="0" xfId="3" applyNumberFormat="1" applyFont="1" applyBorder="1" applyAlignment="1"/>
    <xf numFmtId="187" fontId="11" fillId="0" borderId="7" xfId="3" applyNumberFormat="1" applyFont="1" applyBorder="1" applyAlignment="1">
      <alignment horizontal="right"/>
    </xf>
    <xf numFmtId="0" fontId="9" fillId="0" borderId="5" xfId="7" applyFont="1" applyBorder="1" applyAlignment="1"/>
    <xf numFmtId="0" fontId="11" fillId="0" borderId="0" xfId="5" applyFont="1" applyAlignment="1">
      <alignment horizontal="left"/>
    </xf>
    <xf numFmtId="0" fontId="9" fillId="0" borderId="0" xfId="5" applyFont="1" applyBorder="1" applyAlignment="1"/>
    <xf numFmtId="187" fontId="11" fillId="0" borderId="6" xfId="3" applyNumberFormat="1" applyFont="1" applyBorder="1" applyAlignment="1">
      <alignment horizontal="right"/>
    </xf>
    <xf numFmtId="0" fontId="11" fillId="0" borderId="0" xfId="5" applyFont="1" applyAlignment="1"/>
    <xf numFmtId="187" fontId="11" fillId="0" borderId="6" xfId="3" applyNumberFormat="1" applyFont="1" applyBorder="1" applyAlignment="1">
      <alignment horizontal="left"/>
    </xf>
    <xf numFmtId="0" fontId="8" fillId="0" borderId="0" xfId="5" applyFont="1" applyBorder="1"/>
    <xf numFmtId="0" fontId="3" fillId="0" borderId="1" xfId="5" applyFont="1" applyBorder="1"/>
    <xf numFmtId="0" fontId="3" fillId="0" borderId="2" xfId="5" applyFont="1" applyBorder="1"/>
    <xf numFmtId="0" fontId="3" fillId="0" borderId="4" xfId="5" applyFont="1" applyBorder="1"/>
    <xf numFmtId="0" fontId="3" fillId="0" borderId="3" xfId="5" applyFont="1" applyBorder="1"/>
    <xf numFmtId="0" fontId="8" fillId="0" borderId="8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9" fillId="0" borderId="0" xfId="0" applyFont="1" applyAlignment="1">
      <alignment horizontal="left" vertical="top" wrapText="1"/>
    </xf>
    <xf numFmtId="0" fontId="8" fillId="0" borderId="11" xfId="5" applyFont="1" applyBorder="1" applyAlignment="1">
      <alignment horizontal="center"/>
    </xf>
    <xf numFmtId="0" fontId="8" fillId="0" borderId="7" xfId="5" applyFont="1" applyBorder="1" applyAlignment="1">
      <alignment horizontal="center"/>
    </xf>
    <xf numFmtId="0" fontId="11" fillId="0" borderId="13" xfId="0" applyFont="1" applyBorder="1" applyAlignment="1">
      <alignment horizont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11" fillId="0" borderId="0" xfId="0" applyFont="1" applyBorder="1" applyAlignment="1">
      <alignment horizontal="center" wrapText="1"/>
    </xf>
    <xf numFmtId="3" fontId="11" fillId="0" borderId="0" xfId="0" applyNumberFormat="1" applyFont="1" applyBorder="1" applyAlignment="1">
      <alignment horizontal="right" wrapText="1"/>
    </xf>
    <xf numFmtId="3" fontId="11" fillId="0" borderId="10" xfId="0" applyNumberFormat="1" applyFont="1" applyBorder="1" applyAlignment="1">
      <alignment horizontal="right" wrapText="1"/>
    </xf>
    <xf numFmtId="3" fontId="11" fillId="0" borderId="6" xfId="0" applyNumberFormat="1" applyFont="1" applyBorder="1" applyAlignment="1">
      <alignment horizontal="right" wrapText="1"/>
    </xf>
    <xf numFmtId="3" fontId="11" fillId="0" borderId="3" xfId="0" applyNumberFormat="1" applyFont="1" applyBorder="1" applyAlignment="1">
      <alignment horizontal="right" wrapText="1"/>
    </xf>
    <xf numFmtId="0" fontId="11" fillId="0" borderId="1" xfId="0" applyFont="1" applyBorder="1" applyAlignment="1">
      <alignment horizontal="center" wrapText="1"/>
    </xf>
    <xf numFmtId="3" fontId="11" fillId="0" borderId="1" xfId="0" applyNumberFormat="1" applyFont="1" applyBorder="1" applyAlignment="1">
      <alignment horizontal="right" wrapText="1"/>
    </xf>
    <xf numFmtId="0" fontId="12" fillId="0" borderId="1" xfId="0" applyFont="1" applyBorder="1" applyAlignment="1">
      <alignment horizontal="center" vertical="center" wrapText="1"/>
    </xf>
    <xf numFmtId="0" fontId="0" fillId="0" borderId="8" xfId="0" applyBorder="1"/>
    <xf numFmtId="0" fontId="0" fillId="0" borderId="10" xfId="0" applyBorder="1"/>
    <xf numFmtId="0" fontId="12" fillId="0" borderId="6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wrapText="1"/>
    </xf>
    <xf numFmtId="3" fontId="11" fillId="0" borderId="8" xfId="0" applyNumberFormat="1" applyFont="1" applyBorder="1" applyAlignment="1">
      <alignment horizontal="right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3" fontId="11" fillId="0" borderId="5" xfId="0" applyNumberFormat="1" applyFont="1" applyBorder="1" applyAlignment="1">
      <alignment horizontal="right" wrapText="1"/>
    </xf>
    <xf numFmtId="3" fontId="11" fillId="0" borderId="9" xfId="0" applyNumberFormat="1" applyFont="1" applyBorder="1" applyAlignment="1">
      <alignment horizontal="right" wrapText="1"/>
    </xf>
    <xf numFmtId="3" fontId="11" fillId="0" borderId="2" xfId="0" applyNumberFormat="1" applyFont="1" applyBorder="1" applyAlignment="1">
      <alignment horizontal="right" wrapText="1"/>
    </xf>
    <xf numFmtId="0" fontId="12" fillId="0" borderId="5" xfId="0" applyFont="1" applyBorder="1" applyAlignment="1">
      <alignment horizontal="center" vertical="center" wrapText="1"/>
    </xf>
    <xf numFmtId="3" fontId="11" fillId="0" borderId="7" xfId="0" applyNumberFormat="1" applyFont="1" applyBorder="1" applyAlignment="1">
      <alignment horizontal="right" wrapText="1"/>
    </xf>
    <xf numFmtId="3" fontId="11" fillId="0" borderId="11" xfId="0" applyNumberFormat="1" applyFont="1" applyBorder="1" applyAlignment="1">
      <alignment horizontal="right" wrapText="1"/>
    </xf>
    <xf numFmtId="3" fontId="11" fillId="0" borderId="4" xfId="0" applyNumberFormat="1" applyFont="1" applyBorder="1" applyAlignment="1">
      <alignment horizontal="right" wrapText="1"/>
    </xf>
    <xf numFmtId="0" fontId="12" fillId="0" borderId="4" xfId="0" applyFont="1" applyBorder="1" applyAlignment="1">
      <alignment horizontal="center" vertical="center" wrapText="1"/>
    </xf>
    <xf numFmtId="0" fontId="8" fillId="0" borderId="3" xfId="2" applyFont="1" applyBorder="1"/>
    <xf numFmtId="41" fontId="8" fillId="0" borderId="6" xfId="3" applyNumberFormat="1" applyFont="1" applyBorder="1"/>
    <xf numFmtId="0" fontId="8" fillId="0" borderId="6" xfId="2" applyFont="1" applyBorder="1"/>
    <xf numFmtId="187" fontId="8" fillId="0" borderId="6" xfId="1" applyNumberFormat="1" applyFont="1" applyBorder="1" applyAlignment="1"/>
    <xf numFmtId="187" fontId="8" fillId="0" borderId="7" xfId="1" applyNumberFormat="1" applyFont="1" applyBorder="1"/>
    <xf numFmtId="187" fontId="8" fillId="0" borderId="6" xfId="1" applyNumberFormat="1" applyFont="1" applyBorder="1"/>
    <xf numFmtId="187" fontId="5" fillId="0" borderId="0" xfId="1" applyNumberFormat="1" applyFont="1" applyBorder="1" applyAlignment="1"/>
    <xf numFmtId="187" fontId="8" fillId="0" borderId="0" xfId="1" applyNumberFormat="1" applyFont="1" applyBorder="1" applyAlignment="1"/>
    <xf numFmtId="0" fontId="8" fillId="0" borderId="3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187" fontId="8" fillId="0" borderId="0" xfId="4" applyNumberFormat="1" applyFont="1" applyBorder="1"/>
    <xf numFmtId="187" fontId="4" fillId="0" borderId="6" xfId="1" applyNumberFormat="1" applyFont="1" applyBorder="1" applyAlignment="1"/>
    <xf numFmtId="187" fontId="6" fillId="0" borderId="6" xfId="1" applyNumberFormat="1" applyFont="1" applyBorder="1" applyAlignment="1"/>
    <xf numFmtId="0" fontId="8" fillId="0" borderId="7" xfId="2" applyFont="1" applyBorder="1"/>
    <xf numFmtId="0" fontId="8" fillId="0" borderId="8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6" fillId="0" borderId="0" xfId="2" applyFont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9" xfId="0" applyBorder="1"/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/>
    <xf numFmtId="0" fontId="8" fillId="0" borderId="0" xfId="2" applyFont="1" applyBorder="1" applyAlignment="1">
      <alignment horizontal="center" vertical="center"/>
    </xf>
    <xf numFmtId="0" fontId="4" fillId="0" borderId="0" xfId="2" applyFont="1" applyBorder="1"/>
    <xf numFmtId="0" fontId="6" fillId="0" borderId="2" xfId="2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8" fillId="0" borderId="6" xfId="2" applyFont="1" applyBorder="1" applyAlignment="1">
      <alignment horizontal="center" vertical="center"/>
    </xf>
    <xf numFmtId="0" fontId="8" fillId="0" borderId="3" xfId="2" applyFont="1" applyBorder="1" applyAlignment="1">
      <alignment horizontal="center"/>
    </xf>
    <xf numFmtId="0" fontId="8" fillId="0" borderId="5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6" fillId="0" borderId="6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11" fillId="0" borderId="1" xfId="0" applyFont="1" applyBorder="1" applyAlignment="1">
      <alignment horizontal="right" wrapText="1"/>
    </xf>
    <xf numFmtId="0" fontId="11" fillId="0" borderId="0" xfId="0" applyFont="1" applyBorder="1" applyAlignment="1">
      <alignment horizontal="right" wrapText="1"/>
    </xf>
    <xf numFmtId="0" fontId="12" fillId="0" borderId="8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9" fillId="0" borderId="0" xfId="0" applyFont="1" applyAlignment="1">
      <alignment horizontal="left" vertical="top" wrapText="1"/>
    </xf>
    <xf numFmtId="0" fontId="8" fillId="0" borderId="8" xfId="5" applyFont="1" applyBorder="1" applyAlignment="1">
      <alignment horizontal="center" vertical="center"/>
    </xf>
    <xf numFmtId="0" fontId="8" fillId="0" borderId="11" xfId="5" applyFont="1" applyBorder="1" applyAlignment="1">
      <alignment horizontal="center" vertical="center"/>
    </xf>
    <xf numFmtId="0" fontId="8" fillId="0" borderId="0" xfId="5" applyFont="1" applyBorder="1" applyAlignment="1">
      <alignment horizontal="center" vertical="center"/>
    </xf>
    <xf numFmtId="0" fontId="8" fillId="0" borderId="7" xfId="5" applyFont="1" applyBorder="1" applyAlignment="1">
      <alignment horizontal="center" vertical="center"/>
    </xf>
    <xf numFmtId="0" fontId="8" fillId="0" borderId="9" xfId="5" applyFont="1" applyBorder="1" applyAlignment="1">
      <alignment horizontal="center"/>
    </xf>
    <xf numFmtId="0" fontId="8" fillId="0" borderId="8" xfId="5" applyFont="1" applyBorder="1" applyAlignment="1">
      <alignment horizontal="center"/>
    </xf>
    <xf numFmtId="0" fontId="8" fillId="0" borderId="11" xfId="5" applyFont="1" applyBorder="1" applyAlignment="1">
      <alignment horizontal="center"/>
    </xf>
    <xf numFmtId="0" fontId="8" fillId="0" borderId="9" xfId="5" applyFont="1" applyBorder="1" applyAlignment="1">
      <alignment horizontal="center" vertical="center"/>
    </xf>
    <xf numFmtId="0" fontId="8" fillId="0" borderId="5" xfId="5" applyFont="1" applyBorder="1" applyAlignment="1">
      <alignment horizontal="center" vertical="center"/>
    </xf>
    <xf numFmtId="0" fontId="8" fillId="0" borderId="5" xfId="5" applyFont="1" applyBorder="1" applyAlignment="1">
      <alignment horizontal="center"/>
    </xf>
    <xf numFmtId="0" fontId="8" fillId="0" borderId="7" xfId="5" applyFont="1" applyBorder="1" applyAlignment="1">
      <alignment horizontal="center"/>
    </xf>
    <xf numFmtId="0" fontId="11" fillId="0" borderId="1" xfId="0" applyFont="1" applyBorder="1" applyAlignment="1">
      <alignment horizontal="right" wrapText="1"/>
    </xf>
    <xf numFmtId="0" fontId="12" fillId="0" borderId="1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wrapText="1"/>
    </xf>
    <xf numFmtId="0" fontId="12" fillId="0" borderId="8" xfId="0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11" fillId="0" borderId="0" xfId="0" applyFont="1" applyAlignment="1">
      <alignment horizontal="right" wrapText="1"/>
    </xf>
    <xf numFmtId="0" fontId="12" fillId="0" borderId="0" xfId="0" applyFont="1" applyBorder="1" applyAlignment="1">
      <alignment horizontal="center" vertical="center" wrapText="1"/>
    </xf>
    <xf numFmtId="3" fontId="6" fillId="0" borderId="6" xfId="2" applyNumberFormat="1" applyFont="1" applyBorder="1" applyAlignment="1">
      <alignment horizontal="right"/>
    </xf>
    <xf numFmtId="0" fontId="6" fillId="0" borderId="6" xfId="2" applyFont="1" applyBorder="1" applyAlignment="1">
      <alignment horizontal="right"/>
    </xf>
    <xf numFmtId="187" fontId="6" fillId="0" borderId="6" xfId="2" applyNumberFormat="1" applyFont="1" applyBorder="1" applyAlignment="1">
      <alignment horizontal="center"/>
    </xf>
    <xf numFmtId="187" fontId="8" fillId="0" borderId="6" xfId="2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187" fontId="10" fillId="0" borderId="9" xfId="1" applyNumberFormat="1" applyFont="1" applyBorder="1" applyAlignment="1">
      <alignment horizontal="right" wrapText="1"/>
    </xf>
    <xf numFmtId="187" fontId="11" fillId="0" borderId="5" xfId="1" applyNumberFormat="1" applyFont="1" applyBorder="1" applyAlignment="1">
      <alignment horizontal="right" wrapText="1"/>
    </xf>
    <xf numFmtId="0" fontId="11" fillId="0" borderId="5" xfId="0" applyFont="1" applyBorder="1" applyAlignment="1">
      <alignment horizontal="right" wrapText="1"/>
    </xf>
    <xf numFmtId="0" fontId="11" fillId="0" borderId="2" xfId="0" applyFont="1" applyBorder="1" applyAlignment="1">
      <alignment horizontal="right" wrapText="1"/>
    </xf>
    <xf numFmtId="0" fontId="11" fillId="0" borderId="7" xfId="0" applyFont="1" applyBorder="1" applyAlignment="1">
      <alignment horizontal="right" wrapText="1"/>
    </xf>
    <xf numFmtId="0" fontId="11" fillId="0" borderId="4" xfId="0" applyFont="1" applyBorder="1" applyAlignment="1">
      <alignment horizontal="right" wrapText="1"/>
    </xf>
    <xf numFmtId="190" fontId="11" fillId="0" borderId="7" xfId="0" applyNumberFormat="1" applyFont="1" applyBorder="1" applyAlignment="1">
      <alignment horizontal="right" wrapText="1"/>
    </xf>
    <xf numFmtId="187" fontId="10" fillId="0" borderId="11" xfId="1" applyNumberFormat="1" applyFont="1" applyBorder="1" applyAlignment="1">
      <alignment horizontal="right" wrapText="1"/>
    </xf>
    <xf numFmtId="187" fontId="11" fillId="0" borderId="7" xfId="1" applyNumberFormat="1" applyFont="1" applyBorder="1" applyAlignment="1">
      <alignment horizontal="right" wrapText="1"/>
    </xf>
    <xf numFmtId="187" fontId="10" fillId="0" borderId="10" xfId="1" applyNumberFormat="1" applyFont="1" applyBorder="1" applyAlignment="1">
      <alignment horizontal="right" wrapText="1"/>
    </xf>
    <xf numFmtId="187" fontId="11" fillId="0" borderId="6" xfId="1" applyNumberFormat="1" applyFont="1" applyBorder="1" applyAlignment="1">
      <alignment horizontal="right" wrapText="1"/>
    </xf>
    <xf numFmtId="0" fontId="11" fillId="0" borderId="6" xfId="0" applyFont="1" applyBorder="1" applyAlignment="1">
      <alignment horizontal="right" wrapText="1"/>
    </xf>
    <xf numFmtId="0" fontId="11" fillId="0" borderId="3" xfId="0" applyFont="1" applyBorder="1" applyAlignment="1">
      <alignment horizontal="right" wrapText="1"/>
    </xf>
    <xf numFmtId="188" fontId="11" fillId="0" borderId="7" xfId="0" applyNumberFormat="1" applyFont="1" applyBorder="1" applyAlignment="1">
      <alignment horizontal="right" wrapText="1"/>
    </xf>
    <xf numFmtId="188" fontId="11" fillId="0" borderId="4" xfId="0" applyNumberFormat="1" applyFont="1" applyBorder="1" applyAlignment="1">
      <alignment horizontal="right" wrapText="1"/>
    </xf>
    <xf numFmtId="189" fontId="11" fillId="0" borderId="7" xfId="1" applyNumberFormat="1" applyFont="1" applyBorder="1" applyAlignment="1">
      <alignment horizontal="right" wrapText="1"/>
    </xf>
    <xf numFmtId="187" fontId="11" fillId="0" borderId="3" xfId="1" applyNumberFormat="1" applyFont="1" applyBorder="1" applyAlignment="1">
      <alignment horizontal="right" wrapText="1"/>
    </xf>
    <xf numFmtId="187" fontId="11" fillId="0" borderId="4" xfId="1" applyNumberFormat="1" applyFont="1" applyBorder="1" applyAlignment="1">
      <alignment horizontal="right" wrapText="1"/>
    </xf>
    <xf numFmtId="187" fontId="11" fillId="0" borderId="2" xfId="1" applyNumberFormat="1" applyFont="1" applyBorder="1" applyAlignment="1">
      <alignment horizontal="right" wrapText="1"/>
    </xf>
    <xf numFmtId="190" fontId="10" fillId="0" borderId="11" xfId="0" applyNumberFormat="1" applyFont="1" applyBorder="1" applyAlignment="1">
      <alignment horizontal="right" wrapText="1"/>
    </xf>
    <xf numFmtId="188" fontId="10" fillId="0" borderId="11" xfId="0" applyNumberFormat="1" applyFont="1" applyBorder="1" applyAlignment="1">
      <alignment horizontal="right" wrapText="1"/>
    </xf>
    <xf numFmtId="0" fontId="11" fillId="0" borderId="0" xfId="0" applyFont="1" applyBorder="1" applyAlignment="1">
      <alignment wrapText="1"/>
    </xf>
    <xf numFmtId="0" fontId="10" fillId="0" borderId="0" xfId="0" applyFont="1" applyBorder="1" applyAlignment="1">
      <alignment horizontal="left" wrapText="1"/>
    </xf>
    <xf numFmtId="187" fontId="11" fillId="0" borderId="5" xfId="1" applyNumberFormat="1" applyFont="1" applyBorder="1" applyAlignment="1">
      <alignment wrapText="1"/>
    </xf>
    <xf numFmtId="187" fontId="11" fillId="0" borderId="2" xfId="1" applyNumberFormat="1" applyFont="1" applyBorder="1" applyAlignment="1">
      <alignment wrapText="1"/>
    </xf>
    <xf numFmtId="187" fontId="11" fillId="0" borderId="7" xfId="1" applyNumberFormat="1" applyFont="1" applyBorder="1" applyAlignment="1">
      <alignment wrapText="1"/>
    </xf>
    <xf numFmtId="4" fontId="11" fillId="0" borderId="4" xfId="0" applyNumberFormat="1" applyFont="1" applyBorder="1" applyAlignment="1">
      <alignment wrapText="1"/>
    </xf>
    <xf numFmtId="3" fontId="11" fillId="0" borderId="2" xfId="0" applyNumberFormat="1" applyFont="1" applyBorder="1" applyAlignment="1">
      <alignment wrapText="1"/>
    </xf>
    <xf numFmtId="187" fontId="11" fillId="0" borderId="6" xfId="1" applyNumberFormat="1" applyFont="1" applyBorder="1" applyAlignment="1">
      <alignment wrapText="1"/>
    </xf>
    <xf numFmtId="3" fontId="11" fillId="0" borderId="3" xfId="0" applyNumberFormat="1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0" fillId="0" borderId="1" xfId="0" applyFont="1" applyBorder="1" applyAlignment="1">
      <alignment horizontal="left" wrapText="1"/>
    </xf>
    <xf numFmtId="189" fontId="11" fillId="0" borderId="7" xfId="1" applyNumberFormat="1" applyFont="1" applyBorder="1" applyAlignment="1">
      <alignment wrapText="1"/>
    </xf>
    <xf numFmtId="189" fontId="11" fillId="0" borderId="7" xfId="0" applyNumberFormat="1" applyFont="1" applyBorder="1" applyAlignment="1">
      <alignment wrapText="1"/>
    </xf>
    <xf numFmtId="0" fontId="11" fillId="0" borderId="8" xfId="0" applyFont="1" applyBorder="1" applyAlignment="1">
      <alignment horizontal="left" wrapText="1"/>
    </xf>
    <xf numFmtId="0" fontId="10" fillId="0" borderId="8" xfId="0" applyFont="1" applyBorder="1" applyAlignment="1">
      <alignment horizontal="left" wrapText="1"/>
    </xf>
    <xf numFmtId="187" fontId="11" fillId="0" borderId="10" xfId="1" applyNumberFormat="1" applyFont="1" applyBorder="1" applyAlignment="1">
      <alignment horizontal="right" wrapText="1"/>
    </xf>
    <xf numFmtId="187" fontId="11" fillId="0" borderId="9" xfId="1" applyNumberFormat="1" applyFont="1" applyBorder="1" applyAlignment="1">
      <alignment horizontal="right" wrapText="1"/>
    </xf>
    <xf numFmtId="189" fontId="11" fillId="0" borderId="11" xfId="1" applyNumberFormat="1" applyFont="1" applyBorder="1" applyAlignment="1">
      <alignment horizontal="right" wrapText="1"/>
    </xf>
    <xf numFmtId="0" fontId="11" fillId="0" borderId="7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9" fillId="0" borderId="0" xfId="0" applyFont="1" applyAlignment="1">
      <alignment horizontal="right" vertical="top"/>
    </xf>
    <xf numFmtId="4" fontId="10" fillId="0" borderId="5" xfId="0" applyNumberFormat="1" applyFont="1" applyBorder="1" applyAlignment="1">
      <alignment horizontal="right" wrapText="1"/>
    </xf>
    <xf numFmtId="4" fontId="10" fillId="0" borderId="0" xfId="0" applyNumberFormat="1" applyFont="1" applyBorder="1" applyAlignment="1">
      <alignment horizontal="right" wrapText="1"/>
    </xf>
    <xf numFmtId="0" fontId="10" fillId="0" borderId="5" xfId="0" applyFont="1" applyBorder="1" applyAlignment="1">
      <alignment horizontal="right" wrapText="1"/>
    </xf>
    <xf numFmtId="0" fontId="10" fillId="0" borderId="7" xfId="0" applyFont="1" applyBorder="1" applyAlignment="1">
      <alignment horizontal="right" wrapText="1"/>
    </xf>
    <xf numFmtId="0" fontId="10" fillId="0" borderId="6" xfId="0" applyFont="1" applyBorder="1" applyAlignment="1">
      <alignment horizontal="right" wrapText="1"/>
    </xf>
    <xf numFmtId="4" fontId="10" fillId="0" borderId="7" xfId="0" applyNumberFormat="1" applyFont="1" applyBorder="1" applyAlignment="1">
      <alignment horizontal="right" wrapText="1"/>
    </xf>
    <xf numFmtId="0" fontId="11" fillId="0" borderId="2" xfId="0" applyFont="1" applyBorder="1" applyAlignment="1">
      <alignment horizontal="left" wrapText="1"/>
    </xf>
    <xf numFmtId="0" fontId="11" fillId="0" borderId="4" xfId="0" applyFont="1" applyBorder="1" applyAlignment="1">
      <alignment horizontal="left" wrapText="1"/>
    </xf>
    <xf numFmtId="0" fontId="12" fillId="0" borderId="11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3" fontId="10" fillId="0" borderId="6" xfId="0" applyNumberFormat="1" applyFont="1" applyBorder="1" applyAlignment="1">
      <alignment horizontal="right" wrapText="1"/>
    </xf>
    <xf numFmtId="0" fontId="10" fillId="0" borderId="5" xfId="0" applyFont="1" applyBorder="1" applyAlignment="1">
      <alignment horizontal="center" wrapText="1"/>
    </xf>
    <xf numFmtId="0" fontId="11" fillId="0" borderId="5" xfId="0" applyFont="1" applyBorder="1" applyAlignment="1">
      <alignment horizontal="left" wrapText="1"/>
    </xf>
    <xf numFmtId="187" fontId="10" fillId="0" borderId="5" xfId="1" applyNumberFormat="1" applyFont="1" applyBorder="1" applyAlignment="1">
      <alignment horizontal="right" wrapText="1"/>
    </xf>
    <xf numFmtId="187" fontId="10" fillId="0" borderId="6" xfId="1" applyNumberFormat="1" applyFont="1" applyBorder="1" applyAlignment="1">
      <alignment horizontal="right" wrapText="1"/>
    </xf>
    <xf numFmtId="187" fontId="10" fillId="0" borderId="7" xfId="1" applyNumberFormat="1" applyFont="1" applyBorder="1" applyAlignment="1">
      <alignment horizontal="right" wrapText="1"/>
    </xf>
    <xf numFmtId="0" fontId="14" fillId="0" borderId="0" xfId="0" applyFont="1"/>
  </cellXfs>
  <cellStyles count="8">
    <cellStyle name="Hyperlink" xfId="6" builtinId="8"/>
    <cellStyle name="เครื่องหมายจุลภาค" xfId="1" builtinId="3"/>
    <cellStyle name="เครื่องหมายจุลภาค 2 2" xfId="3"/>
    <cellStyle name="เครื่องหมายจุลภาค 3 2" xfId="4"/>
    <cellStyle name="ปกติ" xfId="0" builtinId="0"/>
    <cellStyle name="ปกติ 2" xfId="2"/>
    <cellStyle name="ปกติ 2 3" xfId="5"/>
    <cellStyle name="ปกติ 8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321945</xdr:colOff>
      <xdr:row>3</xdr:row>
      <xdr:rowOff>228600</xdr:rowOff>
    </xdr:from>
    <xdr:to>
      <xdr:col>16</xdr:col>
      <xdr:colOff>89535</xdr:colOff>
      <xdr:row>12</xdr:row>
      <xdr:rowOff>0</xdr:rowOff>
    </xdr:to>
    <xdr:grpSp>
      <xdr:nvGrpSpPr>
        <xdr:cNvPr id="2" name="Group 8"/>
        <xdr:cNvGrpSpPr/>
      </xdr:nvGrpSpPr>
      <xdr:grpSpPr>
        <a:xfrm>
          <a:off x="11018520" y="857250"/>
          <a:ext cx="377190" cy="1866900"/>
          <a:chOff x="9496425" y="3543300"/>
          <a:chExt cx="400050" cy="3023226"/>
        </a:xfrm>
      </xdr:grpSpPr>
      <xdr:grpSp>
        <xdr:nvGrpSpPr>
          <xdr:cNvPr id="3" name="Group 5"/>
          <xdr:cNvGrpSpPr/>
        </xdr:nvGrpSpPr>
        <xdr:grpSpPr>
          <a:xfrm>
            <a:off x="9553574" y="6098247"/>
            <a:ext cx="342901" cy="468279"/>
            <a:chOff x="9544049" y="6022047"/>
            <a:chExt cx="342901" cy="468279"/>
          </a:xfrm>
        </xdr:grpSpPr>
        <xdr:sp macro="" textlink="">
          <xdr:nvSpPr>
            <xdr:cNvPr id="5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4"/>
            <xdr:cNvSpPr txBox="1"/>
          </xdr:nvSpPr>
          <xdr:spPr>
            <a:xfrm rot="5400000">
              <a:off x="9469453" y="6096643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125</a:t>
              </a: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13</xdr:col>
      <xdr:colOff>228600</xdr:colOff>
      <xdr:row>16</xdr:row>
      <xdr:rowOff>53340</xdr:rowOff>
    </xdr:from>
    <xdr:to>
      <xdr:col>13</xdr:col>
      <xdr:colOff>702128</xdr:colOff>
      <xdr:row>19</xdr:row>
      <xdr:rowOff>16691</xdr:rowOff>
    </xdr:to>
    <xdr:grpSp>
      <xdr:nvGrpSpPr>
        <xdr:cNvPr id="7" name="Group 12"/>
        <xdr:cNvGrpSpPr/>
      </xdr:nvGrpSpPr>
      <xdr:grpSpPr>
        <a:xfrm>
          <a:off x="9353550" y="3882390"/>
          <a:ext cx="473528" cy="792026"/>
          <a:chOff x="7877175" y="6896099"/>
          <a:chExt cx="400050" cy="457200"/>
        </a:xfrm>
      </xdr:grpSpPr>
      <xdr:pic>
        <xdr:nvPicPr>
          <xdr:cNvPr id="8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330123</xdr:colOff>
      <xdr:row>16</xdr:row>
      <xdr:rowOff>114664</xdr:rowOff>
    </xdr:from>
    <xdr:to>
      <xdr:col>13</xdr:col>
      <xdr:colOff>634999</xdr:colOff>
      <xdr:row>19</xdr:row>
      <xdr:rowOff>136434</xdr:rowOff>
    </xdr:to>
    <xdr:sp macro="" textlink="">
      <xdr:nvSpPr>
        <xdr:cNvPr id="10" name="TextBox 9"/>
        <xdr:cNvSpPr txBox="1"/>
      </xdr:nvSpPr>
      <xdr:spPr>
        <a:xfrm rot="5400000">
          <a:off x="8110726" y="3516411"/>
          <a:ext cx="564695" cy="2763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125</a:t>
          </a:r>
          <a:endParaRPr lang="th-T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321945</xdr:colOff>
      <xdr:row>3</xdr:row>
      <xdr:rowOff>228600</xdr:rowOff>
    </xdr:from>
    <xdr:to>
      <xdr:col>16</xdr:col>
      <xdr:colOff>89535</xdr:colOff>
      <xdr:row>12</xdr:row>
      <xdr:rowOff>0</xdr:rowOff>
    </xdr:to>
    <xdr:grpSp>
      <xdr:nvGrpSpPr>
        <xdr:cNvPr id="2" name="Group 8"/>
        <xdr:cNvGrpSpPr/>
      </xdr:nvGrpSpPr>
      <xdr:grpSpPr>
        <a:xfrm>
          <a:off x="10932795" y="857250"/>
          <a:ext cx="377190" cy="1943100"/>
          <a:chOff x="9496425" y="3543300"/>
          <a:chExt cx="400050" cy="3023226"/>
        </a:xfrm>
      </xdr:grpSpPr>
      <xdr:grpSp>
        <xdr:nvGrpSpPr>
          <xdr:cNvPr id="3" name="Group 5"/>
          <xdr:cNvGrpSpPr/>
        </xdr:nvGrpSpPr>
        <xdr:grpSpPr>
          <a:xfrm>
            <a:off x="9553574" y="6098247"/>
            <a:ext cx="342901" cy="468279"/>
            <a:chOff x="9544049" y="6022047"/>
            <a:chExt cx="342901" cy="468279"/>
          </a:xfrm>
        </xdr:grpSpPr>
        <xdr:sp macro="" textlink="">
          <xdr:nvSpPr>
            <xdr:cNvPr id="5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4"/>
            <xdr:cNvSpPr txBox="1"/>
          </xdr:nvSpPr>
          <xdr:spPr>
            <a:xfrm rot="5400000">
              <a:off x="9469453" y="6096643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125</a:t>
              </a: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13</xdr:col>
      <xdr:colOff>228600</xdr:colOff>
      <xdr:row>19</xdr:row>
      <xdr:rowOff>53340</xdr:rowOff>
    </xdr:from>
    <xdr:to>
      <xdr:col>13</xdr:col>
      <xdr:colOff>702128</xdr:colOff>
      <xdr:row>22</xdr:row>
      <xdr:rowOff>16691</xdr:rowOff>
    </xdr:to>
    <xdr:grpSp>
      <xdr:nvGrpSpPr>
        <xdr:cNvPr id="7" name="Group 12"/>
        <xdr:cNvGrpSpPr/>
      </xdr:nvGrpSpPr>
      <xdr:grpSpPr>
        <a:xfrm>
          <a:off x="9267825" y="4787265"/>
          <a:ext cx="473528" cy="792026"/>
          <a:chOff x="7877175" y="6896099"/>
          <a:chExt cx="400050" cy="457200"/>
        </a:xfrm>
      </xdr:grpSpPr>
      <xdr:pic>
        <xdr:nvPicPr>
          <xdr:cNvPr id="8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330123</xdr:colOff>
      <xdr:row>19</xdr:row>
      <xdr:rowOff>114664</xdr:rowOff>
    </xdr:from>
    <xdr:to>
      <xdr:col>13</xdr:col>
      <xdr:colOff>634999</xdr:colOff>
      <xdr:row>22</xdr:row>
      <xdr:rowOff>136434</xdr:rowOff>
    </xdr:to>
    <xdr:sp macro="" textlink="">
      <xdr:nvSpPr>
        <xdr:cNvPr id="10" name="TextBox 9"/>
        <xdr:cNvSpPr txBox="1"/>
      </xdr:nvSpPr>
      <xdr:spPr>
        <a:xfrm rot="5400000">
          <a:off x="8110726" y="4059336"/>
          <a:ext cx="564695" cy="2763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125</a:t>
          </a:r>
          <a:endParaRPr lang="th-TH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321945</xdr:colOff>
      <xdr:row>3</xdr:row>
      <xdr:rowOff>228600</xdr:rowOff>
    </xdr:from>
    <xdr:to>
      <xdr:col>16</xdr:col>
      <xdr:colOff>89535</xdr:colOff>
      <xdr:row>15</xdr:row>
      <xdr:rowOff>15240</xdr:rowOff>
    </xdr:to>
    <xdr:grpSp>
      <xdr:nvGrpSpPr>
        <xdr:cNvPr id="2" name="Group 8"/>
        <xdr:cNvGrpSpPr/>
      </xdr:nvGrpSpPr>
      <xdr:grpSpPr>
        <a:xfrm>
          <a:off x="10380345" y="857250"/>
          <a:ext cx="377190" cy="2787015"/>
          <a:chOff x="9496425" y="3543300"/>
          <a:chExt cx="400050" cy="3023226"/>
        </a:xfrm>
      </xdr:grpSpPr>
      <xdr:grpSp>
        <xdr:nvGrpSpPr>
          <xdr:cNvPr id="3" name="Group 5"/>
          <xdr:cNvGrpSpPr/>
        </xdr:nvGrpSpPr>
        <xdr:grpSpPr>
          <a:xfrm>
            <a:off x="9553574" y="6098247"/>
            <a:ext cx="342901" cy="468279"/>
            <a:chOff x="9544049" y="6022047"/>
            <a:chExt cx="342901" cy="468279"/>
          </a:xfrm>
        </xdr:grpSpPr>
        <xdr:sp macro="" textlink="">
          <xdr:nvSpPr>
            <xdr:cNvPr id="5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4"/>
            <xdr:cNvSpPr txBox="1"/>
          </xdr:nvSpPr>
          <xdr:spPr>
            <a:xfrm rot="5400000">
              <a:off x="9469453" y="6096643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125</a:t>
              </a: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13</xdr:col>
      <xdr:colOff>228600</xdr:colOff>
      <xdr:row>24</xdr:row>
      <xdr:rowOff>53340</xdr:rowOff>
    </xdr:from>
    <xdr:to>
      <xdr:col>13</xdr:col>
      <xdr:colOff>702128</xdr:colOff>
      <xdr:row>27</xdr:row>
      <xdr:rowOff>16691</xdr:rowOff>
    </xdr:to>
    <xdr:grpSp>
      <xdr:nvGrpSpPr>
        <xdr:cNvPr id="7" name="Group 12"/>
        <xdr:cNvGrpSpPr/>
      </xdr:nvGrpSpPr>
      <xdr:grpSpPr>
        <a:xfrm>
          <a:off x="8715375" y="6168390"/>
          <a:ext cx="473528" cy="792026"/>
          <a:chOff x="7877175" y="6896099"/>
          <a:chExt cx="400050" cy="457200"/>
        </a:xfrm>
      </xdr:grpSpPr>
      <xdr:pic>
        <xdr:nvPicPr>
          <xdr:cNvPr id="8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330123</xdr:colOff>
      <xdr:row>24</xdr:row>
      <xdr:rowOff>114664</xdr:rowOff>
    </xdr:from>
    <xdr:to>
      <xdr:col>13</xdr:col>
      <xdr:colOff>634999</xdr:colOff>
      <xdr:row>27</xdr:row>
      <xdr:rowOff>136434</xdr:rowOff>
    </xdr:to>
    <xdr:sp macro="" textlink="">
      <xdr:nvSpPr>
        <xdr:cNvPr id="10" name="TextBox 9"/>
        <xdr:cNvSpPr txBox="1"/>
      </xdr:nvSpPr>
      <xdr:spPr>
        <a:xfrm rot="5400000">
          <a:off x="8110726" y="4964211"/>
          <a:ext cx="564695" cy="2763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125</a:t>
          </a:r>
          <a:endParaRPr lang="th-TH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428625</xdr:colOff>
      <xdr:row>40</xdr:row>
      <xdr:rowOff>26194</xdr:rowOff>
    </xdr:from>
    <xdr:to>
      <xdr:col>19</xdr:col>
      <xdr:colOff>255270</xdr:colOff>
      <xdr:row>53</xdr:row>
      <xdr:rowOff>2858</xdr:rowOff>
    </xdr:to>
    <xdr:grpSp>
      <xdr:nvGrpSpPr>
        <xdr:cNvPr id="2" name="Group 8">
          <a:extLst>
            <a:ext uri="{FF2B5EF4-FFF2-40B4-BE49-F238E27FC236}">
              <a16:creationId xmlns:a16="http://schemas.microsoft.com/office/drawing/2014/main" xmlns="" id="{39F73139-C950-4EF0-9DA7-FD9ACF4D0003}"/>
            </a:ext>
          </a:extLst>
        </xdr:cNvPr>
        <xdr:cNvGrpSpPr/>
      </xdr:nvGrpSpPr>
      <xdr:grpSpPr>
        <a:xfrm>
          <a:off x="11626936" y="9615552"/>
          <a:ext cx="438047" cy="3149519"/>
          <a:chOff x="9458325" y="3590925"/>
          <a:chExt cx="409575" cy="3000375"/>
        </a:xfrm>
      </xdr:grpSpPr>
      <xdr:grpSp>
        <xdr:nvGrpSpPr>
          <xdr:cNvPr id="3" name="Group 5">
            <a:extLst>
              <a:ext uri="{FF2B5EF4-FFF2-40B4-BE49-F238E27FC236}">
                <a16:creationId xmlns:a16="http://schemas.microsoft.com/office/drawing/2014/main" xmlns="" id="{30B9F9C0-8554-47CA-813A-EB0E85CEC8E7}"/>
              </a:ext>
            </a:extLst>
          </xdr:cNvPr>
          <xdr:cNvGrpSpPr/>
        </xdr:nvGrpSpPr>
        <xdr:grpSpPr>
          <a:xfrm>
            <a:off x="9514709" y="6106787"/>
            <a:ext cx="353191" cy="484513"/>
            <a:chOff x="9533759" y="5982962"/>
            <a:chExt cx="353191" cy="484513"/>
          </a:xfrm>
        </xdr:grpSpPr>
        <xdr:sp macro="" textlink="">
          <xdr:nvSpPr>
            <xdr:cNvPr id="5" name="Flowchart: Delay 6">
              <a:extLst>
                <a:ext uri="{FF2B5EF4-FFF2-40B4-BE49-F238E27FC236}">
                  <a16:creationId xmlns:a16="http://schemas.microsoft.com/office/drawing/2014/main" xmlns="" id="{2437BC9D-123C-49D2-9C74-E9CEE79347C6}"/>
                </a:ext>
              </a:extLst>
            </xdr:cNvPr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xmlns="" id="{EC86F7B7-4BBD-43AB-8826-02D5C7E77EE6}"/>
                </a:ext>
              </a:extLst>
            </xdr:cNvPr>
            <xdr:cNvSpPr txBox="1"/>
          </xdr:nvSpPr>
          <xdr:spPr>
            <a:xfrm rot="5400000">
              <a:off x="9459903" y="6056818"/>
              <a:ext cx="46679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127</a:t>
              </a:r>
              <a:endParaRPr lang="th-TH" sz="1100"/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xmlns="" id="{CB71DA4A-C329-41D1-A6B0-A070DEA1C9E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22</xdr:col>
      <xdr:colOff>562618</xdr:colOff>
      <xdr:row>0</xdr:row>
      <xdr:rowOff>260650</xdr:rowOff>
    </xdr:from>
    <xdr:to>
      <xdr:col>23</xdr:col>
      <xdr:colOff>406926</xdr:colOff>
      <xdr:row>12</xdr:row>
      <xdr:rowOff>223026</xdr:rowOff>
    </xdr:to>
    <xdr:grpSp>
      <xdr:nvGrpSpPr>
        <xdr:cNvPr id="7" name="Group 8">
          <a:extLst>
            <a:ext uri="{FF2B5EF4-FFF2-40B4-BE49-F238E27FC236}">
              <a16:creationId xmlns:a16="http://schemas.microsoft.com/office/drawing/2014/main" xmlns="" id="{0B32D370-22B1-418A-B9CE-D074380C8EC8}"/>
            </a:ext>
          </a:extLst>
        </xdr:cNvPr>
        <xdr:cNvGrpSpPr/>
      </xdr:nvGrpSpPr>
      <xdr:grpSpPr>
        <a:xfrm>
          <a:off x="14206537" y="260650"/>
          <a:ext cx="455710" cy="2916413"/>
          <a:chOff x="9410700" y="76200"/>
          <a:chExt cx="364849" cy="2686050"/>
        </a:xfrm>
      </xdr:grpSpPr>
      <xdr:grpSp>
        <xdr:nvGrpSpPr>
          <xdr:cNvPr id="8" name="Group 5">
            <a:extLst>
              <a:ext uri="{FF2B5EF4-FFF2-40B4-BE49-F238E27FC236}">
                <a16:creationId xmlns:a16="http://schemas.microsoft.com/office/drawing/2014/main" xmlns="" id="{664140DC-8C99-4B51-A47A-318519C245A2}"/>
              </a:ext>
            </a:extLst>
          </xdr:cNvPr>
          <xdr:cNvGrpSpPr/>
        </xdr:nvGrpSpPr>
        <xdr:grpSpPr>
          <a:xfrm>
            <a:off x="9410700" y="76200"/>
            <a:ext cx="333375" cy="599479"/>
            <a:chOff x="9629775" y="161925"/>
            <a:chExt cx="333375" cy="599479"/>
          </a:xfrm>
        </xdr:grpSpPr>
        <xdr:sp macro="" textlink="">
          <xdr:nvSpPr>
            <xdr:cNvPr id="10" name="Flowchart: Delay 6">
              <a:extLst>
                <a:ext uri="{FF2B5EF4-FFF2-40B4-BE49-F238E27FC236}">
                  <a16:creationId xmlns:a16="http://schemas.microsoft.com/office/drawing/2014/main" xmlns="" id="{AB05AD65-CC40-404A-B9E8-3F76533E4352}"/>
                </a:ext>
              </a:extLst>
            </xdr:cNvPr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xmlns="" id="{85D84F3F-C3CA-4A61-BA04-48F03BE10412}"/>
                </a:ext>
              </a:extLst>
            </xdr:cNvPr>
            <xdr:cNvSpPr txBox="1"/>
          </xdr:nvSpPr>
          <xdr:spPr>
            <a:xfrm rot="5400000">
              <a:off x="9522918" y="335459"/>
              <a:ext cx="532802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126</a:t>
              </a:r>
              <a:endParaRPr lang="th-TH" sz="1100"/>
            </a:p>
          </xdr:txBody>
        </xdr:sp>
      </xdr:grpSp>
      <xdr:sp macro="" textlink="">
        <xdr:nvSpPr>
          <xdr:cNvPr id="9" name="Text Box 6">
            <a:extLst>
              <a:ext uri="{FF2B5EF4-FFF2-40B4-BE49-F238E27FC236}">
                <a16:creationId xmlns:a16="http://schemas.microsoft.com/office/drawing/2014/main" xmlns="" id="{AB26A339-4B0C-4139-96ED-B5A3743F9C3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21</xdr:col>
      <xdr:colOff>381000</xdr:colOff>
      <xdr:row>0</xdr:row>
      <xdr:rowOff>273136</xdr:rowOff>
    </xdr:from>
    <xdr:to>
      <xdr:col>22</xdr:col>
      <xdr:colOff>415863</xdr:colOff>
      <xdr:row>3</xdr:row>
      <xdr:rowOff>176341</xdr:rowOff>
    </xdr:to>
    <xdr:grpSp>
      <xdr:nvGrpSpPr>
        <xdr:cNvPr id="12" name="Group 12">
          <a:extLst>
            <a:ext uri="{FF2B5EF4-FFF2-40B4-BE49-F238E27FC236}">
              <a16:creationId xmlns:a16="http://schemas.microsoft.com/office/drawing/2014/main" xmlns="" id="{CE312362-A2BA-4DED-B26A-0D42B1AF07EF}"/>
            </a:ext>
          </a:extLst>
        </xdr:cNvPr>
        <xdr:cNvGrpSpPr/>
      </xdr:nvGrpSpPr>
      <xdr:grpSpPr>
        <a:xfrm>
          <a:off x="13413517" y="273136"/>
          <a:ext cx="646265" cy="598273"/>
          <a:chOff x="7877175" y="6896099"/>
          <a:chExt cx="400050" cy="457200"/>
        </a:xfrm>
      </xdr:grpSpPr>
      <xdr:pic>
        <xdr:nvPicPr>
          <xdr:cNvPr id="13" name="Picture 13">
            <a:extLst>
              <a:ext uri="{FF2B5EF4-FFF2-40B4-BE49-F238E27FC236}">
                <a16:creationId xmlns:a16="http://schemas.microsoft.com/office/drawing/2014/main" xmlns="" id="{74A13CCF-A913-4722-9EC1-5C41F50A1F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4" name="Chevron 14">
            <a:extLst>
              <a:ext uri="{FF2B5EF4-FFF2-40B4-BE49-F238E27FC236}">
                <a16:creationId xmlns:a16="http://schemas.microsoft.com/office/drawing/2014/main" xmlns="" id="{8CFAF0E7-AACC-4637-A2F9-AD59C31247D9}"/>
              </a:ext>
            </a:extLst>
          </xdr:cNvPr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15</xdr:col>
      <xdr:colOff>1609724</xdr:colOff>
      <xdr:row>0</xdr:row>
      <xdr:rowOff>47626</xdr:rowOff>
    </xdr:from>
    <xdr:to>
      <xdr:col>17</xdr:col>
      <xdr:colOff>122532</xdr:colOff>
      <xdr:row>2</xdr:row>
      <xdr:rowOff>83241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40769E8F-131C-4568-90F7-FE4ED41D404A}"/>
            </a:ext>
          </a:extLst>
        </xdr:cNvPr>
        <xdr:cNvSpPr txBox="1"/>
      </xdr:nvSpPr>
      <xdr:spPr>
        <a:xfrm rot="5400000">
          <a:off x="9311283" y="-119658"/>
          <a:ext cx="397565" cy="7321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128</a:t>
          </a:r>
          <a:endParaRPr lang="th-TH" sz="1100"/>
        </a:p>
      </xdr:txBody>
    </xdr:sp>
    <xdr:clientData/>
  </xdr:twoCellAnchor>
  <xdr:twoCellAnchor>
    <xdr:from>
      <xdr:col>18</xdr:col>
      <xdr:colOff>98080</xdr:colOff>
      <xdr:row>50</xdr:row>
      <xdr:rowOff>54320</xdr:rowOff>
    </xdr:from>
    <xdr:to>
      <xdr:col>18</xdr:col>
      <xdr:colOff>499784</xdr:colOff>
      <xdr:row>52</xdr:row>
      <xdr:rowOff>445875</xdr:rowOff>
    </xdr:to>
    <xdr:grpSp>
      <xdr:nvGrpSpPr>
        <xdr:cNvPr id="16" name="Group 12">
          <a:extLst>
            <a:ext uri="{FF2B5EF4-FFF2-40B4-BE49-F238E27FC236}">
              <a16:creationId xmlns:a16="http://schemas.microsoft.com/office/drawing/2014/main" xmlns="" id="{DD419E2C-579F-49A5-9F3E-4FB10C042F13}"/>
            </a:ext>
          </a:extLst>
        </xdr:cNvPr>
        <xdr:cNvGrpSpPr/>
      </xdr:nvGrpSpPr>
      <xdr:grpSpPr>
        <a:xfrm>
          <a:off x="11296391" y="11748188"/>
          <a:ext cx="401704" cy="945035"/>
          <a:chOff x="7877175" y="6896099"/>
          <a:chExt cx="400050" cy="457200"/>
        </a:xfrm>
      </xdr:grpSpPr>
      <xdr:pic>
        <xdr:nvPicPr>
          <xdr:cNvPr id="17" name="Picture 13">
            <a:extLst>
              <a:ext uri="{FF2B5EF4-FFF2-40B4-BE49-F238E27FC236}">
                <a16:creationId xmlns:a16="http://schemas.microsoft.com/office/drawing/2014/main" xmlns="" id="{F7AF6F51-139F-454A-8FD2-B2EB4463451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8" name="Chevron 14">
            <a:extLst>
              <a:ext uri="{FF2B5EF4-FFF2-40B4-BE49-F238E27FC236}">
                <a16:creationId xmlns:a16="http://schemas.microsoft.com/office/drawing/2014/main" xmlns="" id="{C6C137E2-B097-43E7-88E7-04D6B552CEA5}"/>
              </a:ext>
            </a:extLst>
          </xdr:cNvPr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18</xdr:col>
      <xdr:colOff>202236</xdr:colOff>
      <xdr:row>50</xdr:row>
      <xdr:rowOff>212181</xdr:rowOff>
    </xdr:from>
    <xdr:to>
      <xdr:col>18</xdr:col>
      <xdr:colOff>454338</xdr:colOff>
      <xdr:row>53</xdr:row>
      <xdr:rowOff>75173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86243AB7-9E0D-4391-BC0B-8137496CF9DC}"/>
            </a:ext>
          </a:extLst>
        </xdr:cNvPr>
        <xdr:cNvSpPr txBox="1"/>
      </xdr:nvSpPr>
      <xdr:spPr>
        <a:xfrm rot="5400000">
          <a:off x="10474241" y="9142576"/>
          <a:ext cx="434492" cy="2521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en-US" sz="1200" b="1"/>
            <a:t>12</a:t>
          </a:r>
          <a:r>
            <a:rPr lang="th-TH" sz="1100">
              <a:solidFill>
                <a:schemeClr val="dk1"/>
              </a:solidFill>
              <a:latin typeface="+mn-lt"/>
              <a:ea typeface="+mn-ea"/>
              <a:cs typeface="+mn-cs"/>
            </a:rPr>
            <a:t>9</a:t>
          </a:r>
        </a:p>
      </xdr:txBody>
    </xdr:sp>
    <xdr:clientData/>
  </xdr:twoCellAnchor>
  <xdr:twoCellAnchor>
    <xdr:from>
      <xdr:col>21</xdr:col>
      <xdr:colOff>381000</xdr:colOff>
      <xdr:row>0</xdr:row>
      <xdr:rowOff>273136</xdr:rowOff>
    </xdr:from>
    <xdr:to>
      <xdr:col>22</xdr:col>
      <xdr:colOff>283943</xdr:colOff>
      <xdr:row>3</xdr:row>
      <xdr:rowOff>192906</xdr:rowOff>
    </xdr:to>
    <xdr:sp macro="" textlink="">
      <xdr:nvSpPr>
        <xdr:cNvPr id="20" name="TextBox 14">
          <a:extLst>
            <a:ext uri="{FF2B5EF4-FFF2-40B4-BE49-F238E27FC236}">
              <a16:creationId xmlns:a16="http://schemas.microsoft.com/office/drawing/2014/main" xmlns="" id="{40769E8F-131C-4568-90F7-FE4ED41D404A}"/>
            </a:ext>
          </a:extLst>
        </xdr:cNvPr>
        <xdr:cNvSpPr txBox="1"/>
      </xdr:nvSpPr>
      <xdr:spPr>
        <a:xfrm rot="5400000">
          <a:off x="13363271" y="323382"/>
          <a:ext cx="614838" cy="5143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128</a:t>
          </a:r>
          <a:endParaRPr lang="th-TH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428625</xdr:colOff>
      <xdr:row>39</xdr:row>
      <xdr:rowOff>26194</xdr:rowOff>
    </xdr:from>
    <xdr:to>
      <xdr:col>19</xdr:col>
      <xdr:colOff>255270</xdr:colOff>
      <xdr:row>52</xdr:row>
      <xdr:rowOff>2858</xdr:rowOff>
    </xdr:to>
    <xdr:grpSp>
      <xdr:nvGrpSpPr>
        <xdr:cNvPr id="2" name="Group 8">
          <a:extLst>
            <a:ext uri="{FF2B5EF4-FFF2-40B4-BE49-F238E27FC236}">
              <a16:creationId xmlns:a16="http://schemas.microsoft.com/office/drawing/2014/main" xmlns="" id="{C29D6F26-3816-4338-B41E-C4AB60A5106F}"/>
            </a:ext>
          </a:extLst>
        </xdr:cNvPr>
        <xdr:cNvGrpSpPr/>
      </xdr:nvGrpSpPr>
      <xdr:grpSpPr>
        <a:xfrm>
          <a:off x="10951176" y="8978407"/>
          <a:ext cx="438047" cy="3149519"/>
          <a:chOff x="9458325" y="3590925"/>
          <a:chExt cx="409575" cy="3000375"/>
        </a:xfrm>
      </xdr:grpSpPr>
      <xdr:grpSp>
        <xdr:nvGrpSpPr>
          <xdr:cNvPr id="3" name="Group 5">
            <a:extLst>
              <a:ext uri="{FF2B5EF4-FFF2-40B4-BE49-F238E27FC236}">
                <a16:creationId xmlns:a16="http://schemas.microsoft.com/office/drawing/2014/main" xmlns="" id="{D9CA5582-EA15-435E-88F7-35170D21D731}"/>
              </a:ext>
            </a:extLst>
          </xdr:cNvPr>
          <xdr:cNvGrpSpPr/>
        </xdr:nvGrpSpPr>
        <xdr:grpSpPr>
          <a:xfrm>
            <a:off x="9514709" y="6106787"/>
            <a:ext cx="353191" cy="484513"/>
            <a:chOff x="9533759" y="5982962"/>
            <a:chExt cx="353191" cy="484513"/>
          </a:xfrm>
        </xdr:grpSpPr>
        <xdr:sp macro="" textlink="">
          <xdr:nvSpPr>
            <xdr:cNvPr id="5" name="Flowchart: Delay 6">
              <a:extLst>
                <a:ext uri="{FF2B5EF4-FFF2-40B4-BE49-F238E27FC236}">
                  <a16:creationId xmlns:a16="http://schemas.microsoft.com/office/drawing/2014/main" xmlns="" id="{6B786AC7-81C2-45C9-97FC-7AC00924FF24}"/>
                </a:ext>
              </a:extLst>
            </xdr:cNvPr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xmlns="" id="{DF926C0B-B159-407C-A46D-AC84F57D3951}"/>
                </a:ext>
              </a:extLst>
            </xdr:cNvPr>
            <xdr:cNvSpPr txBox="1"/>
          </xdr:nvSpPr>
          <xdr:spPr>
            <a:xfrm rot="5400000">
              <a:off x="9459903" y="6056818"/>
              <a:ext cx="46679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127</a:t>
              </a:r>
              <a:endParaRPr lang="th-TH" sz="1100"/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xmlns="" id="{66E90C7B-C1F7-465E-BC4D-6A904AB62625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19</xdr:col>
      <xdr:colOff>157162</xdr:colOff>
      <xdr:row>0</xdr:row>
      <xdr:rowOff>119062</xdr:rowOff>
    </xdr:from>
    <xdr:to>
      <xdr:col>20</xdr:col>
      <xdr:colOff>1470</xdr:colOff>
      <xdr:row>12</xdr:row>
      <xdr:rowOff>81438</xdr:rowOff>
    </xdr:to>
    <xdr:grpSp>
      <xdr:nvGrpSpPr>
        <xdr:cNvPr id="7" name="Group 8">
          <a:extLst>
            <a:ext uri="{FF2B5EF4-FFF2-40B4-BE49-F238E27FC236}">
              <a16:creationId xmlns:a16="http://schemas.microsoft.com/office/drawing/2014/main" xmlns="" id="{81B70317-7CA6-4615-9833-ECC4CE792CB6}"/>
            </a:ext>
          </a:extLst>
        </xdr:cNvPr>
        <xdr:cNvGrpSpPr/>
      </xdr:nvGrpSpPr>
      <xdr:grpSpPr>
        <a:xfrm>
          <a:off x="11291115" y="119062"/>
          <a:ext cx="455710" cy="2716903"/>
          <a:chOff x="9410700" y="76200"/>
          <a:chExt cx="364849" cy="2686050"/>
        </a:xfrm>
      </xdr:grpSpPr>
      <xdr:grpSp>
        <xdr:nvGrpSpPr>
          <xdr:cNvPr id="8" name="Group 5">
            <a:extLst>
              <a:ext uri="{FF2B5EF4-FFF2-40B4-BE49-F238E27FC236}">
                <a16:creationId xmlns:a16="http://schemas.microsoft.com/office/drawing/2014/main" xmlns="" id="{D5F445C8-3AD1-451B-88D7-4C353035320D}"/>
              </a:ext>
            </a:extLst>
          </xdr:cNvPr>
          <xdr:cNvGrpSpPr/>
        </xdr:nvGrpSpPr>
        <xdr:grpSpPr>
          <a:xfrm>
            <a:off x="9410700" y="76200"/>
            <a:ext cx="333375" cy="599479"/>
            <a:chOff x="9629775" y="161925"/>
            <a:chExt cx="333375" cy="599479"/>
          </a:xfrm>
        </xdr:grpSpPr>
        <xdr:sp macro="" textlink="">
          <xdr:nvSpPr>
            <xdr:cNvPr id="10" name="Flowchart: Delay 6">
              <a:extLst>
                <a:ext uri="{FF2B5EF4-FFF2-40B4-BE49-F238E27FC236}">
                  <a16:creationId xmlns:a16="http://schemas.microsoft.com/office/drawing/2014/main" xmlns="" id="{F26F9722-D250-45E1-900C-EC7FCDC8B811}"/>
                </a:ext>
              </a:extLst>
            </xdr:cNvPr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xmlns="" id="{B423DCB3-48E7-41A7-BF3C-B42BF9618B9D}"/>
                </a:ext>
              </a:extLst>
            </xdr:cNvPr>
            <xdr:cNvSpPr txBox="1"/>
          </xdr:nvSpPr>
          <xdr:spPr>
            <a:xfrm rot="5400000">
              <a:off x="9522918" y="335459"/>
              <a:ext cx="532802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126</a:t>
              </a:r>
              <a:endParaRPr lang="th-TH" sz="1100"/>
            </a:p>
          </xdr:txBody>
        </xdr:sp>
      </xdr:grpSp>
      <xdr:sp macro="" textlink="">
        <xdr:nvSpPr>
          <xdr:cNvPr id="9" name="Text Box 6">
            <a:extLst>
              <a:ext uri="{FF2B5EF4-FFF2-40B4-BE49-F238E27FC236}">
                <a16:creationId xmlns:a16="http://schemas.microsoft.com/office/drawing/2014/main" xmlns="" id="{97F997A9-43F8-4F18-9F5A-EF3E48908732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17</xdr:col>
      <xdr:colOff>110696</xdr:colOff>
      <xdr:row>0</xdr:row>
      <xdr:rowOff>28575</xdr:rowOff>
    </xdr:from>
    <xdr:to>
      <xdr:col>18</xdr:col>
      <xdr:colOff>274275</xdr:colOff>
      <xdr:row>2</xdr:row>
      <xdr:rowOff>47625</xdr:rowOff>
    </xdr:to>
    <xdr:grpSp>
      <xdr:nvGrpSpPr>
        <xdr:cNvPr id="12" name="Group 12">
          <a:extLst>
            <a:ext uri="{FF2B5EF4-FFF2-40B4-BE49-F238E27FC236}">
              <a16:creationId xmlns:a16="http://schemas.microsoft.com/office/drawing/2014/main" xmlns="" id="{0060FDD8-041E-4096-86EC-A83B0D91C0ED}"/>
            </a:ext>
          </a:extLst>
        </xdr:cNvPr>
        <xdr:cNvGrpSpPr/>
      </xdr:nvGrpSpPr>
      <xdr:grpSpPr>
        <a:xfrm>
          <a:off x="10356507" y="28575"/>
          <a:ext cx="440319" cy="598273"/>
          <a:chOff x="7877175" y="6896099"/>
          <a:chExt cx="400050" cy="457200"/>
        </a:xfrm>
      </xdr:grpSpPr>
      <xdr:pic>
        <xdr:nvPicPr>
          <xdr:cNvPr id="13" name="Picture 13">
            <a:extLst>
              <a:ext uri="{FF2B5EF4-FFF2-40B4-BE49-F238E27FC236}">
                <a16:creationId xmlns:a16="http://schemas.microsoft.com/office/drawing/2014/main" xmlns="" id="{537E7899-9D86-4B85-8B99-4E3BC3D92E3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4" name="Chevron 14">
            <a:extLst>
              <a:ext uri="{FF2B5EF4-FFF2-40B4-BE49-F238E27FC236}">
                <a16:creationId xmlns:a16="http://schemas.microsoft.com/office/drawing/2014/main" xmlns="" id="{E4956E0E-BDA6-4683-A5E8-0E1DF1A6908E}"/>
              </a:ext>
            </a:extLst>
          </xdr:cNvPr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17</xdr:col>
      <xdr:colOff>148798</xdr:colOff>
      <xdr:row>0</xdr:row>
      <xdr:rowOff>15447</xdr:rowOff>
    </xdr:from>
    <xdr:to>
      <xdr:col>18</xdr:col>
      <xdr:colOff>180457</xdr:colOff>
      <xdr:row>2</xdr:row>
      <xdr:rowOff>51062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3BEA9BF5-23B5-4CFA-94EF-22100929514D}"/>
            </a:ext>
          </a:extLst>
        </xdr:cNvPr>
        <xdr:cNvSpPr txBox="1"/>
      </xdr:nvSpPr>
      <xdr:spPr>
        <a:xfrm rot="5400000">
          <a:off x="10024245" y="-106400"/>
          <a:ext cx="397565" cy="6412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128</a:t>
          </a:r>
          <a:endParaRPr lang="th-TH" sz="1100"/>
        </a:p>
      </xdr:txBody>
    </xdr:sp>
    <xdr:clientData/>
  </xdr:twoCellAnchor>
  <xdr:twoCellAnchor>
    <xdr:from>
      <xdr:col>18</xdr:col>
      <xdr:colOff>98080</xdr:colOff>
      <xdr:row>49</xdr:row>
      <xdr:rowOff>54320</xdr:rowOff>
    </xdr:from>
    <xdr:to>
      <xdr:col>18</xdr:col>
      <xdr:colOff>499784</xdr:colOff>
      <xdr:row>51</xdr:row>
      <xdr:rowOff>445875</xdr:rowOff>
    </xdr:to>
    <xdr:grpSp>
      <xdr:nvGrpSpPr>
        <xdr:cNvPr id="16" name="Group 12">
          <a:extLst>
            <a:ext uri="{FF2B5EF4-FFF2-40B4-BE49-F238E27FC236}">
              <a16:creationId xmlns:a16="http://schemas.microsoft.com/office/drawing/2014/main" xmlns="" id="{33BE9654-99BC-4632-894A-A4C8F1C7F4FC}"/>
            </a:ext>
          </a:extLst>
        </xdr:cNvPr>
        <xdr:cNvGrpSpPr/>
      </xdr:nvGrpSpPr>
      <xdr:grpSpPr>
        <a:xfrm>
          <a:off x="10620631" y="11111043"/>
          <a:ext cx="401704" cy="945035"/>
          <a:chOff x="7877175" y="6896099"/>
          <a:chExt cx="400050" cy="457200"/>
        </a:xfrm>
      </xdr:grpSpPr>
      <xdr:pic>
        <xdr:nvPicPr>
          <xdr:cNvPr id="17" name="Picture 13">
            <a:extLst>
              <a:ext uri="{FF2B5EF4-FFF2-40B4-BE49-F238E27FC236}">
                <a16:creationId xmlns:a16="http://schemas.microsoft.com/office/drawing/2014/main" xmlns="" id="{C789808C-077C-4B30-9C4D-478EBFF213B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8" name="Chevron 14">
            <a:extLst>
              <a:ext uri="{FF2B5EF4-FFF2-40B4-BE49-F238E27FC236}">
                <a16:creationId xmlns:a16="http://schemas.microsoft.com/office/drawing/2014/main" xmlns="" id="{21512244-5425-419F-89E1-443AF7B3138F}"/>
              </a:ext>
            </a:extLst>
          </xdr:cNvPr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18</xdr:col>
      <xdr:colOff>202236</xdr:colOff>
      <xdr:row>49</xdr:row>
      <xdr:rowOff>212181</xdr:rowOff>
    </xdr:from>
    <xdr:to>
      <xdr:col>18</xdr:col>
      <xdr:colOff>454338</xdr:colOff>
      <xdr:row>52</xdr:row>
      <xdr:rowOff>75173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DB92DE66-DA8F-41F3-9C99-3D4023452F1A}"/>
            </a:ext>
          </a:extLst>
        </xdr:cNvPr>
        <xdr:cNvSpPr txBox="1"/>
      </xdr:nvSpPr>
      <xdr:spPr>
        <a:xfrm rot="5400000">
          <a:off x="10474241" y="9142576"/>
          <a:ext cx="434492" cy="2521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en-US" sz="1200" b="1"/>
            <a:t>12</a:t>
          </a:r>
          <a:r>
            <a:rPr lang="th-TH" sz="1100">
              <a:solidFill>
                <a:schemeClr val="dk1"/>
              </a:solidFill>
              <a:latin typeface="+mn-lt"/>
              <a:ea typeface="+mn-ea"/>
              <a:cs typeface="+mn-cs"/>
            </a:rPr>
            <a:t>9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production.doae.go.th/data-state-product/index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production.doae.go.th/data-state-product/index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production.doae.go.th/data-state-product/index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showGridLines="0" workbookViewId="0"/>
  </sheetViews>
  <sheetFormatPr defaultRowHeight="25.5" customHeight="1" x14ac:dyDescent="0.2"/>
  <cols>
    <col min="1" max="1" width="8.125" customWidth="1"/>
    <col min="2" max="2" width="9.375" customWidth="1"/>
    <col min="3" max="3" width="7.125" customWidth="1"/>
    <col min="4" max="4" width="9.875" customWidth="1"/>
    <col min="5" max="5" width="11.75" customWidth="1"/>
    <col min="6" max="6" width="13.625" customWidth="1"/>
    <col min="7" max="7" width="18.25" customWidth="1"/>
    <col min="8" max="8" width="13.625" customWidth="1"/>
    <col min="9" max="9" width="11.75" customWidth="1"/>
    <col min="10" max="10" width="14.5" bestFit="1" customWidth="1"/>
  </cols>
  <sheetData>
    <row r="1" spans="1:10" s="127" customFormat="1" ht="30.75" customHeight="1" x14ac:dyDescent="0.5">
      <c r="A1" s="126" t="s">
        <v>233</v>
      </c>
    </row>
    <row r="2" spans="1:10" s="127" customFormat="1" ht="24.75" customHeight="1" x14ac:dyDescent="0.5">
      <c r="A2" s="126" t="s">
        <v>232</v>
      </c>
    </row>
    <row r="3" spans="1:10" ht="21" customHeight="1" x14ac:dyDescent="0.45">
      <c r="A3" s="164" t="s">
        <v>231</v>
      </c>
      <c r="B3" s="164"/>
      <c r="C3" s="164"/>
      <c r="D3" s="164"/>
      <c r="E3" s="164"/>
      <c r="F3" s="164"/>
      <c r="G3" s="164"/>
      <c r="H3" s="164"/>
      <c r="I3" s="164"/>
      <c r="J3" s="164"/>
    </row>
    <row r="4" spans="1:10" ht="25.5" customHeight="1" x14ac:dyDescent="0.2">
      <c r="A4" s="76"/>
      <c r="B4" s="124"/>
      <c r="C4" s="165" t="s">
        <v>316</v>
      </c>
      <c r="D4" s="166"/>
      <c r="E4" s="166"/>
      <c r="F4" s="166"/>
      <c r="G4" s="166"/>
      <c r="H4" s="167"/>
      <c r="I4" s="76"/>
      <c r="J4" s="125"/>
    </row>
    <row r="5" spans="1:10" ht="25.5" customHeight="1" x14ac:dyDescent="0.2">
      <c r="A5" s="76"/>
      <c r="B5" s="124"/>
      <c r="C5" s="75"/>
      <c r="D5" s="88"/>
      <c r="E5" s="100"/>
      <c r="F5" s="88" t="s">
        <v>225</v>
      </c>
      <c r="G5" s="75" t="s">
        <v>224</v>
      </c>
      <c r="H5" s="124"/>
      <c r="I5" s="76"/>
      <c r="J5" s="123"/>
    </row>
    <row r="6" spans="1:10" ht="25.5" customHeight="1" x14ac:dyDescent="0.2">
      <c r="A6" s="75" t="s">
        <v>230</v>
      </c>
      <c r="B6" s="100" t="s">
        <v>229</v>
      </c>
      <c r="C6" s="88"/>
      <c r="D6" s="96"/>
      <c r="E6" s="96"/>
      <c r="F6" s="96" t="s">
        <v>220</v>
      </c>
      <c r="G6" s="96" t="s">
        <v>219</v>
      </c>
      <c r="H6" s="96" t="s">
        <v>223</v>
      </c>
      <c r="I6" s="74" t="s">
        <v>217</v>
      </c>
      <c r="J6" s="100"/>
    </row>
    <row r="7" spans="1:10" ht="30" customHeight="1" x14ac:dyDescent="0.2">
      <c r="A7" s="74" t="s">
        <v>228</v>
      </c>
      <c r="B7" s="88" t="s">
        <v>92</v>
      </c>
      <c r="C7" s="96" t="s">
        <v>93</v>
      </c>
      <c r="D7" s="96" t="s">
        <v>227</v>
      </c>
      <c r="E7" s="96" t="s">
        <v>226</v>
      </c>
      <c r="F7" s="88" t="s">
        <v>215</v>
      </c>
      <c r="G7" s="96" t="s">
        <v>214</v>
      </c>
      <c r="H7" s="95" t="s">
        <v>218</v>
      </c>
      <c r="I7" s="74" t="s">
        <v>213</v>
      </c>
      <c r="J7" s="100"/>
    </row>
    <row r="8" spans="1:10" ht="25.5" customHeight="1" x14ac:dyDescent="0.2">
      <c r="A8" s="74"/>
      <c r="B8" s="88" t="s">
        <v>206</v>
      </c>
      <c r="C8" s="96" t="s">
        <v>92</v>
      </c>
      <c r="D8" s="96" t="s">
        <v>222</v>
      </c>
      <c r="E8" s="96" t="s">
        <v>221</v>
      </c>
      <c r="F8" s="88" t="s">
        <v>212</v>
      </c>
      <c r="G8" s="96" t="s">
        <v>211</v>
      </c>
      <c r="H8" s="95" t="s">
        <v>0</v>
      </c>
      <c r="I8" s="74" t="s">
        <v>210</v>
      </c>
      <c r="J8" s="100" t="s">
        <v>209</v>
      </c>
    </row>
    <row r="9" spans="1:10" ht="25.5" customHeight="1" x14ac:dyDescent="0.2">
      <c r="A9" s="85"/>
      <c r="B9" s="88"/>
      <c r="C9" s="104"/>
      <c r="D9" s="104"/>
      <c r="E9" s="104" t="s">
        <v>216</v>
      </c>
      <c r="F9" s="89" t="s">
        <v>208</v>
      </c>
      <c r="G9" s="104" t="s">
        <v>207</v>
      </c>
      <c r="H9" s="96" t="s">
        <v>1</v>
      </c>
      <c r="I9" s="85" t="s">
        <v>206</v>
      </c>
      <c r="J9" s="92" t="s">
        <v>205</v>
      </c>
    </row>
    <row r="10" spans="1:10" ht="25.5" hidden="1" customHeight="1" x14ac:dyDescent="0.45">
      <c r="A10" s="78" t="s">
        <v>204</v>
      </c>
      <c r="B10" s="81">
        <v>12808728</v>
      </c>
      <c r="C10" s="97">
        <v>8379742</v>
      </c>
      <c r="D10" s="97">
        <v>4084760</v>
      </c>
      <c r="E10" s="97">
        <v>3752085</v>
      </c>
      <c r="F10" s="81">
        <v>106181</v>
      </c>
      <c r="G10" s="101">
        <v>41449</v>
      </c>
      <c r="H10" s="101">
        <v>395267</v>
      </c>
      <c r="I10" s="79">
        <v>2509857</v>
      </c>
      <c r="J10" s="97">
        <v>1919129</v>
      </c>
    </row>
    <row r="11" spans="1:10" ht="25.5" hidden="1" customHeight="1" x14ac:dyDescent="0.45">
      <c r="A11" s="78" t="s">
        <v>203</v>
      </c>
      <c r="B11" s="81">
        <v>12808728</v>
      </c>
      <c r="C11" s="97">
        <v>8382768</v>
      </c>
      <c r="D11" s="97">
        <v>4083769</v>
      </c>
      <c r="E11" s="97">
        <v>3751728</v>
      </c>
      <c r="F11" s="81">
        <v>106479</v>
      </c>
      <c r="G11" s="101">
        <v>41430</v>
      </c>
      <c r="H11" s="101">
        <v>399362</v>
      </c>
      <c r="I11" s="79">
        <v>2505435</v>
      </c>
      <c r="J11" s="97">
        <v>1920525</v>
      </c>
    </row>
    <row r="12" spans="1:10" ht="25.5" hidden="1" customHeight="1" x14ac:dyDescent="0.45">
      <c r="A12" s="78" t="s">
        <v>202</v>
      </c>
      <c r="B12" s="81">
        <v>12808728</v>
      </c>
      <c r="C12" s="97">
        <v>8385473</v>
      </c>
      <c r="D12" s="97">
        <v>4083707</v>
      </c>
      <c r="E12" s="97">
        <v>3755118</v>
      </c>
      <c r="F12" s="81">
        <v>106437</v>
      </c>
      <c r="G12" s="101">
        <v>41427</v>
      </c>
      <c r="H12" s="101">
        <v>398784</v>
      </c>
      <c r="I12" s="79">
        <v>2493763</v>
      </c>
      <c r="J12" s="97">
        <v>1929492</v>
      </c>
    </row>
    <row r="13" spans="1:10" ht="25.5" customHeight="1" x14ac:dyDescent="0.45">
      <c r="A13" s="93" t="s">
        <v>201</v>
      </c>
      <c r="B13" s="80">
        <v>12808728</v>
      </c>
      <c r="C13" s="98">
        <v>8386293</v>
      </c>
      <c r="D13" s="98">
        <v>4083956</v>
      </c>
      <c r="E13" s="98">
        <v>3755489</v>
      </c>
      <c r="F13" s="80">
        <v>106326</v>
      </c>
      <c r="G13" s="102">
        <v>41534</v>
      </c>
      <c r="H13" s="102">
        <v>398988</v>
      </c>
      <c r="I13" s="94">
        <v>2483507</v>
      </c>
      <c r="J13" s="98">
        <v>1938928</v>
      </c>
    </row>
    <row r="14" spans="1:10" ht="25.5" customHeight="1" x14ac:dyDescent="0.45">
      <c r="A14" s="78" t="s">
        <v>200</v>
      </c>
      <c r="B14" s="81">
        <v>12808728</v>
      </c>
      <c r="C14" s="97">
        <v>8384561</v>
      </c>
      <c r="D14" s="97">
        <v>4083415</v>
      </c>
      <c r="E14" s="97">
        <v>3754679</v>
      </c>
      <c r="F14" s="81">
        <v>106354</v>
      </c>
      <c r="G14" s="101">
        <v>41249</v>
      </c>
      <c r="H14" s="101">
        <v>398864</v>
      </c>
      <c r="I14" s="79">
        <v>2465662</v>
      </c>
      <c r="J14" s="97">
        <v>1958505</v>
      </c>
    </row>
    <row r="15" spans="1:10" ht="25.5" customHeight="1" x14ac:dyDescent="0.45">
      <c r="A15" s="78" t="s">
        <v>199</v>
      </c>
      <c r="B15" s="81">
        <v>12808728</v>
      </c>
      <c r="C15" s="97">
        <v>8386320</v>
      </c>
      <c r="D15" s="97">
        <v>4083512</v>
      </c>
      <c r="E15" s="97">
        <v>3755611</v>
      </c>
      <c r="F15" s="81">
        <v>106541</v>
      </c>
      <c r="G15" s="101">
        <v>41254</v>
      </c>
      <c r="H15" s="101">
        <v>399402</v>
      </c>
      <c r="I15" s="79">
        <v>2433807</v>
      </c>
      <c r="J15" s="97">
        <v>1988601</v>
      </c>
    </row>
    <row r="16" spans="1:10" ht="25.5" customHeight="1" x14ac:dyDescent="0.45">
      <c r="A16" s="78" t="s">
        <v>198</v>
      </c>
      <c r="B16" s="81">
        <v>12808728</v>
      </c>
      <c r="C16" s="97">
        <v>8384953</v>
      </c>
      <c r="D16" s="97">
        <v>4082782</v>
      </c>
      <c r="E16" s="97">
        <v>3755199</v>
      </c>
      <c r="F16" s="81">
        <v>106507</v>
      </c>
      <c r="G16" s="101">
        <v>41243</v>
      </c>
      <c r="H16" s="101">
        <v>399222</v>
      </c>
      <c r="I16" s="79">
        <v>2428448</v>
      </c>
      <c r="J16" s="97">
        <v>1995327</v>
      </c>
    </row>
    <row r="17" spans="1:10" ht="25.5" customHeight="1" x14ac:dyDescent="0.45">
      <c r="A17" s="83" t="s">
        <v>197</v>
      </c>
      <c r="B17" s="82">
        <v>12960078</v>
      </c>
      <c r="C17" s="99">
        <v>8346551</v>
      </c>
      <c r="D17" s="99">
        <v>4083089</v>
      </c>
      <c r="E17" s="99">
        <v>3755374</v>
      </c>
      <c r="F17" s="82">
        <v>106487</v>
      </c>
      <c r="G17" s="103">
        <v>41270</v>
      </c>
      <c r="H17" s="103">
        <v>360331</v>
      </c>
      <c r="I17" s="84">
        <v>2620040</v>
      </c>
      <c r="J17" s="99">
        <v>1993488</v>
      </c>
    </row>
    <row r="18" spans="1:10" s="129" customFormat="1" ht="27" customHeight="1" x14ac:dyDescent="0.5">
      <c r="A18" s="128" t="s">
        <v>196</v>
      </c>
      <c r="B18" s="77"/>
      <c r="C18" s="77"/>
      <c r="D18" s="77"/>
      <c r="E18" s="77"/>
      <c r="F18" s="128" t="s">
        <v>195</v>
      </c>
      <c r="H18" s="77"/>
      <c r="I18" s="77"/>
      <c r="J18" s="77"/>
    </row>
    <row r="19" spans="1:10" ht="25.5" customHeight="1" x14ac:dyDescent="0.2">
      <c r="A19" s="26" t="s">
        <v>100</v>
      </c>
      <c r="B19" s="29" t="s">
        <v>194</v>
      </c>
      <c r="F19" s="26" t="s">
        <v>142</v>
      </c>
      <c r="G19" s="29" t="s">
        <v>317</v>
      </c>
    </row>
  </sheetData>
  <mergeCells count="2">
    <mergeCell ref="A3:J3"/>
    <mergeCell ref="C4:H4"/>
  </mergeCells>
  <pageMargins left="0.74803149606299213" right="0.74803149606299213" top="0.98425196850393704" bottom="0.98425196850393704" header="0.51181102362204722" footer="0.51181102362204722"/>
  <pageSetup paperSize="9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showGridLines="0" workbookViewId="0">
      <selection activeCell="B1" sqref="B1"/>
    </sheetView>
  </sheetViews>
  <sheetFormatPr defaultColWidth="8" defaultRowHeight="21.75" x14ac:dyDescent="0.5"/>
  <cols>
    <col min="1" max="1" width="1.5" style="32" customWidth="1"/>
    <col min="2" max="2" width="5.375" style="32" customWidth="1"/>
    <col min="3" max="3" width="3.875" style="32" customWidth="1"/>
    <col min="4" max="4" width="7.375" style="32" customWidth="1"/>
    <col min="5" max="5" width="13.75" style="32" customWidth="1"/>
    <col min="6" max="6" width="9.375" style="32" customWidth="1"/>
    <col min="7" max="7" width="16.625" style="32" customWidth="1"/>
    <col min="8" max="8" width="6" style="32" customWidth="1"/>
    <col min="9" max="10" width="18" style="32" customWidth="1"/>
    <col min="11" max="11" width="4.5" style="32" customWidth="1"/>
    <col min="12" max="12" width="13.375" style="32" customWidth="1"/>
    <col min="13" max="13" width="2" style="38" customWidth="1"/>
    <col min="14" max="14" width="12.625" style="38" customWidth="1"/>
    <col min="15" max="16384" width="8" style="38"/>
  </cols>
  <sheetData>
    <row r="1" spans="1:15" s="33" customFormat="1" x14ac:dyDescent="0.5">
      <c r="A1" s="30"/>
      <c r="B1" s="30" t="s">
        <v>180</v>
      </c>
      <c r="C1" s="31"/>
      <c r="D1" s="30" t="s">
        <v>181</v>
      </c>
      <c r="E1" s="30"/>
      <c r="F1" s="30"/>
      <c r="G1" s="30"/>
      <c r="H1" s="30"/>
      <c r="I1" s="30"/>
      <c r="J1" s="30"/>
      <c r="K1" s="32"/>
      <c r="L1" s="32"/>
      <c r="O1" s="34" t="s">
        <v>182</v>
      </c>
    </row>
    <row r="2" spans="1:15" s="37" customFormat="1" x14ac:dyDescent="0.5">
      <c r="A2" s="35"/>
      <c r="B2" s="30" t="s">
        <v>183</v>
      </c>
      <c r="C2" s="31"/>
      <c r="D2" s="30" t="s">
        <v>184</v>
      </c>
      <c r="E2" s="35"/>
      <c r="F2" s="35"/>
      <c r="G2" s="35"/>
      <c r="H2" s="35"/>
      <c r="I2" s="35"/>
      <c r="J2" s="35"/>
      <c r="K2" s="36"/>
      <c r="L2" s="36"/>
    </row>
    <row r="3" spans="1:15" ht="6" customHeight="1" x14ac:dyDescent="0.5">
      <c r="A3" s="38"/>
      <c r="B3" s="38"/>
      <c r="C3" s="38"/>
      <c r="D3" s="38"/>
      <c r="E3" s="38"/>
      <c r="F3" s="38"/>
      <c r="G3" s="38"/>
      <c r="H3" s="38"/>
      <c r="I3" s="38"/>
      <c r="J3" s="38"/>
    </row>
    <row r="4" spans="1:15" s="40" customFormat="1" ht="24" customHeight="1" x14ac:dyDescent="0.45">
      <c r="A4" s="153" t="s">
        <v>185</v>
      </c>
      <c r="B4" s="153"/>
      <c r="C4" s="153"/>
      <c r="D4" s="154"/>
      <c r="E4" s="157" t="s">
        <v>139</v>
      </c>
      <c r="F4" s="158"/>
      <c r="G4" s="157" t="s">
        <v>138</v>
      </c>
      <c r="H4" s="159"/>
      <c r="I4" s="39" t="s">
        <v>137</v>
      </c>
      <c r="J4" s="71" t="s">
        <v>136</v>
      </c>
      <c r="K4" s="160" t="s">
        <v>186</v>
      </c>
      <c r="L4" s="153"/>
    </row>
    <row r="5" spans="1:15" s="40" customFormat="1" ht="24" customHeight="1" x14ac:dyDescent="0.45">
      <c r="A5" s="155"/>
      <c r="B5" s="155"/>
      <c r="C5" s="155"/>
      <c r="D5" s="156"/>
      <c r="E5" s="162" t="s">
        <v>187</v>
      </c>
      <c r="F5" s="163"/>
      <c r="G5" s="162" t="s">
        <v>188</v>
      </c>
      <c r="H5" s="163"/>
      <c r="I5" s="41" t="s">
        <v>132</v>
      </c>
      <c r="J5" s="72" t="s">
        <v>131</v>
      </c>
      <c r="K5" s="161"/>
      <c r="L5" s="155"/>
    </row>
    <row r="6" spans="1:15" s="47" customFormat="1" ht="14.25" customHeight="1" x14ac:dyDescent="0.45">
      <c r="A6" s="42"/>
      <c r="B6" s="42"/>
      <c r="C6" s="42"/>
      <c r="D6" s="42"/>
      <c r="E6" s="43"/>
      <c r="F6" s="44"/>
      <c r="G6" s="43"/>
      <c r="H6" s="44"/>
      <c r="I6" s="45"/>
      <c r="J6" s="44"/>
      <c r="K6" s="46"/>
      <c r="L6" s="42"/>
    </row>
    <row r="7" spans="1:15" s="56" customFormat="1" x14ac:dyDescent="0.5">
      <c r="A7" s="48" t="s">
        <v>324</v>
      </c>
      <c r="B7" s="48"/>
      <c r="C7" s="49"/>
      <c r="D7" s="49"/>
      <c r="E7" s="50">
        <v>2669047.11</v>
      </c>
      <c r="F7" s="51"/>
      <c r="G7" s="52">
        <v>1420843.51</v>
      </c>
      <c r="H7" s="51"/>
      <c r="I7" s="53">
        <v>5212147.0005999999</v>
      </c>
      <c r="J7" s="51">
        <v>3668.35</v>
      </c>
      <c r="K7" s="54"/>
      <c r="L7" s="55" t="s">
        <v>189</v>
      </c>
    </row>
    <row r="8" spans="1:15" s="56" customFormat="1" x14ac:dyDescent="0.5">
      <c r="A8" s="49" t="s">
        <v>191</v>
      </c>
      <c r="B8" s="49"/>
      <c r="C8" s="49"/>
      <c r="D8" s="49"/>
      <c r="E8" s="50">
        <v>601063.41</v>
      </c>
      <c r="F8" s="51"/>
      <c r="G8" s="50">
        <v>355285.08</v>
      </c>
      <c r="H8" s="51"/>
      <c r="I8" s="59">
        <v>3877923.858</v>
      </c>
      <c r="J8" s="51">
        <v>10914.96</v>
      </c>
      <c r="K8" s="54"/>
      <c r="L8" s="58" t="s">
        <v>327</v>
      </c>
    </row>
    <row r="9" spans="1:15" s="56" customFormat="1" x14ac:dyDescent="0.5">
      <c r="A9" s="49" t="s">
        <v>325</v>
      </c>
      <c r="B9" s="49"/>
      <c r="C9" s="49"/>
      <c r="D9" s="49"/>
      <c r="E9" s="50">
        <v>625174.72</v>
      </c>
      <c r="F9" s="51"/>
      <c r="G9" s="52">
        <v>613862.22</v>
      </c>
      <c r="H9" s="51"/>
      <c r="I9" s="57">
        <v>518839.15649999998</v>
      </c>
      <c r="J9" s="51">
        <v>845.2</v>
      </c>
      <c r="K9" s="54"/>
      <c r="L9" s="58" t="s">
        <v>190</v>
      </c>
    </row>
    <row r="10" spans="1:15" ht="4.5" customHeight="1" x14ac:dyDescent="0.5">
      <c r="A10" s="61"/>
      <c r="B10" s="61"/>
      <c r="C10" s="61"/>
      <c r="D10" s="61"/>
      <c r="E10" s="62"/>
      <c r="F10" s="63"/>
      <c r="G10" s="62"/>
      <c r="H10" s="63"/>
      <c r="I10" s="64"/>
      <c r="J10" s="63"/>
      <c r="K10" s="62"/>
      <c r="L10" s="61"/>
    </row>
    <row r="11" spans="1:15" ht="14.25" customHeight="1" x14ac:dyDescent="0.5"/>
    <row r="12" spans="1:15" s="60" customFormat="1" ht="18.75" customHeight="1" x14ac:dyDescent="0.45">
      <c r="A12" s="36"/>
      <c r="B12" s="36" t="s">
        <v>192</v>
      </c>
      <c r="C12" s="36"/>
      <c r="D12" s="36"/>
      <c r="E12" s="36"/>
      <c r="F12" s="36"/>
      <c r="H12" s="36" t="s">
        <v>193</v>
      </c>
      <c r="J12" s="36"/>
      <c r="K12" s="36"/>
      <c r="L12" s="36"/>
    </row>
    <row r="13" spans="1:15" x14ac:dyDescent="0.5">
      <c r="M13" s="32"/>
      <c r="N13" s="32"/>
      <c r="O13" s="32"/>
    </row>
  </sheetData>
  <mergeCells count="6">
    <mergeCell ref="A4:D5"/>
    <mergeCell ref="E4:F4"/>
    <mergeCell ref="G4:H4"/>
    <mergeCell ref="K4:L5"/>
    <mergeCell ref="E5:F5"/>
    <mergeCell ref="G5:H5"/>
  </mergeCells>
  <hyperlinks>
    <hyperlink ref="O1" r:id="rId1"/>
  </hyperlinks>
  <pageMargins left="0.94488188976377963" right="0" top="0.78740157480314965" bottom="0" header="0.51181102362204722" footer="0.19685039370078741"/>
  <pageSetup paperSize="9" orientation="landscape" r:id="rId2"/>
  <headerFooter alignWithMargins="0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showGridLines="0" workbookViewId="0">
      <selection activeCell="B1" sqref="B1"/>
    </sheetView>
  </sheetViews>
  <sheetFormatPr defaultColWidth="8" defaultRowHeight="21.75" x14ac:dyDescent="0.5"/>
  <cols>
    <col min="1" max="1" width="1.5" style="32" customWidth="1"/>
    <col min="2" max="2" width="5.375" style="32" customWidth="1"/>
    <col min="3" max="3" width="3.875" style="32" customWidth="1"/>
    <col min="4" max="4" width="7.375" style="32" customWidth="1"/>
    <col min="5" max="5" width="18" style="32" customWidth="1"/>
    <col min="6" max="6" width="4.25" style="32" customWidth="1"/>
    <col min="7" max="7" width="16.625" style="32" customWidth="1"/>
    <col min="8" max="8" width="0.375" style="32" customWidth="1"/>
    <col min="9" max="10" width="18" style="32" customWidth="1"/>
    <col min="11" max="11" width="6.75" style="32" customWidth="1"/>
    <col min="12" max="12" width="16.5" style="32" customWidth="1"/>
    <col min="13" max="13" width="2" style="38" customWidth="1"/>
    <col min="14" max="14" width="12.625" style="38" customWidth="1"/>
    <col min="15" max="16384" width="8" style="38"/>
  </cols>
  <sheetData>
    <row r="1" spans="1:15" s="33" customFormat="1" x14ac:dyDescent="0.5">
      <c r="A1" s="30"/>
      <c r="B1" s="30" t="s">
        <v>180</v>
      </c>
      <c r="C1" s="31"/>
      <c r="D1" s="30" t="s">
        <v>263</v>
      </c>
      <c r="E1" s="30"/>
      <c r="F1" s="30"/>
      <c r="G1" s="30"/>
      <c r="H1" s="30"/>
      <c r="I1" s="30"/>
      <c r="J1" s="30"/>
      <c r="K1" s="32"/>
      <c r="L1" s="32"/>
      <c r="O1" s="34" t="s">
        <v>182</v>
      </c>
    </row>
    <row r="2" spans="1:15" s="37" customFormat="1" x14ac:dyDescent="0.5">
      <c r="A2" s="35"/>
      <c r="B2" s="30" t="s">
        <v>183</v>
      </c>
      <c r="C2" s="31"/>
      <c r="D2" s="30" t="s">
        <v>262</v>
      </c>
      <c r="E2" s="35"/>
      <c r="F2" s="35"/>
      <c r="G2" s="35"/>
      <c r="H2" s="35"/>
      <c r="I2" s="35"/>
      <c r="J2" s="35"/>
      <c r="K2" s="36"/>
      <c r="L2" s="36"/>
    </row>
    <row r="3" spans="1:15" ht="6" customHeight="1" x14ac:dyDescent="0.5">
      <c r="A3" s="38"/>
      <c r="B3" s="38"/>
      <c r="C3" s="38"/>
      <c r="D3" s="38"/>
      <c r="E3" s="38"/>
      <c r="F3" s="38"/>
      <c r="G3" s="38"/>
      <c r="H3" s="38"/>
      <c r="I3" s="38"/>
      <c r="J3" s="38"/>
    </row>
    <row r="4" spans="1:15" s="40" customFormat="1" ht="24" customHeight="1" x14ac:dyDescent="0.45">
      <c r="A4" s="153" t="s">
        <v>185</v>
      </c>
      <c r="B4" s="153"/>
      <c r="C4" s="153"/>
      <c r="D4" s="154"/>
      <c r="E4" s="157" t="s">
        <v>139</v>
      </c>
      <c r="F4" s="158"/>
      <c r="G4" s="157" t="s">
        <v>138</v>
      </c>
      <c r="H4" s="159"/>
      <c r="I4" s="39" t="s">
        <v>137</v>
      </c>
      <c r="J4" s="71" t="s">
        <v>136</v>
      </c>
      <c r="K4" s="160" t="s">
        <v>186</v>
      </c>
      <c r="L4" s="153"/>
    </row>
    <row r="5" spans="1:15" s="40" customFormat="1" ht="24" customHeight="1" x14ac:dyDescent="0.45">
      <c r="A5" s="155"/>
      <c r="B5" s="155"/>
      <c r="C5" s="155"/>
      <c r="D5" s="156"/>
      <c r="E5" s="162" t="s">
        <v>187</v>
      </c>
      <c r="F5" s="163"/>
      <c r="G5" s="162" t="s">
        <v>188</v>
      </c>
      <c r="H5" s="163"/>
      <c r="I5" s="41" t="s">
        <v>132</v>
      </c>
      <c r="J5" s="72" t="s">
        <v>131</v>
      </c>
      <c r="K5" s="161"/>
      <c r="L5" s="155"/>
    </row>
    <row r="6" spans="1:15" s="47" customFormat="1" ht="14.25" customHeight="1" x14ac:dyDescent="0.45">
      <c r="A6" s="42"/>
      <c r="B6" s="42"/>
      <c r="C6" s="42"/>
      <c r="D6" s="42"/>
      <c r="E6" s="43"/>
      <c r="F6" s="44"/>
      <c r="G6" s="43"/>
      <c r="H6" s="44"/>
      <c r="I6" s="45"/>
      <c r="J6" s="44"/>
      <c r="K6" s="46"/>
      <c r="L6" s="42"/>
    </row>
    <row r="7" spans="1:15" s="56" customFormat="1" x14ac:dyDescent="0.5">
      <c r="A7" s="48" t="s">
        <v>324</v>
      </c>
      <c r="B7" s="48"/>
      <c r="C7" s="49"/>
      <c r="D7" s="49"/>
      <c r="E7" s="50">
        <v>2473816</v>
      </c>
      <c r="F7" s="51"/>
      <c r="G7" s="52">
        <v>1174543</v>
      </c>
      <c r="H7" s="51"/>
      <c r="I7" s="53">
        <v>4323044</v>
      </c>
      <c r="J7" s="51">
        <v>3680</v>
      </c>
      <c r="K7" s="54"/>
      <c r="L7" s="55" t="s">
        <v>189</v>
      </c>
    </row>
    <row r="8" spans="1:15" s="56" customFormat="1" x14ac:dyDescent="0.5">
      <c r="A8" s="49" t="s">
        <v>191</v>
      </c>
      <c r="B8" s="49"/>
      <c r="C8" s="49"/>
      <c r="D8" s="49"/>
      <c r="E8" s="50">
        <v>666594</v>
      </c>
      <c r="F8" s="51"/>
      <c r="G8" s="50">
        <v>408803</v>
      </c>
      <c r="H8" s="51"/>
      <c r="I8" s="59">
        <v>3560926</v>
      </c>
      <c r="J8" s="51">
        <v>8710</v>
      </c>
      <c r="K8" s="54"/>
      <c r="L8" s="58" t="s">
        <v>327</v>
      </c>
    </row>
    <row r="9" spans="1:15" s="56" customFormat="1" x14ac:dyDescent="0.5">
      <c r="A9" s="49" t="s">
        <v>325</v>
      </c>
      <c r="B9" s="49"/>
      <c r="C9" s="49"/>
      <c r="D9" s="49"/>
      <c r="E9" s="50">
        <v>627547</v>
      </c>
      <c r="F9" s="51"/>
      <c r="G9" s="52">
        <v>617461</v>
      </c>
      <c r="H9" s="51"/>
      <c r="I9" s="57">
        <v>770171</v>
      </c>
      <c r="J9" s="51">
        <v>1247.32</v>
      </c>
      <c r="K9" s="54"/>
      <c r="L9" s="58" t="s">
        <v>190</v>
      </c>
    </row>
    <row r="10" spans="1:15" x14ac:dyDescent="0.5">
      <c r="A10" s="61"/>
      <c r="B10" s="61"/>
      <c r="C10" s="61"/>
      <c r="D10" s="61"/>
      <c r="E10" s="62"/>
      <c r="F10" s="63"/>
      <c r="G10" s="62"/>
      <c r="H10" s="63"/>
      <c r="I10" s="64"/>
      <c r="J10" s="63"/>
      <c r="K10" s="62"/>
      <c r="L10" s="61"/>
    </row>
    <row r="11" spans="1:15" ht="3" customHeight="1" x14ac:dyDescent="0.5"/>
    <row r="12" spans="1:15" s="60" customFormat="1" ht="18.75" customHeight="1" x14ac:dyDescent="0.45">
      <c r="A12" s="36"/>
      <c r="B12" s="36" t="s">
        <v>192</v>
      </c>
      <c r="C12" s="36"/>
      <c r="D12" s="36"/>
      <c r="E12" s="36"/>
      <c r="F12" s="36"/>
      <c r="H12" s="36" t="s">
        <v>193</v>
      </c>
      <c r="J12" s="36"/>
      <c r="K12" s="36"/>
      <c r="L12" s="36"/>
    </row>
  </sheetData>
  <mergeCells count="6">
    <mergeCell ref="A4:D5"/>
    <mergeCell ref="E4:F4"/>
    <mergeCell ref="G4:H4"/>
    <mergeCell ref="K4:L5"/>
    <mergeCell ref="E5:F5"/>
    <mergeCell ref="G5:H5"/>
  </mergeCells>
  <hyperlinks>
    <hyperlink ref="O1" r:id="rId1"/>
  </hyperlinks>
  <pageMargins left="0.94488188976377963" right="0" top="0.78740157480314965" bottom="0" header="0.51181102362204722" footer="0.19685039370078741"/>
  <pageSetup paperSize="9" orientation="landscape" r:id="rId2"/>
  <headerFooter alignWithMargins="0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showGridLines="0" workbookViewId="0">
      <selection activeCell="B1" sqref="B1"/>
    </sheetView>
  </sheetViews>
  <sheetFormatPr defaultColWidth="8" defaultRowHeight="21.75" x14ac:dyDescent="0.5"/>
  <cols>
    <col min="1" max="1" width="1.5" style="32" customWidth="1"/>
    <col min="2" max="2" width="5.375" style="32" customWidth="1"/>
    <col min="3" max="3" width="3.875" style="32" customWidth="1"/>
    <col min="4" max="4" width="7.375" style="32" customWidth="1"/>
    <col min="5" max="5" width="18" style="32" customWidth="1"/>
    <col min="6" max="6" width="0.5" style="32" customWidth="1"/>
    <col min="7" max="7" width="16.625" style="32" customWidth="1"/>
    <col min="8" max="8" width="0.375" style="32" customWidth="1"/>
    <col min="9" max="10" width="18" style="32" customWidth="1"/>
    <col min="11" max="11" width="3.25" style="32" customWidth="1"/>
    <col min="12" max="12" width="16.5" style="32" customWidth="1"/>
    <col min="13" max="13" width="2" style="38" customWidth="1"/>
    <col min="14" max="14" width="12.625" style="38" customWidth="1"/>
    <col min="15" max="16384" width="8" style="38"/>
  </cols>
  <sheetData>
    <row r="1" spans="1:15" s="33" customFormat="1" x14ac:dyDescent="0.5">
      <c r="A1" s="30"/>
      <c r="B1" s="30" t="s">
        <v>180</v>
      </c>
      <c r="C1" s="31"/>
      <c r="D1" s="30" t="s">
        <v>265</v>
      </c>
      <c r="E1" s="30"/>
      <c r="F1" s="30"/>
      <c r="G1" s="30"/>
      <c r="H1" s="30"/>
      <c r="I1" s="30"/>
      <c r="J1" s="30"/>
      <c r="K1" s="32"/>
      <c r="L1" s="32"/>
      <c r="O1" s="34" t="s">
        <v>182</v>
      </c>
    </row>
    <row r="2" spans="1:15" s="37" customFormat="1" x14ac:dyDescent="0.5">
      <c r="A2" s="35"/>
      <c r="B2" s="30" t="s">
        <v>183</v>
      </c>
      <c r="C2" s="31"/>
      <c r="D2" s="30" t="s">
        <v>264</v>
      </c>
      <c r="E2" s="35"/>
      <c r="F2" s="35"/>
      <c r="G2" s="35"/>
      <c r="H2" s="35"/>
      <c r="I2" s="35"/>
      <c r="J2" s="35"/>
      <c r="K2" s="36"/>
      <c r="L2" s="36"/>
    </row>
    <row r="3" spans="1:15" ht="6" customHeight="1" x14ac:dyDescent="0.5">
      <c r="A3" s="38"/>
      <c r="B3" s="38"/>
      <c r="C3" s="38"/>
      <c r="D3" s="38"/>
      <c r="E3" s="38"/>
      <c r="F3" s="38"/>
      <c r="G3" s="38"/>
      <c r="H3" s="38"/>
      <c r="I3" s="38"/>
      <c r="J3" s="38"/>
    </row>
    <row r="4" spans="1:15" s="40" customFormat="1" ht="24" customHeight="1" x14ac:dyDescent="0.45">
      <c r="A4" s="153" t="s">
        <v>185</v>
      </c>
      <c r="B4" s="153"/>
      <c r="C4" s="153"/>
      <c r="D4" s="154"/>
      <c r="E4" s="157" t="s">
        <v>139</v>
      </c>
      <c r="F4" s="158"/>
      <c r="G4" s="157" t="s">
        <v>138</v>
      </c>
      <c r="H4" s="159"/>
      <c r="I4" s="39" t="s">
        <v>137</v>
      </c>
      <c r="J4" s="71" t="s">
        <v>136</v>
      </c>
      <c r="K4" s="160" t="s">
        <v>186</v>
      </c>
      <c r="L4" s="153"/>
    </row>
    <row r="5" spans="1:15" s="40" customFormat="1" ht="24" customHeight="1" x14ac:dyDescent="0.45">
      <c r="A5" s="155"/>
      <c r="B5" s="155"/>
      <c r="C5" s="155"/>
      <c r="D5" s="156"/>
      <c r="E5" s="162" t="s">
        <v>187</v>
      </c>
      <c r="F5" s="163"/>
      <c r="G5" s="162" t="s">
        <v>188</v>
      </c>
      <c r="H5" s="163"/>
      <c r="I5" s="41" t="s">
        <v>132</v>
      </c>
      <c r="J5" s="72" t="s">
        <v>131</v>
      </c>
      <c r="K5" s="161"/>
      <c r="L5" s="155"/>
    </row>
    <row r="6" spans="1:15" s="47" customFormat="1" ht="14.25" customHeight="1" x14ac:dyDescent="0.45">
      <c r="A6" s="42"/>
      <c r="B6" s="42"/>
      <c r="C6" s="42"/>
      <c r="D6" s="42"/>
      <c r="E6" s="43"/>
      <c r="F6" s="44"/>
      <c r="G6" s="43"/>
      <c r="H6" s="44"/>
      <c r="I6" s="45"/>
      <c r="J6" s="44"/>
      <c r="K6" s="46"/>
      <c r="L6" s="42"/>
    </row>
    <row r="7" spans="1:15" s="56" customFormat="1" x14ac:dyDescent="0.5">
      <c r="A7" s="48" t="s">
        <v>324</v>
      </c>
      <c r="B7" s="48"/>
      <c r="C7" s="49"/>
      <c r="D7" s="49"/>
      <c r="E7" s="50">
        <v>2923211</v>
      </c>
      <c r="F7" s="51"/>
      <c r="G7" s="52">
        <v>1242512</v>
      </c>
      <c r="H7" s="51"/>
      <c r="I7" s="53">
        <v>4393358</v>
      </c>
      <c r="J7" s="51">
        <v>3535</v>
      </c>
      <c r="K7" s="54"/>
      <c r="L7" s="55" t="s">
        <v>189</v>
      </c>
    </row>
    <row r="8" spans="1:15" s="56" customFormat="1" x14ac:dyDescent="0.5">
      <c r="A8" s="49" t="s">
        <v>191</v>
      </c>
      <c r="B8" s="49"/>
      <c r="C8" s="49"/>
      <c r="D8" s="49"/>
      <c r="E8" s="50">
        <v>842704</v>
      </c>
      <c r="F8" s="51"/>
      <c r="G8" s="50">
        <v>572824</v>
      </c>
      <c r="H8" s="51"/>
      <c r="I8" s="59">
        <v>5136396</v>
      </c>
      <c r="J8" s="51">
        <v>8966</v>
      </c>
      <c r="K8" s="54"/>
      <c r="L8" s="58" t="s">
        <v>327</v>
      </c>
    </row>
    <row r="9" spans="1:15" s="56" customFormat="1" x14ac:dyDescent="0.5">
      <c r="A9" s="49" t="s">
        <v>325</v>
      </c>
      <c r="B9" s="49"/>
      <c r="C9" s="49"/>
      <c r="D9" s="49"/>
      <c r="E9" s="50">
        <v>528099</v>
      </c>
      <c r="F9" s="51"/>
      <c r="G9" s="52">
        <v>231271</v>
      </c>
      <c r="H9" s="51"/>
      <c r="I9" s="57">
        <v>177888</v>
      </c>
      <c r="J9" s="51">
        <v>769</v>
      </c>
      <c r="K9" s="54"/>
      <c r="L9" s="58" t="s">
        <v>326</v>
      </c>
    </row>
    <row r="10" spans="1:15" x14ac:dyDescent="0.5">
      <c r="A10" s="61"/>
      <c r="B10" s="61"/>
      <c r="C10" s="61"/>
      <c r="D10" s="61"/>
      <c r="E10" s="62"/>
      <c r="F10" s="63"/>
      <c r="G10" s="62"/>
      <c r="H10" s="63"/>
      <c r="I10" s="64"/>
      <c r="J10" s="63"/>
      <c r="K10" s="62"/>
      <c r="L10" s="61"/>
    </row>
    <row r="11" spans="1:15" ht="3" customHeight="1" x14ac:dyDescent="0.5"/>
    <row r="12" spans="1:15" s="60" customFormat="1" ht="18.75" customHeight="1" x14ac:dyDescent="0.45">
      <c r="A12" s="36"/>
      <c r="B12" s="36" t="s">
        <v>192</v>
      </c>
      <c r="C12" s="36"/>
      <c r="D12" s="36"/>
      <c r="E12" s="36"/>
      <c r="F12" s="36"/>
      <c r="H12" s="36" t="s">
        <v>193</v>
      </c>
      <c r="J12" s="36"/>
      <c r="K12" s="36"/>
      <c r="L12" s="36"/>
    </row>
  </sheetData>
  <mergeCells count="6">
    <mergeCell ref="A4:D5"/>
    <mergeCell ref="E4:F4"/>
    <mergeCell ref="G4:H4"/>
    <mergeCell ref="K4:L5"/>
    <mergeCell ref="E5:F5"/>
    <mergeCell ref="G5:H5"/>
  </mergeCells>
  <hyperlinks>
    <hyperlink ref="O1" r:id="rId1"/>
  </hyperlinks>
  <pageMargins left="0.94488188976377963" right="0" top="0.78740157480314965" bottom="0" header="0.51181102362204722" footer="0.19685039370078741"/>
  <pageSetup paperSize="9" orientation="landscape" r:id="rId2"/>
  <headerFooter alignWithMargins="0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workbookViewId="0"/>
  </sheetViews>
  <sheetFormatPr defaultRowHeight="14.25" x14ac:dyDescent="0.2"/>
  <cols>
    <col min="1" max="1" width="18" customWidth="1"/>
    <col min="2" max="2" width="23.125" bestFit="1" customWidth="1"/>
    <col min="3" max="3" width="16" bestFit="1" customWidth="1"/>
    <col min="4" max="4" width="23.75" customWidth="1"/>
    <col min="5" max="5" width="16.5" bestFit="1" customWidth="1"/>
    <col min="6" max="6" width="19.5" bestFit="1" customWidth="1"/>
  </cols>
  <sheetData>
    <row r="1" spans="1:6" ht="21.75" x14ac:dyDescent="0.5">
      <c r="A1" s="28" t="s">
        <v>332</v>
      </c>
    </row>
    <row r="2" spans="1:6" ht="21.75" x14ac:dyDescent="0.5">
      <c r="A2" s="28" t="s">
        <v>333</v>
      </c>
    </row>
    <row r="4" spans="1:6" ht="21.75" x14ac:dyDescent="0.2">
      <c r="A4" s="169" t="s">
        <v>144</v>
      </c>
      <c r="B4" s="91" t="s">
        <v>139</v>
      </c>
      <c r="C4" s="91" t="s">
        <v>138</v>
      </c>
      <c r="D4" s="90" t="s">
        <v>137</v>
      </c>
      <c r="E4" s="183" t="s">
        <v>136</v>
      </c>
      <c r="F4" s="169" t="s">
        <v>145</v>
      </c>
    </row>
    <row r="5" spans="1:6" ht="21.75" x14ac:dyDescent="0.2">
      <c r="A5" s="178"/>
      <c r="B5" s="92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08" t="s">
        <v>146</v>
      </c>
      <c r="B6" s="210">
        <v>157.5</v>
      </c>
      <c r="C6" s="210">
        <v>87.5</v>
      </c>
      <c r="D6" s="215">
        <v>89.813000000000002</v>
      </c>
      <c r="E6" s="219">
        <v>1026.43</v>
      </c>
      <c r="F6" s="209" t="s">
        <v>147</v>
      </c>
    </row>
    <row r="7" spans="1:6" ht="19.5" x14ac:dyDescent="0.45">
      <c r="A7" s="208" t="s">
        <v>148</v>
      </c>
      <c r="B7" s="210">
        <v>123</v>
      </c>
      <c r="C7" s="210">
        <v>314</v>
      </c>
      <c r="D7" s="215">
        <v>1127.296</v>
      </c>
      <c r="E7" s="220">
        <v>3590.11</v>
      </c>
      <c r="F7" s="209" t="s">
        <v>149</v>
      </c>
    </row>
    <row r="8" spans="1:6" ht="19.5" x14ac:dyDescent="0.45">
      <c r="A8" s="208" t="s">
        <v>150</v>
      </c>
      <c r="B8" s="210">
        <v>642</v>
      </c>
      <c r="C8" s="210">
        <v>518.75</v>
      </c>
      <c r="D8" s="215">
        <v>766.96900000000005</v>
      </c>
      <c r="E8" s="219">
        <v>1478.49</v>
      </c>
      <c r="F8" s="209" t="s">
        <v>151</v>
      </c>
    </row>
    <row r="9" spans="1:6" ht="19.5" x14ac:dyDescent="0.45">
      <c r="A9" s="208" t="s">
        <v>152</v>
      </c>
      <c r="B9" s="210">
        <v>1750.25</v>
      </c>
      <c r="C9" s="210">
        <v>1296.25</v>
      </c>
      <c r="D9" s="215">
        <v>3551.386</v>
      </c>
      <c r="E9" s="219">
        <v>2739.74</v>
      </c>
      <c r="F9" s="209" t="s">
        <v>153</v>
      </c>
    </row>
    <row r="10" spans="1:6" ht="19.5" x14ac:dyDescent="0.45">
      <c r="A10" s="208" t="s">
        <v>154</v>
      </c>
      <c r="B10" s="210">
        <v>812.25</v>
      </c>
      <c r="C10" s="210">
        <v>591.5</v>
      </c>
      <c r="D10" s="215">
        <v>990.31399999999996</v>
      </c>
      <c r="E10" s="219">
        <v>1674.24</v>
      </c>
      <c r="F10" s="209" t="s">
        <v>155</v>
      </c>
    </row>
    <row r="11" spans="1:6" ht="19.5" x14ac:dyDescent="0.45">
      <c r="A11" s="208" t="s">
        <v>156</v>
      </c>
      <c r="B11" s="210">
        <v>1146.3</v>
      </c>
      <c r="C11" s="210">
        <v>906.55</v>
      </c>
      <c r="D11" s="215">
        <v>493.89499999999998</v>
      </c>
      <c r="E11" s="219">
        <v>544.80999999999995</v>
      </c>
      <c r="F11" s="209" t="s">
        <v>157</v>
      </c>
    </row>
    <row r="12" spans="1:6" ht="19.5" x14ac:dyDescent="0.45">
      <c r="A12" s="208" t="s">
        <v>158</v>
      </c>
      <c r="B12" s="210">
        <v>752</v>
      </c>
      <c r="C12" s="210">
        <v>486</v>
      </c>
      <c r="D12" s="215">
        <v>311.2</v>
      </c>
      <c r="E12" s="219">
        <v>640.33000000000004</v>
      </c>
      <c r="F12" s="209" t="s">
        <v>159</v>
      </c>
    </row>
    <row r="13" spans="1:6" ht="19.5" x14ac:dyDescent="0.45">
      <c r="A13" s="208" t="s">
        <v>160</v>
      </c>
      <c r="B13" s="210">
        <v>3811.5</v>
      </c>
      <c r="C13" s="210">
        <v>3449</v>
      </c>
      <c r="D13" s="215">
        <v>2322.8000000000002</v>
      </c>
      <c r="E13" s="219">
        <v>673.47</v>
      </c>
      <c r="F13" s="209" t="s">
        <v>161</v>
      </c>
    </row>
    <row r="14" spans="1:6" ht="19.5" x14ac:dyDescent="0.45">
      <c r="A14" s="208" t="s">
        <v>162</v>
      </c>
      <c r="B14" s="210">
        <v>1271.75</v>
      </c>
      <c r="C14" s="210">
        <v>947.75</v>
      </c>
      <c r="D14" s="215">
        <v>480.79399999999998</v>
      </c>
      <c r="E14" s="219">
        <v>507.3</v>
      </c>
      <c r="F14" s="209" t="s">
        <v>163</v>
      </c>
    </row>
    <row r="15" spans="1:6" ht="19.5" x14ac:dyDescent="0.45">
      <c r="A15" s="208" t="s">
        <v>164</v>
      </c>
      <c r="B15" s="210">
        <v>45.5</v>
      </c>
      <c r="C15" s="210">
        <v>6</v>
      </c>
      <c r="D15" s="215">
        <v>24010.2</v>
      </c>
      <c r="E15" s="219">
        <v>4001700</v>
      </c>
      <c r="F15" s="209" t="s">
        <v>165</v>
      </c>
    </row>
    <row r="16" spans="1:6" ht="19.5" x14ac:dyDescent="0.45">
      <c r="A16" s="208" t="s">
        <v>166</v>
      </c>
      <c r="B16" s="210">
        <v>425.25</v>
      </c>
      <c r="C16" s="210">
        <v>341.75</v>
      </c>
      <c r="D16" s="215">
        <v>881.09799999999996</v>
      </c>
      <c r="E16" s="220">
        <v>2578.19</v>
      </c>
      <c r="F16" s="209" t="s">
        <v>167</v>
      </c>
    </row>
    <row r="17" spans="1:6" ht="19.5" x14ac:dyDescent="0.45">
      <c r="A17" s="208" t="s">
        <v>168</v>
      </c>
      <c r="B17" s="210">
        <v>321.8</v>
      </c>
      <c r="C17" s="210">
        <v>292.5</v>
      </c>
      <c r="D17" s="215">
        <v>965.73299999999995</v>
      </c>
      <c r="E17" s="219">
        <v>3301.65</v>
      </c>
      <c r="F17" s="209" t="s">
        <v>169</v>
      </c>
    </row>
    <row r="18" spans="1:6" ht="19.5" x14ac:dyDescent="0.45">
      <c r="A18" s="208" t="s">
        <v>170</v>
      </c>
      <c r="B18" s="210">
        <v>3565.5</v>
      </c>
      <c r="C18" s="210">
        <v>2317.5</v>
      </c>
      <c r="D18" s="215">
        <v>2542.6999999999998</v>
      </c>
      <c r="E18" s="219">
        <v>1097.17</v>
      </c>
      <c r="F18" s="209" t="s">
        <v>171</v>
      </c>
    </row>
    <row r="19" spans="1:6" ht="19.5" x14ac:dyDescent="0.45">
      <c r="A19" s="208" t="s">
        <v>172</v>
      </c>
      <c r="B19" s="210">
        <v>34.5</v>
      </c>
      <c r="C19" s="210">
        <v>28.5</v>
      </c>
      <c r="D19" s="215">
        <v>9.0950000000000006</v>
      </c>
      <c r="E19" s="219">
        <v>319.12</v>
      </c>
      <c r="F19" s="209" t="s">
        <v>173</v>
      </c>
    </row>
    <row r="20" spans="1:6" ht="19.5" x14ac:dyDescent="0.45">
      <c r="A20" s="208" t="s">
        <v>174</v>
      </c>
      <c r="B20" s="210">
        <v>292</v>
      </c>
      <c r="C20" s="210">
        <v>200</v>
      </c>
      <c r="D20" s="215">
        <v>62.8</v>
      </c>
      <c r="E20" s="219">
        <v>314</v>
      </c>
      <c r="F20" s="209" t="s">
        <v>175</v>
      </c>
    </row>
    <row r="21" spans="1:6" ht="19.5" x14ac:dyDescent="0.45">
      <c r="A21" s="208" t="s">
        <v>176</v>
      </c>
      <c r="B21" s="210">
        <v>5</v>
      </c>
      <c r="C21" s="210">
        <v>5</v>
      </c>
      <c r="D21" s="215">
        <v>23.5</v>
      </c>
      <c r="E21" s="219">
        <v>4700</v>
      </c>
      <c r="F21" s="209" t="s">
        <v>177</v>
      </c>
    </row>
    <row r="22" spans="1:6" ht="19.5" x14ac:dyDescent="0.45">
      <c r="A22" s="217" t="s">
        <v>178</v>
      </c>
      <c r="B22" s="211" t="s">
        <v>143</v>
      </c>
      <c r="C22" s="214" t="s">
        <v>143</v>
      </c>
      <c r="D22" s="216" t="s">
        <v>143</v>
      </c>
      <c r="E22" s="213" t="s">
        <v>143</v>
      </c>
      <c r="F22" s="218" t="s">
        <v>179</v>
      </c>
    </row>
    <row r="23" spans="1:6" x14ac:dyDescent="0.2">
      <c r="A23" s="77"/>
      <c r="B23" s="77"/>
      <c r="C23" s="77"/>
      <c r="D23" s="77"/>
      <c r="E23" s="77"/>
      <c r="F23" s="77"/>
    </row>
    <row r="24" spans="1:6" ht="21.75" x14ac:dyDescent="0.2">
      <c r="A24" s="26" t="s">
        <v>100</v>
      </c>
      <c r="B24" s="70" t="s">
        <v>99</v>
      </c>
      <c r="C24" s="26" t="s">
        <v>142</v>
      </c>
      <c r="D24" s="29" t="s">
        <v>141</v>
      </c>
    </row>
  </sheetData>
  <mergeCells count="2">
    <mergeCell ref="A4:A5"/>
    <mergeCell ref="F4:F5"/>
  </mergeCells>
  <pageMargins left="0.35433070866141736" right="0" top="0.98425196850393704" bottom="0" header="0.51181102362204722" footer="0.51181102362204722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workbookViewId="0"/>
  </sheetViews>
  <sheetFormatPr defaultRowHeight="14.25" x14ac:dyDescent="0.2"/>
  <cols>
    <col min="1" max="1" width="18" customWidth="1"/>
    <col min="2" max="2" width="23.125" bestFit="1" customWidth="1"/>
    <col min="3" max="3" width="16" bestFit="1" customWidth="1"/>
    <col min="4" max="4" width="23.75" customWidth="1"/>
    <col min="5" max="5" width="16.5" bestFit="1" customWidth="1"/>
    <col min="6" max="6" width="19.5" bestFit="1" customWidth="1"/>
  </cols>
  <sheetData>
    <row r="1" spans="1:6" ht="21.75" x14ac:dyDescent="0.5">
      <c r="A1" s="28" t="s">
        <v>330</v>
      </c>
    </row>
    <row r="2" spans="1:6" ht="21.75" x14ac:dyDescent="0.5">
      <c r="A2" s="28" t="s">
        <v>331</v>
      </c>
    </row>
    <row r="4" spans="1:6" ht="21.75" x14ac:dyDescent="0.2">
      <c r="A4" s="169" t="s">
        <v>144</v>
      </c>
      <c r="B4" s="91" t="s">
        <v>139</v>
      </c>
      <c r="C4" s="91" t="s">
        <v>138</v>
      </c>
      <c r="D4" s="90" t="s">
        <v>137</v>
      </c>
      <c r="E4" s="183" t="s">
        <v>136</v>
      </c>
      <c r="F4" s="169" t="s">
        <v>145</v>
      </c>
    </row>
    <row r="5" spans="1:6" ht="21.75" x14ac:dyDescent="0.2">
      <c r="A5" s="178"/>
      <c r="B5" s="92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08" t="s">
        <v>146</v>
      </c>
      <c r="B6" s="210">
        <v>76</v>
      </c>
      <c r="C6" s="210">
        <v>70</v>
      </c>
      <c r="D6" s="215">
        <f>101300/1000</f>
        <v>101.3</v>
      </c>
      <c r="E6" s="219">
        <v>1447.14</v>
      </c>
      <c r="F6" s="209" t="s">
        <v>147</v>
      </c>
    </row>
    <row r="7" spans="1:6" ht="19.5" x14ac:dyDescent="0.45">
      <c r="A7" s="208" t="s">
        <v>148</v>
      </c>
      <c r="B7" s="210">
        <v>77</v>
      </c>
      <c r="C7" s="210">
        <v>326</v>
      </c>
      <c r="D7" s="215">
        <f>116738/1000</f>
        <v>116.738</v>
      </c>
      <c r="E7" s="220">
        <v>358.09</v>
      </c>
      <c r="F7" s="209" t="s">
        <v>149</v>
      </c>
    </row>
    <row r="8" spans="1:6" ht="19.5" x14ac:dyDescent="0.45">
      <c r="A8" s="208" t="s">
        <v>150</v>
      </c>
      <c r="B8" s="210">
        <v>383.75</v>
      </c>
      <c r="C8" s="210">
        <v>276</v>
      </c>
      <c r="D8" s="215">
        <f>133884/1000</f>
        <v>133.88399999999999</v>
      </c>
      <c r="E8" s="219">
        <v>485.09</v>
      </c>
      <c r="F8" s="209" t="s">
        <v>151</v>
      </c>
    </row>
    <row r="9" spans="1:6" ht="19.5" x14ac:dyDescent="0.45">
      <c r="A9" s="208" t="s">
        <v>152</v>
      </c>
      <c r="B9" s="210">
        <v>4143</v>
      </c>
      <c r="C9" s="210">
        <v>3589</v>
      </c>
      <c r="D9" s="215">
        <f>11968651/1000</f>
        <v>11968.651</v>
      </c>
      <c r="E9" s="219">
        <v>3334.81</v>
      </c>
      <c r="F9" s="209" t="s">
        <v>153</v>
      </c>
    </row>
    <row r="10" spans="1:6" ht="19.5" x14ac:dyDescent="0.45">
      <c r="A10" s="208" t="s">
        <v>154</v>
      </c>
      <c r="B10" s="210">
        <v>1018</v>
      </c>
      <c r="C10" s="210">
        <v>940.75</v>
      </c>
      <c r="D10" s="215">
        <f>958857/1000</f>
        <v>958.85699999999997</v>
      </c>
      <c r="E10" s="219">
        <v>1019.25</v>
      </c>
      <c r="F10" s="209" t="s">
        <v>155</v>
      </c>
    </row>
    <row r="11" spans="1:6" ht="19.5" x14ac:dyDescent="0.45">
      <c r="A11" s="208" t="s">
        <v>156</v>
      </c>
      <c r="B11" s="210">
        <v>2517.5</v>
      </c>
      <c r="C11" s="210">
        <v>2006.5</v>
      </c>
      <c r="D11" s="215">
        <f>948190/1000</f>
        <v>948.19</v>
      </c>
      <c r="E11" s="219">
        <v>472.56</v>
      </c>
      <c r="F11" s="209" t="s">
        <v>157</v>
      </c>
    </row>
    <row r="12" spans="1:6" ht="19.5" x14ac:dyDescent="0.45">
      <c r="A12" s="208" t="s">
        <v>158</v>
      </c>
      <c r="B12" s="210">
        <v>542</v>
      </c>
      <c r="C12" s="210">
        <v>381</v>
      </c>
      <c r="D12" s="215">
        <f>151200/1000</f>
        <v>151.19999999999999</v>
      </c>
      <c r="E12" s="219">
        <v>396.85</v>
      </c>
      <c r="F12" s="209" t="s">
        <v>159</v>
      </c>
    </row>
    <row r="13" spans="1:6" ht="19.5" x14ac:dyDescent="0.45">
      <c r="A13" s="208" t="s">
        <v>160</v>
      </c>
      <c r="B13" s="210">
        <v>4254</v>
      </c>
      <c r="C13" s="210">
        <v>3911</v>
      </c>
      <c r="D13" s="215">
        <f>2365150/1000</f>
        <v>2365.15</v>
      </c>
      <c r="E13" s="219">
        <v>604.74</v>
      </c>
      <c r="F13" s="209" t="s">
        <v>161</v>
      </c>
    </row>
    <row r="14" spans="1:6" ht="19.5" x14ac:dyDescent="0.45">
      <c r="A14" s="208" t="s">
        <v>162</v>
      </c>
      <c r="B14" s="210">
        <v>2096</v>
      </c>
      <c r="C14" s="210">
        <v>1412</v>
      </c>
      <c r="D14" s="215">
        <f>562650/1000</f>
        <v>562.65</v>
      </c>
      <c r="E14" s="219">
        <v>398.48</v>
      </c>
      <c r="F14" s="209" t="s">
        <v>163</v>
      </c>
    </row>
    <row r="15" spans="1:6" ht="19.5" x14ac:dyDescent="0.45">
      <c r="A15" s="208" t="s">
        <v>164</v>
      </c>
      <c r="B15" s="210">
        <v>176</v>
      </c>
      <c r="C15" s="210">
        <v>162</v>
      </c>
      <c r="D15" s="215">
        <f>20600/1000</f>
        <v>20.6</v>
      </c>
      <c r="E15" s="219">
        <v>127.16</v>
      </c>
      <c r="F15" s="209" t="s">
        <v>165</v>
      </c>
    </row>
    <row r="16" spans="1:6" ht="19.5" x14ac:dyDescent="0.45">
      <c r="A16" s="208" t="s">
        <v>166</v>
      </c>
      <c r="B16" s="210">
        <v>121</v>
      </c>
      <c r="C16" s="210">
        <v>90</v>
      </c>
      <c r="D16" s="215">
        <f>109700/100</f>
        <v>1097</v>
      </c>
      <c r="E16" s="220">
        <v>1218.8900000000001</v>
      </c>
      <c r="F16" s="209" t="s">
        <v>167</v>
      </c>
    </row>
    <row r="17" spans="1:6" ht="19.5" x14ac:dyDescent="0.45">
      <c r="A17" s="208" t="s">
        <v>168</v>
      </c>
      <c r="B17" s="210">
        <v>56</v>
      </c>
      <c r="C17" s="210">
        <v>74.349999999999994</v>
      </c>
      <c r="D17" s="215">
        <f>9983/1000</f>
        <v>9.9830000000000005</v>
      </c>
      <c r="E17" s="219">
        <v>134.27000000000001</v>
      </c>
      <c r="F17" s="209" t="s">
        <v>169</v>
      </c>
    </row>
    <row r="18" spans="1:6" ht="19.5" x14ac:dyDescent="0.45">
      <c r="A18" s="208" t="s">
        <v>170</v>
      </c>
      <c r="B18" s="210">
        <v>3245</v>
      </c>
      <c r="C18" s="210">
        <v>2330</v>
      </c>
      <c r="D18" s="215">
        <f>2368700/1000</f>
        <v>2368.6999999999998</v>
      </c>
      <c r="E18" s="219">
        <v>1016.61</v>
      </c>
      <c r="F18" s="209" t="s">
        <v>171</v>
      </c>
    </row>
    <row r="19" spans="1:6" ht="19.5" x14ac:dyDescent="0.45">
      <c r="A19" s="208" t="s">
        <v>172</v>
      </c>
      <c r="B19" s="210">
        <v>22.5</v>
      </c>
      <c r="C19" s="210">
        <v>8</v>
      </c>
      <c r="D19" s="215">
        <f>1360/1000</f>
        <v>1.36</v>
      </c>
      <c r="E19" s="219">
        <v>170</v>
      </c>
      <c r="F19" s="209" t="s">
        <v>173</v>
      </c>
    </row>
    <row r="20" spans="1:6" ht="19.5" x14ac:dyDescent="0.45">
      <c r="A20" s="208" t="s">
        <v>174</v>
      </c>
      <c r="B20" s="210">
        <v>207</v>
      </c>
      <c r="C20" s="210">
        <v>4</v>
      </c>
      <c r="D20" s="215">
        <f>1100/1000</f>
        <v>1.1000000000000001</v>
      </c>
      <c r="E20" s="219">
        <v>275</v>
      </c>
      <c r="F20" s="209" t="s">
        <v>175</v>
      </c>
    </row>
    <row r="21" spans="1:6" ht="19.5" x14ac:dyDescent="0.45">
      <c r="A21" s="208" t="s">
        <v>176</v>
      </c>
      <c r="B21" s="210" t="s">
        <v>143</v>
      </c>
      <c r="C21" s="210" t="s">
        <v>143</v>
      </c>
      <c r="D21" s="215" t="s">
        <v>143</v>
      </c>
      <c r="E21" s="212" t="s">
        <v>143</v>
      </c>
      <c r="F21" s="209" t="s">
        <v>177</v>
      </c>
    </row>
    <row r="22" spans="1:6" ht="19.5" x14ac:dyDescent="0.45">
      <c r="A22" s="217" t="s">
        <v>178</v>
      </c>
      <c r="B22" s="211" t="s">
        <v>143</v>
      </c>
      <c r="C22" s="214" t="s">
        <v>143</v>
      </c>
      <c r="D22" s="216" t="s">
        <v>143</v>
      </c>
      <c r="E22" s="213" t="s">
        <v>143</v>
      </c>
      <c r="F22" s="218" t="s">
        <v>179</v>
      </c>
    </row>
    <row r="23" spans="1:6" x14ac:dyDescent="0.2">
      <c r="A23" s="77"/>
      <c r="B23" s="77"/>
      <c r="C23" s="77"/>
      <c r="D23" s="77"/>
      <c r="E23" s="77"/>
      <c r="F23" s="77"/>
    </row>
    <row r="24" spans="1:6" ht="21.75" x14ac:dyDescent="0.2">
      <c r="A24" s="26" t="s">
        <v>100</v>
      </c>
      <c r="B24" s="70" t="s">
        <v>99</v>
      </c>
      <c r="C24" s="26" t="s">
        <v>142</v>
      </c>
      <c r="D24" s="29" t="s">
        <v>141</v>
      </c>
    </row>
  </sheetData>
  <mergeCells count="2">
    <mergeCell ref="A4:A5"/>
    <mergeCell ref="F4:F5"/>
  </mergeCells>
  <pageMargins left="0.35433070866141736" right="0" top="0.98425196850393704" bottom="0" header="0.51181102362204722" footer="0.51181102362204722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workbookViewId="0"/>
  </sheetViews>
  <sheetFormatPr defaultRowHeight="14.25" x14ac:dyDescent="0.2"/>
  <cols>
    <col min="1" max="1" width="17.25" customWidth="1"/>
    <col min="2" max="2" width="23.125" bestFit="1" customWidth="1"/>
    <col min="3" max="3" width="16" bestFit="1" customWidth="1"/>
    <col min="4" max="4" width="25.75" customWidth="1"/>
    <col min="5" max="5" width="16.5" bestFit="1" customWidth="1"/>
    <col min="6" max="6" width="19.5" bestFit="1" customWidth="1"/>
  </cols>
  <sheetData>
    <row r="1" spans="1:6" ht="21.75" x14ac:dyDescent="0.5">
      <c r="A1" s="28" t="s">
        <v>328</v>
      </c>
    </row>
    <row r="2" spans="1:6" ht="21.75" x14ac:dyDescent="0.5">
      <c r="A2" s="28" t="s">
        <v>329</v>
      </c>
    </row>
    <row r="4" spans="1:6" ht="21.75" x14ac:dyDescent="0.2">
      <c r="A4" s="169" t="s">
        <v>144</v>
      </c>
      <c r="B4" s="91" t="s">
        <v>139</v>
      </c>
      <c r="C4" s="91" t="s">
        <v>138</v>
      </c>
      <c r="D4" s="90" t="s">
        <v>137</v>
      </c>
      <c r="E4" s="183" t="s">
        <v>136</v>
      </c>
      <c r="F4" s="169" t="s">
        <v>145</v>
      </c>
    </row>
    <row r="5" spans="1:6" ht="21.75" x14ac:dyDescent="0.2">
      <c r="A5" s="178"/>
      <c r="B5" s="92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08" t="s">
        <v>146</v>
      </c>
      <c r="B6" s="210">
        <v>996</v>
      </c>
      <c r="C6" s="210">
        <v>925</v>
      </c>
      <c r="D6" s="215">
        <f>1662800/1000</f>
        <v>1662.8</v>
      </c>
      <c r="E6" s="219">
        <v>1797.62</v>
      </c>
      <c r="F6" s="209" t="s">
        <v>147</v>
      </c>
    </row>
    <row r="7" spans="1:6" ht="19.5" x14ac:dyDescent="0.45">
      <c r="A7" s="208" t="s">
        <v>148</v>
      </c>
      <c r="B7" s="210">
        <v>71</v>
      </c>
      <c r="C7" s="210">
        <v>130</v>
      </c>
      <c r="D7" s="215">
        <f>25986/1000</f>
        <v>25.986000000000001</v>
      </c>
      <c r="E7" s="220">
        <v>199.89</v>
      </c>
      <c r="F7" s="209" t="s">
        <v>149</v>
      </c>
    </row>
    <row r="8" spans="1:6" ht="19.5" x14ac:dyDescent="0.45">
      <c r="A8" s="208" t="s">
        <v>150</v>
      </c>
      <c r="B8" s="210">
        <v>523</v>
      </c>
      <c r="C8" s="210">
        <v>905</v>
      </c>
      <c r="D8" s="215">
        <f>408520/1000</f>
        <v>408.52</v>
      </c>
      <c r="E8" s="219">
        <v>451.4</v>
      </c>
      <c r="F8" s="209" t="s">
        <v>151</v>
      </c>
    </row>
    <row r="9" spans="1:6" ht="19.5" x14ac:dyDescent="0.45">
      <c r="A9" s="208" t="s">
        <v>152</v>
      </c>
      <c r="B9" s="210">
        <v>5771</v>
      </c>
      <c r="C9" s="210">
        <v>1958</v>
      </c>
      <c r="D9" s="215">
        <f>4057875/1000</f>
        <v>4057.875</v>
      </c>
      <c r="E9" s="219">
        <v>2072.46</v>
      </c>
      <c r="F9" s="209" t="s">
        <v>153</v>
      </c>
    </row>
    <row r="10" spans="1:6" ht="19.5" x14ac:dyDescent="0.45">
      <c r="A10" s="208" t="s">
        <v>154</v>
      </c>
      <c r="B10" s="210">
        <v>920</v>
      </c>
      <c r="C10" s="210">
        <v>179</v>
      </c>
      <c r="D10" s="215">
        <f>81029/1000</f>
        <v>81.028999999999996</v>
      </c>
      <c r="E10" s="219">
        <v>452.68</v>
      </c>
      <c r="F10" s="209" t="s">
        <v>155</v>
      </c>
    </row>
    <row r="11" spans="1:6" ht="19.5" x14ac:dyDescent="0.45">
      <c r="A11" s="208" t="s">
        <v>156</v>
      </c>
      <c r="B11" s="210">
        <v>2248</v>
      </c>
      <c r="C11" s="210">
        <v>1679.5</v>
      </c>
      <c r="D11" s="215">
        <f>1163000/1000</f>
        <v>1163</v>
      </c>
      <c r="E11" s="219">
        <v>692.47</v>
      </c>
      <c r="F11" s="209" t="s">
        <v>157</v>
      </c>
    </row>
    <row r="12" spans="1:6" ht="19.5" x14ac:dyDescent="0.45">
      <c r="A12" s="208" t="s">
        <v>158</v>
      </c>
      <c r="B12" s="210">
        <v>949</v>
      </c>
      <c r="C12" s="210">
        <v>808</v>
      </c>
      <c r="D12" s="215">
        <f>508000/1000</f>
        <v>508</v>
      </c>
      <c r="E12" s="219">
        <v>628.71</v>
      </c>
      <c r="F12" s="209" t="s">
        <v>159</v>
      </c>
    </row>
    <row r="13" spans="1:6" ht="19.5" x14ac:dyDescent="0.45">
      <c r="A13" s="208" t="s">
        <v>176</v>
      </c>
      <c r="B13" s="210">
        <v>30</v>
      </c>
      <c r="C13" s="210">
        <v>30</v>
      </c>
      <c r="D13" s="215">
        <f>30000/1000</f>
        <v>30</v>
      </c>
      <c r="E13" s="219">
        <v>1000</v>
      </c>
      <c r="F13" s="209" t="s">
        <v>177</v>
      </c>
    </row>
    <row r="14" spans="1:6" ht="19.5" x14ac:dyDescent="0.45">
      <c r="A14" s="208" t="s">
        <v>160</v>
      </c>
      <c r="B14" s="210">
        <v>2648.5</v>
      </c>
      <c r="C14" s="210">
        <v>1860.5</v>
      </c>
      <c r="D14" s="215">
        <f>1392750/1000</f>
        <v>1392.75</v>
      </c>
      <c r="E14" s="219">
        <v>748.59</v>
      </c>
      <c r="F14" s="209" t="s">
        <v>161</v>
      </c>
    </row>
    <row r="15" spans="1:6" ht="19.5" x14ac:dyDescent="0.45">
      <c r="A15" s="208" t="s">
        <v>162</v>
      </c>
      <c r="B15" s="210">
        <v>3153</v>
      </c>
      <c r="C15" s="210">
        <v>2557</v>
      </c>
      <c r="D15" s="215">
        <f>1658353/1000</f>
        <v>1658.3530000000001</v>
      </c>
      <c r="E15" s="219">
        <v>648.54999999999995</v>
      </c>
      <c r="F15" s="209" t="s">
        <v>163</v>
      </c>
    </row>
    <row r="16" spans="1:6" ht="19.5" x14ac:dyDescent="0.45">
      <c r="A16" s="208" t="s">
        <v>164</v>
      </c>
      <c r="B16" s="210">
        <v>709</v>
      </c>
      <c r="C16" s="210">
        <v>2152</v>
      </c>
      <c r="D16" s="215">
        <f>1076000/1000</f>
        <v>1076</v>
      </c>
      <c r="E16" s="220">
        <v>500</v>
      </c>
      <c r="F16" s="209" t="s">
        <v>165</v>
      </c>
    </row>
    <row r="17" spans="1:6" ht="19.5" x14ac:dyDescent="0.45">
      <c r="A17" s="208" t="s">
        <v>166</v>
      </c>
      <c r="B17" s="210">
        <v>204</v>
      </c>
      <c r="C17" s="210">
        <v>636</v>
      </c>
      <c r="D17" s="215">
        <f>227200/1000</f>
        <v>227.2</v>
      </c>
      <c r="E17" s="219">
        <v>357.23</v>
      </c>
      <c r="F17" s="209" t="s">
        <v>167</v>
      </c>
    </row>
    <row r="18" spans="1:6" ht="19.5" x14ac:dyDescent="0.45">
      <c r="A18" s="208" t="s">
        <v>168</v>
      </c>
      <c r="B18" s="210">
        <v>25.75</v>
      </c>
      <c r="C18" s="210">
        <v>1.75</v>
      </c>
      <c r="D18" s="215">
        <f>150/1000</f>
        <v>0.15</v>
      </c>
      <c r="E18" s="219">
        <v>85.71</v>
      </c>
      <c r="F18" s="209" t="s">
        <v>169</v>
      </c>
    </row>
    <row r="19" spans="1:6" ht="19.5" x14ac:dyDescent="0.45">
      <c r="A19" s="208" t="s">
        <v>170</v>
      </c>
      <c r="B19" s="210">
        <v>5255</v>
      </c>
      <c r="C19" s="210">
        <v>4770</v>
      </c>
      <c r="D19" s="215">
        <f>5549250/1000</f>
        <v>5549.25</v>
      </c>
      <c r="E19" s="219">
        <v>1163.3599999999999</v>
      </c>
      <c r="F19" s="209" t="s">
        <v>171</v>
      </c>
    </row>
    <row r="20" spans="1:6" ht="19.5" x14ac:dyDescent="0.45">
      <c r="A20" s="208" t="s">
        <v>172</v>
      </c>
      <c r="B20" s="210">
        <v>20</v>
      </c>
      <c r="C20" s="210">
        <v>236</v>
      </c>
      <c r="D20" s="215">
        <f>33440/1000</f>
        <v>33.44</v>
      </c>
      <c r="E20" s="219">
        <v>141.69</v>
      </c>
      <c r="F20" s="209" t="s">
        <v>173</v>
      </c>
    </row>
    <row r="21" spans="1:6" ht="19.5" x14ac:dyDescent="0.45">
      <c r="A21" s="208" t="s">
        <v>174</v>
      </c>
      <c r="B21" s="210">
        <v>223</v>
      </c>
      <c r="C21" s="210">
        <v>1935</v>
      </c>
      <c r="D21" s="215">
        <f>294360/1000</f>
        <v>294.36</v>
      </c>
      <c r="E21" s="219">
        <v>152.12</v>
      </c>
      <c r="F21" s="209" t="s">
        <v>175</v>
      </c>
    </row>
    <row r="22" spans="1:6" ht="19.5" x14ac:dyDescent="0.45">
      <c r="A22" s="217" t="s">
        <v>178</v>
      </c>
      <c r="B22" s="211" t="s">
        <v>143</v>
      </c>
      <c r="C22" s="214" t="s">
        <v>143</v>
      </c>
      <c r="D22" s="216" t="s">
        <v>143</v>
      </c>
      <c r="E22" s="213" t="s">
        <v>143</v>
      </c>
      <c r="F22" s="218" t="s">
        <v>179</v>
      </c>
    </row>
    <row r="23" spans="1:6" x14ac:dyDescent="0.2">
      <c r="A23" s="77"/>
      <c r="B23" s="77"/>
      <c r="C23" s="77"/>
      <c r="D23" s="77"/>
      <c r="E23" s="77"/>
      <c r="F23" s="77"/>
    </row>
    <row r="24" spans="1:6" ht="21.75" x14ac:dyDescent="0.2">
      <c r="A24" s="26" t="s">
        <v>100</v>
      </c>
      <c r="B24" s="70" t="s">
        <v>99</v>
      </c>
      <c r="C24" s="26" t="s">
        <v>142</v>
      </c>
      <c r="D24" s="29" t="s">
        <v>141</v>
      </c>
    </row>
  </sheetData>
  <mergeCells count="2">
    <mergeCell ref="A4:A5"/>
    <mergeCell ref="F4:F5"/>
  </mergeCells>
  <pageMargins left="0.55118110236220474" right="0" top="0.98425196850393704" bottom="0" header="0.51181102362204722" footer="0.51181102362204722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workbookViewId="0"/>
  </sheetViews>
  <sheetFormatPr defaultRowHeight="14.25" x14ac:dyDescent="0.2"/>
  <cols>
    <col min="1" max="1" width="18.5" bestFit="1" customWidth="1"/>
    <col min="2" max="2" width="16.75" customWidth="1"/>
    <col min="3" max="3" width="16" bestFit="1" customWidth="1"/>
    <col min="4" max="4" width="21.25" customWidth="1"/>
    <col min="5" max="5" width="16.5" bestFit="1" customWidth="1"/>
    <col min="6" max="6" width="26.875" bestFit="1" customWidth="1"/>
  </cols>
  <sheetData>
    <row r="1" spans="1:6" ht="21.75" x14ac:dyDescent="0.5">
      <c r="A1" s="28" t="s">
        <v>336</v>
      </c>
    </row>
    <row r="2" spans="1:6" ht="21.75" x14ac:dyDescent="0.5">
      <c r="A2" s="28" t="s">
        <v>337</v>
      </c>
    </row>
    <row r="4" spans="1:6" ht="21.75" x14ac:dyDescent="0.2">
      <c r="A4" s="169" t="s">
        <v>140</v>
      </c>
      <c r="B4" s="90" t="s">
        <v>139</v>
      </c>
      <c r="C4" s="91" t="s">
        <v>138</v>
      </c>
      <c r="D4" s="90" t="s">
        <v>137</v>
      </c>
      <c r="E4" s="183" t="s">
        <v>136</v>
      </c>
      <c r="F4" s="169" t="s">
        <v>135</v>
      </c>
    </row>
    <row r="5" spans="1:6" ht="21.75" x14ac:dyDescent="0.2">
      <c r="A5" s="178"/>
      <c r="B5" s="89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21" t="s">
        <v>130</v>
      </c>
      <c r="B6" s="223">
        <v>5135.25</v>
      </c>
      <c r="C6" s="224">
        <v>2710.5</v>
      </c>
      <c r="D6" s="223">
        <v>3307.68</v>
      </c>
      <c r="E6" s="225">
        <v>1220.32</v>
      </c>
      <c r="F6" s="222" t="s">
        <v>129</v>
      </c>
    </row>
    <row r="7" spans="1:6" ht="19.5" x14ac:dyDescent="0.45">
      <c r="A7" s="185" t="s">
        <v>128</v>
      </c>
      <c r="B7" s="197">
        <v>637</v>
      </c>
      <c r="C7" s="188">
        <v>247</v>
      </c>
      <c r="D7" s="197">
        <v>677.25</v>
      </c>
      <c r="E7" s="202">
        <v>2741.9</v>
      </c>
      <c r="F7" s="209" t="s">
        <v>127</v>
      </c>
    </row>
    <row r="8" spans="1:6" ht="19.5" x14ac:dyDescent="0.45">
      <c r="A8" s="185" t="s">
        <v>126</v>
      </c>
      <c r="B8" s="197">
        <v>2219</v>
      </c>
      <c r="C8" s="188">
        <v>1419</v>
      </c>
      <c r="D8" s="197">
        <v>3898.5</v>
      </c>
      <c r="E8" s="202">
        <v>2747.36</v>
      </c>
      <c r="F8" s="209" t="s">
        <v>125</v>
      </c>
    </row>
    <row r="9" spans="1:6" ht="19.5" x14ac:dyDescent="0.45">
      <c r="A9" s="185" t="s">
        <v>124</v>
      </c>
      <c r="B9" s="197">
        <v>1285.5</v>
      </c>
      <c r="C9" s="188">
        <v>87</v>
      </c>
      <c r="D9" s="197">
        <v>191.6</v>
      </c>
      <c r="E9" s="202">
        <v>2202.3000000000002</v>
      </c>
      <c r="F9" s="209" t="s">
        <v>123</v>
      </c>
    </row>
    <row r="10" spans="1:6" ht="19.5" x14ac:dyDescent="0.45">
      <c r="A10" s="185" t="s">
        <v>122</v>
      </c>
      <c r="B10" s="197">
        <v>24556.5</v>
      </c>
      <c r="C10" s="188">
        <v>18082.25</v>
      </c>
      <c r="D10" s="197">
        <v>49372.18</v>
      </c>
      <c r="E10" s="202">
        <v>2730.42</v>
      </c>
      <c r="F10" s="209" t="s">
        <v>121</v>
      </c>
    </row>
    <row r="11" spans="1:6" ht="19.5" x14ac:dyDescent="0.45">
      <c r="A11" s="185" t="s">
        <v>120</v>
      </c>
      <c r="B11" s="197">
        <v>1063</v>
      </c>
      <c r="C11" s="188">
        <v>266</v>
      </c>
      <c r="D11" s="197">
        <v>211.38200000000001</v>
      </c>
      <c r="E11" s="202">
        <v>794.67</v>
      </c>
      <c r="F11" s="209" t="s">
        <v>119</v>
      </c>
    </row>
    <row r="12" spans="1:6" ht="19.5" x14ac:dyDescent="0.45">
      <c r="A12" s="185" t="s">
        <v>118</v>
      </c>
      <c r="B12" s="197">
        <v>25422.25</v>
      </c>
      <c r="C12" s="188">
        <v>9235</v>
      </c>
      <c r="D12" s="197">
        <v>12942.070009999999</v>
      </c>
      <c r="E12" s="202">
        <v>1401.42</v>
      </c>
      <c r="F12" s="209" t="s">
        <v>117</v>
      </c>
    </row>
    <row r="13" spans="1:6" ht="19.5" x14ac:dyDescent="0.45">
      <c r="A13" s="185" t="s">
        <v>116</v>
      </c>
      <c r="B13" s="197">
        <v>6088.57</v>
      </c>
      <c r="C13" s="188">
        <v>1530.5</v>
      </c>
      <c r="D13" s="197">
        <v>27367.998</v>
      </c>
      <c r="E13" s="202">
        <v>17881.740000000002</v>
      </c>
      <c r="F13" s="209" t="s">
        <v>115</v>
      </c>
    </row>
    <row r="14" spans="1:6" ht="19.5" x14ac:dyDescent="0.45">
      <c r="A14" s="185" t="s">
        <v>114</v>
      </c>
      <c r="B14" s="197">
        <v>1089.17</v>
      </c>
      <c r="C14" s="188">
        <v>15911</v>
      </c>
      <c r="D14" s="197">
        <v>10206.88148</v>
      </c>
      <c r="E14" s="202">
        <v>641.5</v>
      </c>
      <c r="F14" s="209" t="s">
        <v>113</v>
      </c>
    </row>
    <row r="15" spans="1:6" ht="19.5" x14ac:dyDescent="0.45">
      <c r="A15" s="185" t="s">
        <v>112</v>
      </c>
      <c r="B15" s="197">
        <v>3501.75</v>
      </c>
      <c r="C15" s="188">
        <v>776</v>
      </c>
      <c r="D15" s="197">
        <v>1527.17</v>
      </c>
      <c r="E15" s="202">
        <v>1968</v>
      </c>
      <c r="F15" s="209" t="s">
        <v>111</v>
      </c>
    </row>
    <row r="16" spans="1:6" ht="19.5" x14ac:dyDescent="0.45">
      <c r="A16" s="185" t="s">
        <v>110</v>
      </c>
      <c r="B16" s="197">
        <v>9444</v>
      </c>
      <c r="C16" s="188">
        <v>5169</v>
      </c>
      <c r="D16" s="197">
        <v>1922.49</v>
      </c>
      <c r="E16" s="202">
        <v>371.93</v>
      </c>
      <c r="F16" s="209" t="s">
        <v>109</v>
      </c>
    </row>
    <row r="17" spans="1:6" ht="19.5" x14ac:dyDescent="0.45">
      <c r="A17" s="185" t="s">
        <v>108</v>
      </c>
      <c r="B17" s="197">
        <v>3260.89</v>
      </c>
      <c r="C17" s="188">
        <v>406.5</v>
      </c>
      <c r="D17" s="197">
        <v>411.4</v>
      </c>
      <c r="E17" s="202">
        <v>1012.05</v>
      </c>
      <c r="F17" s="209" t="s">
        <v>107</v>
      </c>
    </row>
    <row r="18" spans="1:6" ht="19.5" x14ac:dyDescent="0.45">
      <c r="A18" s="185" t="s">
        <v>106</v>
      </c>
      <c r="B18" s="197">
        <v>1115</v>
      </c>
      <c r="C18" s="188">
        <v>738</v>
      </c>
      <c r="D18" s="197">
        <v>1713.28</v>
      </c>
      <c r="E18" s="202">
        <v>2321.52</v>
      </c>
      <c r="F18" s="209" t="s">
        <v>105</v>
      </c>
    </row>
    <row r="19" spans="1:6" ht="19.5" x14ac:dyDescent="0.45">
      <c r="A19" s="185" t="s">
        <v>104</v>
      </c>
      <c r="B19" s="197">
        <v>815.75</v>
      </c>
      <c r="C19" s="188">
        <v>470</v>
      </c>
      <c r="D19" s="197">
        <v>1982.491</v>
      </c>
      <c r="E19" s="202">
        <v>4218.07</v>
      </c>
      <c r="F19" s="209" t="s">
        <v>103</v>
      </c>
    </row>
    <row r="20" spans="1:6" ht="19.5" x14ac:dyDescent="0.45">
      <c r="A20" s="185" t="s">
        <v>102</v>
      </c>
      <c r="B20" s="197">
        <v>259</v>
      </c>
      <c r="C20" s="188">
        <v>94</v>
      </c>
      <c r="D20" s="197">
        <v>129</v>
      </c>
      <c r="E20" s="202">
        <v>1372.34</v>
      </c>
      <c r="F20" s="209" t="s">
        <v>101</v>
      </c>
    </row>
    <row r="21" spans="1:6" ht="9" customHeight="1" x14ac:dyDescent="0.45">
      <c r="A21" s="186"/>
      <c r="B21" s="82"/>
      <c r="C21" s="99"/>
      <c r="D21" s="82"/>
      <c r="E21" s="192"/>
      <c r="F21" s="218"/>
    </row>
    <row r="22" spans="1:6" x14ac:dyDescent="0.2">
      <c r="A22" s="77"/>
      <c r="B22" s="77"/>
      <c r="C22" s="77"/>
      <c r="D22" s="77"/>
      <c r="E22" s="77"/>
      <c r="F22" s="77"/>
    </row>
    <row r="23" spans="1:6" ht="18" customHeight="1" x14ac:dyDescent="0.2">
      <c r="A23" s="26" t="s">
        <v>100</v>
      </c>
      <c r="B23" s="152" t="s">
        <v>99</v>
      </c>
      <c r="C23" s="152"/>
      <c r="D23" s="152" t="s">
        <v>98</v>
      </c>
      <c r="E23" s="152"/>
      <c r="F23" s="152"/>
    </row>
  </sheetData>
  <mergeCells count="4">
    <mergeCell ref="A4:A5"/>
    <mergeCell ref="F4:F5"/>
    <mergeCell ref="B23:C23"/>
    <mergeCell ref="D23:F23"/>
  </mergeCells>
  <pageMargins left="0.74803149606299213" right="0" top="0.59055118110236227" bottom="0" header="0.51181102362204722" footer="0.51181102362204722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workbookViewId="0"/>
  </sheetViews>
  <sheetFormatPr defaultRowHeight="14.25" x14ac:dyDescent="0.2"/>
  <cols>
    <col min="1" max="1" width="18.5" bestFit="1" customWidth="1"/>
    <col min="2" max="2" width="16.75" customWidth="1"/>
    <col min="3" max="3" width="16" bestFit="1" customWidth="1"/>
    <col min="4" max="4" width="21.25" customWidth="1"/>
    <col min="5" max="5" width="16.5" bestFit="1" customWidth="1"/>
    <col min="6" max="6" width="26.875" bestFit="1" customWidth="1"/>
  </cols>
  <sheetData>
    <row r="1" spans="1:6" ht="21.75" x14ac:dyDescent="0.5">
      <c r="A1" s="28" t="s">
        <v>338</v>
      </c>
    </row>
    <row r="2" spans="1:6" ht="21.75" x14ac:dyDescent="0.5">
      <c r="A2" s="28" t="s">
        <v>339</v>
      </c>
    </row>
    <row r="4" spans="1:6" ht="21.75" x14ac:dyDescent="0.2">
      <c r="A4" s="169" t="s">
        <v>140</v>
      </c>
      <c r="B4" s="90" t="s">
        <v>139</v>
      </c>
      <c r="C4" s="91" t="s">
        <v>138</v>
      </c>
      <c r="D4" s="90" t="s">
        <v>137</v>
      </c>
      <c r="E4" s="183" t="s">
        <v>136</v>
      </c>
      <c r="F4" s="169" t="s">
        <v>135</v>
      </c>
    </row>
    <row r="5" spans="1:6" ht="21.75" x14ac:dyDescent="0.2">
      <c r="A5" s="178"/>
      <c r="B5" s="89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21" t="s">
        <v>130</v>
      </c>
      <c r="B6" s="223">
        <v>6260</v>
      </c>
      <c r="C6" s="224">
        <v>938</v>
      </c>
      <c r="D6" s="223">
        <v>611.74099999999999</v>
      </c>
      <c r="E6" s="225">
        <v>652.17999999999995</v>
      </c>
      <c r="F6" s="222" t="s">
        <v>129</v>
      </c>
    </row>
    <row r="7" spans="1:6" ht="19.5" x14ac:dyDescent="0.45">
      <c r="A7" s="185" t="s">
        <v>128</v>
      </c>
      <c r="B7" s="197">
        <v>732</v>
      </c>
      <c r="C7" s="188">
        <v>328</v>
      </c>
      <c r="D7" s="197">
        <v>331.9</v>
      </c>
      <c r="E7" s="202">
        <v>1011.89</v>
      </c>
      <c r="F7" s="209" t="s">
        <v>127</v>
      </c>
    </row>
    <row r="8" spans="1:6" ht="19.5" x14ac:dyDescent="0.45">
      <c r="A8" s="185" t="s">
        <v>126</v>
      </c>
      <c r="B8" s="197">
        <v>2019</v>
      </c>
      <c r="C8" s="188">
        <v>13</v>
      </c>
      <c r="D8" s="197">
        <v>5.4660000000000002</v>
      </c>
      <c r="E8" s="202">
        <v>420.46</v>
      </c>
      <c r="F8" s="209" t="s">
        <v>125</v>
      </c>
    </row>
    <row r="9" spans="1:6" ht="19.5" x14ac:dyDescent="0.45">
      <c r="A9" s="185" t="s">
        <v>124</v>
      </c>
      <c r="B9" s="197">
        <v>1622</v>
      </c>
      <c r="C9" s="188">
        <v>40</v>
      </c>
      <c r="D9" s="197">
        <v>14</v>
      </c>
      <c r="E9" s="202">
        <v>350</v>
      </c>
      <c r="F9" s="209" t="s">
        <v>123</v>
      </c>
    </row>
    <row r="10" spans="1:6" ht="19.5" x14ac:dyDescent="0.45">
      <c r="A10" s="185" t="s">
        <v>122</v>
      </c>
      <c r="B10" s="197">
        <v>22733</v>
      </c>
      <c r="C10" s="188">
        <v>15925</v>
      </c>
      <c r="D10" s="197">
        <v>9496.58</v>
      </c>
      <c r="E10" s="202">
        <v>596.33000000000004</v>
      </c>
      <c r="F10" s="209" t="s">
        <v>121</v>
      </c>
    </row>
    <row r="11" spans="1:6" ht="19.5" x14ac:dyDescent="0.45">
      <c r="A11" s="185" t="s">
        <v>120</v>
      </c>
      <c r="B11" s="197">
        <v>843</v>
      </c>
      <c r="C11" s="188">
        <v>162</v>
      </c>
      <c r="D11" s="197">
        <v>130.59399999999999</v>
      </c>
      <c r="E11" s="202">
        <v>806.14</v>
      </c>
      <c r="F11" s="209" t="s">
        <v>119</v>
      </c>
    </row>
    <row r="12" spans="1:6" ht="19.5" x14ac:dyDescent="0.45">
      <c r="A12" s="185" t="s">
        <v>118</v>
      </c>
      <c r="B12" s="197">
        <v>31904.5</v>
      </c>
      <c r="C12" s="188">
        <v>15485</v>
      </c>
      <c r="D12" s="197">
        <v>10755.272000000001</v>
      </c>
      <c r="E12" s="202">
        <v>694.56</v>
      </c>
      <c r="F12" s="209" t="s">
        <v>117</v>
      </c>
    </row>
    <row r="13" spans="1:6" ht="19.5" x14ac:dyDescent="0.45">
      <c r="A13" s="185" t="s">
        <v>116</v>
      </c>
      <c r="B13" s="197">
        <v>5838.32</v>
      </c>
      <c r="C13" s="188">
        <v>840</v>
      </c>
      <c r="D13" s="197">
        <f>4379525/1000</f>
        <v>4379.5249999999996</v>
      </c>
      <c r="E13" s="202">
        <v>5213.72</v>
      </c>
      <c r="F13" s="209" t="s">
        <v>115</v>
      </c>
    </row>
    <row r="14" spans="1:6" ht="19.5" x14ac:dyDescent="0.45">
      <c r="A14" s="185" t="s">
        <v>114</v>
      </c>
      <c r="B14" s="197">
        <v>57972.03</v>
      </c>
      <c r="C14" s="188">
        <v>8015.75</v>
      </c>
      <c r="D14" s="197">
        <f>25449157.6/1000</f>
        <v>25449.157600000002</v>
      </c>
      <c r="E14" s="202">
        <v>3174.89</v>
      </c>
      <c r="F14" s="209" t="s">
        <v>113</v>
      </c>
    </row>
    <row r="15" spans="1:6" ht="19.5" x14ac:dyDescent="0.45">
      <c r="A15" s="185" t="s">
        <v>112</v>
      </c>
      <c r="B15" s="197">
        <v>2354</v>
      </c>
      <c r="C15" s="188">
        <v>642</v>
      </c>
      <c r="D15" s="197">
        <v>885</v>
      </c>
      <c r="E15" s="202">
        <v>1378.5</v>
      </c>
      <c r="F15" s="209" t="s">
        <v>111</v>
      </c>
    </row>
    <row r="16" spans="1:6" ht="19.5" x14ac:dyDescent="0.45">
      <c r="A16" s="185" t="s">
        <v>110</v>
      </c>
      <c r="B16" s="197">
        <v>5789</v>
      </c>
      <c r="C16" s="188">
        <v>2000</v>
      </c>
      <c r="D16" s="197">
        <v>285.89999999999998</v>
      </c>
      <c r="E16" s="202">
        <v>142.94999999999999</v>
      </c>
      <c r="F16" s="209" t="s">
        <v>109</v>
      </c>
    </row>
    <row r="17" spans="1:6" ht="19.5" x14ac:dyDescent="0.45">
      <c r="A17" s="185" t="s">
        <v>108</v>
      </c>
      <c r="B17" s="197">
        <v>3066.89</v>
      </c>
      <c r="C17" s="188">
        <v>324</v>
      </c>
      <c r="D17" s="197">
        <v>572.6</v>
      </c>
      <c r="E17" s="202">
        <v>1767.28</v>
      </c>
      <c r="F17" s="209" t="s">
        <v>107</v>
      </c>
    </row>
    <row r="18" spans="1:6" ht="19.5" x14ac:dyDescent="0.45">
      <c r="A18" s="185" t="s">
        <v>106</v>
      </c>
      <c r="B18" s="197">
        <v>1325</v>
      </c>
      <c r="C18" s="188">
        <v>10</v>
      </c>
      <c r="D18" s="197">
        <v>20</v>
      </c>
      <c r="E18" s="202">
        <v>2000</v>
      </c>
      <c r="F18" s="209" t="s">
        <v>105</v>
      </c>
    </row>
    <row r="19" spans="1:6" ht="19.5" x14ac:dyDescent="0.45">
      <c r="A19" s="185" t="s">
        <v>104</v>
      </c>
      <c r="B19" s="197">
        <v>754</v>
      </c>
      <c r="C19" s="188">
        <v>52</v>
      </c>
      <c r="D19" s="197">
        <v>111.01900000000001</v>
      </c>
      <c r="E19" s="202">
        <v>2134.98</v>
      </c>
      <c r="F19" s="209" t="s">
        <v>103</v>
      </c>
    </row>
    <row r="20" spans="1:6" ht="19.5" x14ac:dyDescent="0.45">
      <c r="A20" s="185" t="s">
        <v>102</v>
      </c>
      <c r="B20" s="197">
        <v>259</v>
      </c>
      <c r="C20" s="188">
        <v>50</v>
      </c>
      <c r="D20" s="197">
        <v>100</v>
      </c>
      <c r="E20" s="202">
        <v>2000</v>
      </c>
      <c r="F20" s="209" t="s">
        <v>101</v>
      </c>
    </row>
    <row r="21" spans="1:6" ht="19.5" x14ac:dyDescent="0.45">
      <c r="A21" s="186"/>
      <c r="B21" s="82"/>
      <c r="C21" s="99"/>
      <c r="D21" s="82"/>
      <c r="E21" s="192"/>
      <c r="F21" s="218"/>
    </row>
    <row r="22" spans="1:6" x14ac:dyDescent="0.2">
      <c r="A22" s="77"/>
      <c r="B22" s="77"/>
      <c r="C22" s="77"/>
      <c r="D22" s="77"/>
      <c r="E22" s="77"/>
      <c r="F22" s="77"/>
    </row>
    <row r="23" spans="1:6" ht="18" customHeight="1" x14ac:dyDescent="0.2">
      <c r="A23" s="26" t="s">
        <v>100</v>
      </c>
      <c r="B23" s="152" t="s">
        <v>99</v>
      </c>
      <c r="C23" s="152"/>
      <c r="D23" s="152" t="s">
        <v>98</v>
      </c>
      <c r="E23" s="152"/>
      <c r="F23" s="152"/>
    </row>
  </sheetData>
  <mergeCells count="4">
    <mergeCell ref="A4:A5"/>
    <mergeCell ref="F4:F5"/>
    <mergeCell ref="D23:F23"/>
    <mergeCell ref="B23:C23"/>
  </mergeCells>
  <pageMargins left="0.74803149606299213" right="0" top="0.59055118110236227" bottom="0" header="0.51181102362204722" footer="0.51181102362204722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workbookViewId="0"/>
  </sheetViews>
  <sheetFormatPr defaultRowHeight="14.25" x14ac:dyDescent="0.2"/>
  <cols>
    <col min="1" max="1" width="18.5" bestFit="1" customWidth="1"/>
    <col min="2" max="2" width="23.125" bestFit="1" customWidth="1"/>
    <col min="3" max="3" width="16" bestFit="1" customWidth="1"/>
    <col min="4" max="4" width="18.375" customWidth="1"/>
    <col min="5" max="5" width="16.5" bestFit="1" customWidth="1"/>
    <col min="6" max="6" width="26.875" bestFit="1" customWidth="1"/>
  </cols>
  <sheetData>
    <row r="1" spans="1:6" ht="21.75" x14ac:dyDescent="0.5">
      <c r="A1" s="28" t="s">
        <v>334</v>
      </c>
    </row>
    <row r="2" spans="1:6" ht="21.75" x14ac:dyDescent="0.5">
      <c r="A2" s="28" t="s">
        <v>335</v>
      </c>
    </row>
    <row r="4" spans="1:6" ht="21.75" x14ac:dyDescent="0.2">
      <c r="A4" s="169" t="s">
        <v>140</v>
      </c>
      <c r="B4" s="90" t="s">
        <v>139</v>
      </c>
      <c r="C4" s="91" t="s">
        <v>138</v>
      </c>
      <c r="D4" s="90" t="s">
        <v>137</v>
      </c>
      <c r="E4" s="183" t="s">
        <v>136</v>
      </c>
      <c r="F4" s="169" t="s">
        <v>135</v>
      </c>
    </row>
    <row r="5" spans="1:6" ht="21.75" x14ac:dyDescent="0.2">
      <c r="A5" s="178"/>
      <c r="B5" s="89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21" t="s">
        <v>130</v>
      </c>
      <c r="B6" s="223">
        <v>6199</v>
      </c>
      <c r="C6" s="224">
        <v>1276</v>
      </c>
      <c r="D6" s="223">
        <v>789.09299999999996</v>
      </c>
      <c r="E6" s="225">
        <v>618.41</v>
      </c>
      <c r="F6" s="222" t="s">
        <v>129</v>
      </c>
    </row>
    <row r="7" spans="1:6" ht="19.5" x14ac:dyDescent="0.45">
      <c r="A7" s="185" t="s">
        <v>128</v>
      </c>
      <c r="B7" s="197">
        <v>735</v>
      </c>
      <c r="C7" s="188">
        <v>301</v>
      </c>
      <c r="D7" s="197">
        <v>1891.2</v>
      </c>
      <c r="E7" s="202">
        <v>6283.06</v>
      </c>
      <c r="F7" s="209" t="s">
        <v>127</v>
      </c>
    </row>
    <row r="8" spans="1:6" ht="19.5" x14ac:dyDescent="0.45">
      <c r="A8" s="185" t="s">
        <v>126</v>
      </c>
      <c r="B8" s="197">
        <v>2020</v>
      </c>
      <c r="C8" s="188">
        <v>8</v>
      </c>
      <c r="D8" s="197">
        <v>3.2</v>
      </c>
      <c r="E8" s="202">
        <v>400</v>
      </c>
      <c r="F8" s="209" t="s">
        <v>125</v>
      </c>
    </row>
    <row r="9" spans="1:6" ht="19.5" x14ac:dyDescent="0.45">
      <c r="A9" s="185" t="s">
        <v>124</v>
      </c>
      <c r="B9" s="197">
        <v>1542</v>
      </c>
      <c r="C9" s="188">
        <v>191</v>
      </c>
      <c r="D9" s="197">
        <v>129.5</v>
      </c>
      <c r="E9" s="202">
        <v>678.01</v>
      </c>
      <c r="F9" s="209" t="s">
        <v>123</v>
      </c>
    </row>
    <row r="10" spans="1:6" ht="19.5" x14ac:dyDescent="0.45">
      <c r="A10" s="185" t="s">
        <v>122</v>
      </c>
      <c r="B10" s="197">
        <v>22730</v>
      </c>
      <c r="C10" s="188">
        <v>10</v>
      </c>
      <c r="D10" s="197">
        <v>10</v>
      </c>
      <c r="E10" s="202">
        <v>1000</v>
      </c>
      <c r="F10" s="209" t="s">
        <v>121</v>
      </c>
    </row>
    <row r="11" spans="1:6" ht="19.5" x14ac:dyDescent="0.45">
      <c r="A11" s="185" t="s">
        <v>120</v>
      </c>
      <c r="B11" s="197">
        <v>659</v>
      </c>
      <c r="C11" s="188">
        <v>106</v>
      </c>
      <c r="D11" s="197">
        <v>111.592</v>
      </c>
      <c r="E11" s="202">
        <v>1052.75</v>
      </c>
      <c r="F11" s="209" t="s">
        <v>119</v>
      </c>
    </row>
    <row r="12" spans="1:6" ht="19.5" x14ac:dyDescent="0.45">
      <c r="A12" s="185" t="s">
        <v>118</v>
      </c>
      <c r="B12" s="197">
        <v>32235.5</v>
      </c>
      <c r="C12" s="188">
        <v>4578</v>
      </c>
      <c r="D12" s="197">
        <v>3339.4250000000002</v>
      </c>
      <c r="E12" s="202">
        <v>729.45</v>
      </c>
      <c r="F12" s="209" t="s">
        <v>117</v>
      </c>
    </row>
    <row r="13" spans="1:6" ht="19.5" x14ac:dyDescent="0.45">
      <c r="A13" s="185" t="s">
        <v>116</v>
      </c>
      <c r="B13" s="197">
        <v>5860</v>
      </c>
      <c r="C13" s="188">
        <v>979</v>
      </c>
      <c r="D13" s="197">
        <v>1809.55</v>
      </c>
      <c r="E13" s="202">
        <v>1848.37</v>
      </c>
      <c r="F13" s="209" t="s">
        <v>115</v>
      </c>
    </row>
    <row r="14" spans="1:6" ht="19.5" x14ac:dyDescent="0.45">
      <c r="A14" s="185" t="s">
        <v>114</v>
      </c>
      <c r="B14" s="197">
        <v>56114.78</v>
      </c>
      <c r="C14" s="188">
        <v>6645.75</v>
      </c>
      <c r="D14" s="197">
        <v>1953.3373999999999</v>
      </c>
      <c r="E14" s="202">
        <v>293.92</v>
      </c>
      <c r="F14" s="209" t="s">
        <v>113</v>
      </c>
    </row>
    <row r="15" spans="1:6" ht="19.5" x14ac:dyDescent="0.45">
      <c r="A15" s="185" t="s">
        <v>112</v>
      </c>
      <c r="B15" s="197">
        <v>1619</v>
      </c>
      <c r="C15" s="188">
        <v>1</v>
      </c>
      <c r="D15" s="197">
        <v>0.9</v>
      </c>
      <c r="E15" s="202">
        <v>900</v>
      </c>
      <c r="F15" s="209" t="s">
        <v>111</v>
      </c>
    </row>
    <row r="16" spans="1:6" ht="19.5" x14ac:dyDescent="0.45">
      <c r="A16" s="185" t="s">
        <v>110</v>
      </c>
      <c r="B16" s="197">
        <v>2415</v>
      </c>
      <c r="C16" s="188">
        <v>1185</v>
      </c>
      <c r="D16" s="197">
        <v>1484.3</v>
      </c>
      <c r="E16" s="202">
        <v>1252.57</v>
      </c>
      <c r="F16" s="209" t="s">
        <v>109</v>
      </c>
    </row>
    <row r="17" spans="1:6" ht="19.5" x14ac:dyDescent="0.45">
      <c r="A17" s="185" t="s">
        <v>108</v>
      </c>
      <c r="B17" s="197">
        <v>2970</v>
      </c>
      <c r="C17" s="188">
        <v>190</v>
      </c>
      <c r="D17" s="197">
        <v>152.5</v>
      </c>
      <c r="E17" s="202">
        <v>802.63</v>
      </c>
      <c r="F17" s="209" t="s">
        <v>107</v>
      </c>
    </row>
    <row r="18" spans="1:6" ht="19.5" x14ac:dyDescent="0.45">
      <c r="A18" s="185" t="s">
        <v>106</v>
      </c>
      <c r="B18" s="197">
        <v>1325</v>
      </c>
      <c r="C18" s="188">
        <v>521</v>
      </c>
      <c r="D18" s="197">
        <v>130.08000000000001</v>
      </c>
      <c r="E18" s="202">
        <v>249.67</v>
      </c>
      <c r="F18" s="209" t="s">
        <v>105</v>
      </c>
    </row>
    <row r="19" spans="1:6" ht="19.5" x14ac:dyDescent="0.45">
      <c r="A19" s="185" t="s">
        <v>104</v>
      </c>
      <c r="B19" s="197">
        <v>301</v>
      </c>
      <c r="C19" s="188">
        <v>66</v>
      </c>
      <c r="D19" s="197">
        <v>130.94999999999999</v>
      </c>
      <c r="E19" s="202">
        <v>1984.09</v>
      </c>
      <c r="F19" s="209" t="s">
        <v>103</v>
      </c>
    </row>
    <row r="20" spans="1:6" ht="19.5" x14ac:dyDescent="0.45">
      <c r="A20" s="185" t="s">
        <v>102</v>
      </c>
      <c r="B20" s="197">
        <v>259</v>
      </c>
      <c r="C20" s="188" t="s">
        <v>143</v>
      </c>
      <c r="D20" s="197" t="s">
        <v>143</v>
      </c>
      <c r="E20" s="202" t="s">
        <v>143</v>
      </c>
      <c r="F20" s="209" t="s">
        <v>101</v>
      </c>
    </row>
    <row r="21" spans="1:6" ht="19.5" x14ac:dyDescent="0.45">
      <c r="A21" s="186"/>
      <c r="B21" s="82"/>
      <c r="C21" s="99"/>
      <c r="D21" s="82"/>
      <c r="E21" s="192"/>
      <c r="F21" s="218"/>
    </row>
    <row r="22" spans="1:6" x14ac:dyDescent="0.2">
      <c r="A22" s="77"/>
      <c r="B22" s="77"/>
      <c r="C22" s="77"/>
      <c r="D22" s="77"/>
      <c r="E22" s="77"/>
      <c r="F22" s="77"/>
    </row>
    <row r="23" spans="1:6" ht="65.25" customHeight="1" x14ac:dyDescent="0.2">
      <c r="A23" s="26" t="s">
        <v>100</v>
      </c>
      <c r="B23" s="70" t="s">
        <v>99</v>
      </c>
      <c r="C23" s="26" t="s">
        <v>142</v>
      </c>
      <c r="D23" s="152" t="s">
        <v>141</v>
      </c>
      <c r="E23" s="152"/>
      <c r="F23" s="152"/>
    </row>
  </sheetData>
  <mergeCells count="3">
    <mergeCell ref="A4:A5"/>
    <mergeCell ref="F4:F5"/>
    <mergeCell ref="D23:F23"/>
  </mergeCells>
  <pageMargins left="0.55118110236220474" right="0" top="0.59055118110236227" bottom="0" header="0.51181102362204722" footer="0.51181102362204722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"/>
  <sheetViews>
    <sheetView showGridLines="0" zoomScale="148" zoomScaleNormal="148" workbookViewId="0">
      <selection activeCell="B1" sqref="B1"/>
    </sheetView>
  </sheetViews>
  <sheetFormatPr defaultColWidth="8" defaultRowHeight="21.75" x14ac:dyDescent="0.5"/>
  <cols>
    <col min="1" max="1" width="1.625" style="2" customWidth="1"/>
    <col min="2" max="2" width="5.375" style="2" customWidth="1"/>
    <col min="3" max="3" width="7.625" style="2" customWidth="1"/>
    <col min="4" max="4" width="5" style="2" customWidth="1"/>
    <col min="5" max="5" width="11.625" style="2" customWidth="1"/>
    <col min="6" max="6" width="10.375" style="2" customWidth="1"/>
    <col min="7" max="7" width="9.125" style="2" customWidth="1"/>
    <col min="8" max="8" width="10.125" style="2" customWidth="1"/>
    <col min="9" max="9" width="9.125" style="2" customWidth="1"/>
    <col min="10" max="10" width="7.25" style="2" customWidth="1"/>
    <col min="11" max="11" width="11.125" style="2" customWidth="1"/>
    <col min="12" max="14" width="9.125" style="2" customWidth="1"/>
    <col min="15" max="15" width="1.25" style="2" customWidth="1"/>
    <col min="16" max="16" width="24.25" style="2" customWidth="1"/>
    <col min="17" max="17" width="2" style="2" customWidth="1"/>
    <col min="18" max="18" width="3.625" style="2" customWidth="1"/>
    <col min="19" max="16384" width="8" style="2"/>
  </cols>
  <sheetData>
    <row r="1" spans="1:16" s="22" customFormat="1" ht="24" customHeight="1" x14ac:dyDescent="0.5">
      <c r="B1" s="22" t="s">
        <v>97</v>
      </c>
      <c r="C1" s="23">
        <v>11.9</v>
      </c>
      <c r="D1" s="22" t="s">
        <v>318</v>
      </c>
      <c r="O1" s="2"/>
      <c r="P1" s="2"/>
    </row>
    <row r="2" spans="1:16" s="21" customFormat="1" x14ac:dyDescent="0.5">
      <c r="B2" s="22" t="s">
        <v>95</v>
      </c>
      <c r="C2" s="23">
        <v>11.9</v>
      </c>
      <c r="D2" s="22" t="s">
        <v>319</v>
      </c>
      <c r="E2" s="22"/>
      <c r="O2" s="9"/>
      <c r="P2" s="9"/>
    </row>
    <row r="3" spans="1:16" ht="9" customHeight="1" x14ac:dyDescent="0.5"/>
    <row r="4" spans="1:16" s="3" customFormat="1" ht="24" customHeight="1" x14ac:dyDescent="0.45">
      <c r="A4" s="148" t="s">
        <v>49</v>
      </c>
      <c r="B4" s="144"/>
      <c r="C4" s="144"/>
      <c r="D4" s="144"/>
      <c r="E4" s="114" t="s">
        <v>321</v>
      </c>
      <c r="F4" s="114" t="s">
        <v>48</v>
      </c>
      <c r="G4" s="121" t="s">
        <v>47</v>
      </c>
      <c r="H4" s="121" t="s">
        <v>46</v>
      </c>
      <c r="I4" s="121" t="s">
        <v>45</v>
      </c>
      <c r="J4" s="121" t="s">
        <v>44</v>
      </c>
      <c r="K4" s="114" t="s">
        <v>43</v>
      </c>
      <c r="L4" s="120" t="s">
        <v>42</v>
      </c>
      <c r="M4" s="120" t="s">
        <v>41</v>
      </c>
      <c r="N4" s="119" t="s">
        <v>40</v>
      </c>
      <c r="O4" s="148" t="s">
        <v>39</v>
      </c>
      <c r="P4" s="144"/>
    </row>
    <row r="5" spans="1:16" s="131" customFormat="1" ht="24" customHeight="1" x14ac:dyDescent="0.45">
      <c r="A5" s="170"/>
      <c r="B5" s="171"/>
      <c r="C5" s="171"/>
      <c r="D5" s="171"/>
      <c r="E5" s="134" t="s">
        <v>92</v>
      </c>
      <c r="F5" s="134" t="s">
        <v>38</v>
      </c>
      <c r="G5" s="136" t="s">
        <v>37</v>
      </c>
      <c r="H5" s="136" t="s">
        <v>36</v>
      </c>
      <c r="I5" s="136" t="s">
        <v>35</v>
      </c>
      <c r="J5" s="136" t="s">
        <v>34</v>
      </c>
      <c r="K5" s="134" t="s">
        <v>33</v>
      </c>
      <c r="L5" s="137" t="s">
        <v>32</v>
      </c>
      <c r="M5" s="137" t="s">
        <v>31</v>
      </c>
      <c r="N5" s="130" t="s">
        <v>30</v>
      </c>
      <c r="O5" s="170"/>
      <c r="P5" s="171"/>
    </row>
    <row r="6" spans="1:16" s="7" customFormat="1" ht="18.75" customHeight="1" x14ac:dyDescent="0.45">
      <c r="A6" s="132"/>
      <c r="B6" s="133"/>
      <c r="C6" s="133"/>
      <c r="D6" s="133"/>
      <c r="E6" s="135" t="s">
        <v>320</v>
      </c>
      <c r="F6" s="105"/>
      <c r="G6" s="11"/>
      <c r="H6" s="11"/>
      <c r="I6" s="11"/>
      <c r="J6" s="11"/>
      <c r="K6" s="105"/>
      <c r="L6" s="12"/>
      <c r="M6" s="12"/>
      <c r="N6" s="10"/>
      <c r="O6" s="132"/>
      <c r="P6" s="133"/>
    </row>
    <row r="7" spans="1:16" s="24" customFormat="1" ht="20.25" customHeight="1" x14ac:dyDescent="0.45">
      <c r="A7" s="69"/>
      <c r="B7" s="151" t="s">
        <v>93</v>
      </c>
      <c r="C7" s="151"/>
      <c r="D7" s="150"/>
      <c r="E7" s="174">
        <v>187710</v>
      </c>
      <c r="F7" s="117">
        <f>SUM(F8:F26)+SUM(F34:F46)</f>
        <v>607534</v>
      </c>
      <c r="G7" s="117">
        <f>SUM(G8:G26)+SUM(G34:G46)</f>
        <v>69943</v>
      </c>
      <c r="H7" s="117">
        <f>SUM(H8:H26)+SUM(H34:H46)</f>
        <v>329803</v>
      </c>
      <c r="I7" s="117">
        <f>SUM(I8:I26)+SUM(I34:I46)</f>
        <v>107021</v>
      </c>
      <c r="J7" s="108">
        <v>0</v>
      </c>
      <c r="K7" s="117">
        <f>SUM(K8:K26)+SUM(K34:K46)</f>
        <v>22666263</v>
      </c>
      <c r="L7" s="117">
        <f>SUM(L8:L26)+SUM(L34:L46)</f>
        <v>915041</v>
      </c>
      <c r="M7" s="117">
        <f>SUM(M8:M26)+SUM(M34:M46)</f>
        <v>3751</v>
      </c>
      <c r="N7" s="117">
        <f>SUM(N8:N26)+SUM(N34:N46)</f>
        <v>83427</v>
      </c>
      <c r="O7" s="16">
        <v>105791</v>
      </c>
      <c r="P7" s="69" t="s">
        <v>92</v>
      </c>
    </row>
    <row r="8" spans="1:16" s="24" customFormat="1" ht="18" customHeight="1" x14ac:dyDescent="0.45">
      <c r="A8" s="25" t="s">
        <v>91</v>
      </c>
      <c r="B8" s="9"/>
      <c r="C8" s="69"/>
      <c r="D8" s="69"/>
      <c r="E8" s="175" t="s">
        <v>143</v>
      </c>
      <c r="F8" s="108">
        <f>12164+4894</f>
        <v>17058</v>
      </c>
      <c r="G8" s="108">
        <v>2001</v>
      </c>
      <c r="H8" s="108">
        <v>5683</v>
      </c>
      <c r="I8" s="108">
        <v>2227</v>
      </c>
      <c r="J8" s="108">
        <v>0</v>
      </c>
      <c r="K8" s="108">
        <v>279878</v>
      </c>
      <c r="L8" s="108">
        <v>56269</v>
      </c>
      <c r="M8" s="117">
        <v>149</v>
      </c>
      <c r="N8" s="108">
        <v>15740</v>
      </c>
      <c r="P8" s="25" t="s">
        <v>90</v>
      </c>
    </row>
    <row r="9" spans="1:16" s="24" customFormat="1" ht="18" customHeight="1" x14ac:dyDescent="0.45">
      <c r="A9" s="25" t="s">
        <v>89</v>
      </c>
      <c r="B9" s="9"/>
      <c r="C9" s="69"/>
      <c r="D9" s="69"/>
      <c r="E9" s="175" t="s">
        <v>143</v>
      </c>
      <c r="F9" s="108">
        <f>7311+2105</f>
        <v>9416</v>
      </c>
      <c r="G9" s="108">
        <v>4225</v>
      </c>
      <c r="H9" s="108">
        <v>16781</v>
      </c>
      <c r="I9" s="108">
        <v>3339</v>
      </c>
      <c r="J9" s="108">
        <v>0</v>
      </c>
      <c r="K9" s="108">
        <v>1522276</v>
      </c>
      <c r="L9" s="108">
        <v>86393</v>
      </c>
      <c r="M9" s="108">
        <v>98</v>
      </c>
      <c r="N9" s="108">
        <v>536</v>
      </c>
      <c r="P9" s="25" t="s">
        <v>88</v>
      </c>
    </row>
    <row r="10" spans="1:16" s="24" customFormat="1" ht="18" customHeight="1" x14ac:dyDescent="0.45">
      <c r="A10" s="25" t="s">
        <v>87</v>
      </c>
      <c r="B10" s="9"/>
      <c r="C10" s="69"/>
      <c r="D10" s="69"/>
      <c r="E10" s="175" t="s">
        <v>143</v>
      </c>
      <c r="F10" s="108">
        <f>4513+3082</f>
        <v>7595</v>
      </c>
      <c r="G10" s="108">
        <v>792</v>
      </c>
      <c r="H10" s="108">
        <v>3890</v>
      </c>
      <c r="I10" s="108">
        <v>1356</v>
      </c>
      <c r="J10" s="108">
        <v>0</v>
      </c>
      <c r="K10" s="108">
        <v>203910</v>
      </c>
      <c r="L10" s="108">
        <v>16183</v>
      </c>
      <c r="M10" s="108">
        <v>40</v>
      </c>
      <c r="N10" s="108">
        <v>700</v>
      </c>
      <c r="P10" s="25" t="s">
        <v>86</v>
      </c>
    </row>
    <row r="11" spans="1:16" s="24" customFormat="1" ht="18" customHeight="1" x14ac:dyDescent="0.45">
      <c r="A11" s="25" t="s">
        <v>85</v>
      </c>
      <c r="B11" s="9"/>
      <c r="C11" s="69"/>
      <c r="D11" s="69"/>
      <c r="E11" s="175" t="s">
        <v>143</v>
      </c>
      <c r="F11" s="108">
        <f>24633+372</f>
        <v>25005</v>
      </c>
      <c r="G11" s="108">
        <v>10701</v>
      </c>
      <c r="H11" s="108">
        <v>9654</v>
      </c>
      <c r="I11" s="108">
        <v>1997</v>
      </c>
      <c r="J11" s="108">
        <v>0</v>
      </c>
      <c r="K11" s="108">
        <v>660505</v>
      </c>
      <c r="L11" s="108">
        <v>16899</v>
      </c>
      <c r="M11" s="108">
        <v>7</v>
      </c>
      <c r="N11" s="108">
        <v>2180</v>
      </c>
      <c r="P11" s="25" t="s">
        <v>84</v>
      </c>
    </row>
    <row r="12" spans="1:16" s="24" customFormat="1" ht="18" customHeight="1" x14ac:dyDescent="0.45">
      <c r="A12" s="25" t="s">
        <v>83</v>
      </c>
      <c r="B12" s="9"/>
      <c r="C12" s="69"/>
      <c r="D12" s="69"/>
      <c r="E12" s="175" t="s">
        <v>143</v>
      </c>
      <c r="F12" s="108">
        <f>4501+2</f>
        <v>4503</v>
      </c>
      <c r="G12" s="108">
        <v>1844</v>
      </c>
      <c r="H12" s="108">
        <v>480</v>
      </c>
      <c r="I12" s="108">
        <v>0</v>
      </c>
      <c r="J12" s="108">
        <v>0</v>
      </c>
      <c r="K12" s="108">
        <v>53077</v>
      </c>
      <c r="L12" s="116">
        <v>2979</v>
      </c>
      <c r="M12" s="108">
        <v>0</v>
      </c>
      <c r="N12" s="108">
        <v>0</v>
      </c>
      <c r="P12" s="25" t="s">
        <v>82</v>
      </c>
    </row>
    <row r="13" spans="1:16" s="24" customFormat="1" ht="18" customHeight="1" x14ac:dyDescent="0.45">
      <c r="A13" s="25" t="s">
        <v>81</v>
      </c>
      <c r="B13" s="9"/>
      <c r="C13" s="69"/>
      <c r="D13" s="69"/>
      <c r="E13" s="175" t="s">
        <v>143</v>
      </c>
      <c r="F13" s="108">
        <f>21183+118</f>
        <v>21301</v>
      </c>
      <c r="G13" s="108">
        <v>754</v>
      </c>
      <c r="H13" s="108">
        <v>16349</v>
      </c>
      <c r="I13" s="108">
        <v>816</v>
      </c>
      <c r="J13" s="108">
        <v>0</v>
      </c>
      <c r="K13" s="108">
        <v>230109</v>
      </c>
      <c r="L13" s="108">
        <v>8475</v>
      </c>
      <c r="M13" s="108">
        <v>0</v>
      </c>
      <c r="N13" s="108">
        <v>159</v>
      </c>
      <c r="P13" s="25" t="s">
        <v>80</v>
      </c>
    </row>
    <row r="14" spans="1:16" s="24" customFormat="1" ht="18" customHeight="1" x14ac:dyDescent="0.45">
      <c r="A14" s="25" t="s">
        <v>79</v>
      </c>
      <c r="B14" s="9"/>
      <c r="C14" s="69"/>
      <c r="D14" s="69"/>
      <c r="E14" s="175" t="s">
        <v>143</v>
      </c>
      <c r="F14" s="108">
        <f>3447+37</f>
        <v>3484</v>
      </c>
      <c r="G14" s="108">
        <v>1671</v>
      </c>
      <c r="H14" s="108">
        <v>11027</v>
      </c>
      <c r="I14" s="108">
        <v>2282</v>
      </c>
      <c r="J14" s="108">
        <v>0</v>
      </c>
      <c r="K14" s="108">
        <v>1439467</v>
      </c>
      <c r="L14" s="108">
        <v>97798</v>
      </c>
      <c r="M14" s="108">
        <v>0</v>
      </c>
      <c r="N14" s="108">
        <v>3</v>
      </c>
      <c r="P14" s="25" t="s">
        <v>78</v>
      </c>
    </row>
    <row r="15" spans="1:16" s="24" customFormat="1" ht="18" customHeight="1" x14ac:dyDescent="0.45">
      <c r="A15" s="25" t="s">
        <v>77</v>
      </c>
      <c r="B15" s="9"/>
      <c r="C15" s="69"/>
      <c r="D15" s="69"/>
      <c r="E15" s="175" t="s">
        <v>143</v>
      </c>
      <c r="F15" s="108">
        <f>42850+2534</f>
        <v>45384</v>
      </c>
      <c r="G15" s="108">
        <v>1997</v>
      </c>
      <c r="H15" s="108">
        <v>18624</v>
      </c>
      <c r="I15" s="108">
        <v>18767</v>
      </c>
      <c r="J15" s="108">
        <v>0</v>
      </c>
      <c r="K15" s="108">
        <v>1802322</v>
      </c>
      <c r="L15" s="108">
        <v>39322</v>
      </c>
      <c r="M15" s="108">
        <v>374</v>
      </c>
      <c r="N15" s="108">
        <v>42575</v>
      </c>
      <c r="P15" s="25" t="s">
        <v>76</v>
      </c>
    </row>
    <row r="16" spans="1:16" s="24" customFormat="1" ht="18" customHeight="1" x14ac:dyDescent="0.45">
      <c r="A16" s="25" t="s">
        <v>75</v>
      </c>
      <c r="B16" s="9"/>
      <c r="C16" s="69"/>
      <c r="D16" s="69"/>
      <c r="E16" s="175" t="s">
        <v>143</v>
      </c>
      <c r="F16" s="108">
        <f>14053+54</f>
        <v>14107</v>
      </c>
      <c r="G16" s="108">
        <v>2052</v>
      </c>
      <c r="H16" s="108">
        <v>19651</v>
      </c>
      <c r="I16" s="108">
        <v>3234</v>
      </c>
      <c r="J16" s="108">
        <v>0</v>
      </c>
      <c r="K16" s="108">
        <v>598859</v>
      </c>
      <c r="L16" s="108">
        <v>133754</v>
      </c>
      <c r="M16" s="108">
        <v>332</v>
      </c>
      <c r="N16" s="108">
        <v>54</v>
      </c>
      <c r="P16" s="25" t="s">
        <v>74</v>
      </c>
    </row>
    <row r="17" spans="1:18" s="24" customFormat="1" ht="18" customHeight="1" x14ac:dyDescent="0.45">
      <c r="A17" s="25" t="s">
        <v>73</v>
      </c>
      <c r="B17" s="9"/>
      <c r="C17" s="69"/>
      <c r="D17" s="69"/>
      <c r="E17" s="175" t="s">
        <v>143</v>
      </c>
      <c r="F17" s="108">
        <f>17284+267</f>
        <v>17551</v>
      </c>
      <c r="G17" s="108">
        <v>1604</v>
      </c>
      <c r="H17" s="108">
        <v>2695</v>
      </c>
      <c r="I17" s="108">
        <v>2839</v>
      </c>
      <c r="J17" s="108">
        <v>0</v>
      </c>
      <c r="K17" s="108">
        <v>180984</v>
      </c>
      <c r="L17" s="108">
        <v>22042</v>
      </c>
      <c r="M17" s="108">
        <v>18</v>
      </c>
      <c r="N17" s="108">
        <v>308</v>
      </c>
      <c r="P17" s="25" t="s">
        <v>72</v>
      </c>
    </row>
    <row r="18" spans="1:18" s="24" customFormat="1" ht="18" customHeight="1" x14ac:dyDescent="0.45">
      <c r="A18" s="25" t="s">
        <v>71</v>
      </c>
      <c r="B18" s="9"/>
      <c r="C18" s="69"/>
      <c r="D18" s="69"/>
      <c r="E18" s="175" t="s">
        <v>143</v>
      </c>
      <c r="F18" s="108">
        <f>10800+946</f>
        <v>11746</v>
      </c>
      <c r="G18" s="108">
        <v>447</v>
      </c>
      <c r="H18" s="108">
        <v>980</v>
      </c>
      <c r="I18" s="108">
        <v>1413</v>
      </c>
      <c r="J18" s="108">
        <v>0</v>
      </c>
      <c r="K18" s="108">
        <v>322778</v>
      </c>
      <c r="L18" s="108">
        <v>2469</v>
      </c>
      <c r="M18" s="108">
        <v>27</v>
      </c>
      <c r="N18" s="108">
        <v>1</v>
      </c>
      <c r="P18" s="25" t="s">
        <v>70</v>
      </c>
    </row>
    <row r="19" spans="1:18" s="24" customFormat="1" ht="18" customHeight="1" x14ac:dyDescent="0.45">
      <c r="A19" s="25" t="s">
        <v>69</v>
      </c>
      <c r="B19" s="9"/>
      <c r="C19" s="69"/>
      <c r="D19" s="69"/>
      <c r="E19" s="175" t="s">
        <v>143</v>
      </c>
      <c r="F19" s="108">
        <f>23093+1</f>
        <v>23094</v>
      </c>
      <c r="G19" s="108">
        <v>7987</v>
      </c>
      <c r="H19" s="108">
        <v>6410</v>
      </c>
      <c r="I19" s="108">
        <v>854</v>
      </c>
      <c r="J19" s="108">
        <v>0</v>
      </c>
      <c r="K19" s="108">
        <v>214550</v>
      </c>
      <c r="L19" s="116">
        <v>24682</v>
      </c>
      <c r="M19" s="108">
        <v>3</v>
      </c>
      <c r="N19" s="108">
        <v>212</v>
      </c>
      <c r="P19" s="25" t="s">
        <v>68</v>
      </c>
    </row>
    <row r="20" spans="1:18" s="24" customFormat="1" ht="18" customHeight="1" x14ac:dyDescent="0.45">
      <c r="A20" s="25" t="s">
        <v>67</v>
      </c>
      <c r="B20" s="9"/>
      <c r="C20" s="69"/>
      <c r="D20" s="69"/>
      <c r="E20" s="175" t="s">
        <v>143</v>
      </c>
      <c r="F20" s="108">
        <f>33223</f>
        <v>33223</v>
      </c>
      <c r="G20" s="108">
        <v>4131</v>
      </c>
      <c r="H20" s="108">
        <v>8222</v>
      </c>
      <c r="I20" s="108">
        <v>1039</v>
      </c>
      <c r="J20" s="108">
        <v>0</v>
      </c>
      <c r="K20" s="108">
        <v>185540</v>
      </c>
      <c r="L20" s="108">
        <v>23675</v>
      </c>
      <c r="M20" s="108">
        <v>0</v>
      </c>
      <c r="N20" s="108">
        <v>109</v>
      </c>
      <c r="P20" s="25" t="s">
        <v>66</v>
      </c>
    </row>
    <row r="21" spans="1:18" s="24" customFormat="1" ht="18" customHeight="1" x14ac:dyDescent="0.45">
      <c r="A21" s="25" t="s">
        <v>65</v>
      </c>
      <c r="B21" s="9"/>
      <c r="C21" s="69"/>
      <c r="D21" s="69"/>
      <c r="E21" s="175" t="s">
        <v>143</v>
      </c>
      <c r="F21" s="108">
        <f>8512+5866</f>
        <v>14378</v>
      </c>
      <c r="G21" s="108">
        <v>2453</v>
      </c>
      <c r="H21" s="108">
        <v>15724</v>
      </c>
      <c r="I21" s="108">
        <v>5399</v>
      </c>
      <c r="J21" s="108">
        <v>0</v>
      </c>
      <c r="K21" s="108">
        <v>1037421</v>
      </c>
      <c r="L21" s="108">
        <v>33334</v>
      </c>
      <c r="M21" s="108">
        <v>376</v>
      </c>
      <c r="N21" s="108">
        <v>1150</v>
      </c>
      <c r="P21" s="25" t="s">
        <v>64</v>
      </c>
    </row>
    <row r="22" spans="1:18" s="24" customFormat="1" ht="18" customHeight="1" x14ac:dyDescent="0.45">
      <c r="A22" s="25" t="s">
        <v>63</v>
      </c>
      <c r="B22" s="9"/>
      <c r="C22" s="69"/>
      <c r="D22" s="69"/>
      <c r="E22" s="175" t="s">
        <v>143</v>
      </c>
      <c r="F22" s="108">
        <f>23481+7260</f>
        <v>30741</v>
      </c>
      <c r="G22" s="108">
        <v>1031</v>
      </c>
      <c r="H22" s="108">
        <v>2279</v>
      </c>
      <c r="I22" s="108">
        <v>967</v>
      </c>
      <c r="J22" s="108">
        <v>0</v>
      </c>
      <c r="K22" s="108">
        <v>179950</v>
      </c>
      <c r="L22" s="108">
        <v>120313</v>
      </c>
      <c r="M22" s="108">
        <v>34</v>
      </c>
      <c r="N22" s="108">
        <v>2</v>
      </c>
      <c r="P22" s="25" t="s">
        <v>62</v>
      </c>
    </row>
    <row r="23" spans="1:18" s="24" customFormat="1" ht="18" customHeight="1" x14ac:dyDescent="0.45">
      <c r="A23" s="25" t="s">
        <v>61</v>
      </c>
      <c r="B23" s="9"/>
      <c r="C23" s="69"/>
      <c r="D23" s="69"/>
      <c r="E23" s="175" t="s">
        <v>143</v>
      </c>
      <c r="F23" s="108">
        <f>31214+184</f>
        <v>31398</v>
      </c>
      <c r="G23" s="108">
        <v>2304</v>
      </c>
      <c r="H23" s="108">
        <v>19654</v>
      </c>
      <c r="I23" s="108">
        <v>1360</v>
      </c>
      <c r="J23" s="108">
        <v>0</v>
      </c>
      <c r="K23" s="108">
        <v>692143</v>
      </c>
      <c r="L23" s="112">
        <v>19473</v>
      </c>
      <c r="M23" s="108">
        <v>65</v>
      </c>
      <c r="N23" s="108">
        <v>398</v>
      </c>
      <c r="P23" s="25" t="s">
        <v>60</v>
      </c>
    </row>
    <row r="24" spans="1:18" s="24" customFormat="1" ht="18" customHeight="1" x14ac:dyDescent="0.45">
      <c r="A24" s="25" t="s">
        <v>59</v>
      </c>
      <c r="B24" s="9"/>
      <c r="C24" s="69"/>
      <c r="D24" s="69"/>
      <c r="E24" s="175" t="s">
        <v>143</v>
      </c>
      <c r="F24" s="108">
        <f>24187+3137</f>
        <v>27324</v>
      </c>
      <c r="G24" s="108">
        <v>2802</v>
      </c>
      <c r="H24" s="108">
        <v>6523</v>
      </c>
      <c r="I24" s="108">
        <v>971</v>
      </c>
      <c r="J24" s="108">
        <v>0</v>
      </c>
      <c r="K24" s="108">
        <v>921548</v>
      </c>
      <c r="L24" s="112">
        <v>32436</v>
      </c>
      <c r="M24" s="108">
        <v>4</v>
      </c>
      <c r="N24" s="108">
        <v>1081</v>
      </c>
      <c r="P24" s="25" t="s">
        <v>58</v>
      </c>
    </row>
    <row r="25" spans="1:18" s="24" customFormat="1" ht="18" customHeight="1" x14ac:dyDescent="0.45">
      <c r="A25" s="25" t="s">
        <v>57</v>
      </c>
      <c r="B25" s="9"/>
      <c r="C25" s="69"/>
      <c r="D25" s="69"/>
      <c r="E25" s="175" t="s">
        <v>143</v>
      </c>
      <c r="F25" s="108">
        <f>14493+8798</f>
        <v>23291</v>
      </c>
      <c r="G25" s="108">
        <v>1718</v>
      </c>
      <c r="H25" s="108">
        <v>4811</v>
      </c>
      <c r="I25" s="108">
        <v>5348</v>
      </c>
      <c r="J25" s="108">
        <v>0</v>
      </c>
      <c r="K25" s="108">
        <v>6339634</v>
      </c>
      <c r="L25" s="108">
        <v>14834</v>
      </c>
      <c r="M25" s="108">
        <v>234</v>
      </c>
      <c r="N25" s="108">
        <v>550</v>
      </c>
      <c r="P25" s="25" t="s">
        <v>56</v>
      </c>
    </row>
    <row r="26" spans="1:18" s="24" customFormat="1" ht="18" customHeight="1" x14ac:dyDescent="0.45">
      <c r="A26" s="25" t="s">
        <v>55</v>
      </c>
      <c r="B26" s="9"/>
      <c r="C26" s="69"/>
      <c r="D26" s="69"/>
      <c r="E26" s="175" t="s">
        <v>143</v>
      </c>
      <c r="F26" s="108">
        <f>10637+2299</f>
        <v>12936</v>
      </c>
      <c r="G26" s="108">
        <v>354</v>
      </c>
      <c r="H26" s="108">
        <v>1778</v>
      </c>
      <c r="I26" s="108">
        <v>1167</v>
      </c>
      <c r="J26" s="108">
        <v>0</v>
      </c>
      <c r="K26" s="108">
        <v>115120</v>
      </c>
      <c r="L26" s="108">
        <v>61616</v>
      </c>
      <c r="M26" s="108">
        <v>87</v>
      </c>
      <c r="N26" s="108">
        <v>0</v>
      </c>
      <c r="P26" s="25" t="s">
        <v>54</v>
      </c>
    </row>
    <row r="27" spans="1:18" s="24" customFormat="1" ht="18" customHeight="1" x14ac:dyDescent="0.45">
      <c r="A27" s="25"/>
      <c r="B27" s="9"/>
      <c r="C27" s="69"/>
      <c r="D27" s="69"/>
      <c r="E27" s="122"/>
      <c r="F27" s="115"/>
      <c r="J27" s="115"/>
      <c r="K27" s="115"/>
      <c r="L27" s="115"/>
      <c r="P27" s="25"/>
    </row>
    <row r="28" spans="1:18" s="24" customFormat="1" ht="18" customHeight="1" x14ac:dyDescent="0.5">
      <c r="A28" s="22"/>
      <c r="B28" s="22" t="s">
        <v>53</v>
      </c>
      <c r="C28" s="23"/>
      <c r="D28" s="22" t="s">
        <v>322</v>
      </c>
      <c r="E28" s="22"/>
      <c r="F28" s="22"/>
      <c r="H28" s="22"/>
      <c r="J28" s="22"/>
      <c r="K28" s="22"/>
      <c r="L28" s="22"/>
      <c r="O28" s="2"/>
      <c r="P28" s="2"/>
      <c r="Q28" s="22"/>
      <c r="R28" s="22"/>
    </row>
    <row r="29" spans="1:18" s="24" customFormat="1" ht="18" customHeight="1" x14ac:dyDescent="0.5">
      <c r="A29" s="21"/>
      <c r="B29" s="22" t="s">
        <v>51</v>
      </c>
      <c r="C29" s="23"/>
      <c r="D29" s="22" t="s">
        <v>323</v>
      </c>
      <c r="E29" s="22"/>
      <c r="F29" s="21"/>
      <c r="H29" s="21"/>
      <c r="J29" s="21"/>
      <c r="K29" s="21"/>
      <c r="L29" s="21"/>
      <c r="O29" s="9"/>
      <c r="P29" s="9"/>
      <c r="Q29" s="21"/>
      <c r="R29" s="21"/>
    </row>
    <row r="30" spans="1:18" s="24" customFormat="1" ht="18" customHeight="1" x14ac:dyDescent="0.5">
      <c r="A30" s="21"/>
      <c r="B30" s="22"/>
      <c r="C30" s="23"/>
      <c r="D30" s="22"/>
      <c r="E30" s="22"/>
      <c r="F30" s="21"/>
      <c r="H30" s="21"/>
      <c r="J30" s="21"/>
      <c r="K30" s="21"/>
      <c r="L30" s="21"/>
      <c r="O30" s="9"/>
      <c r="P30" s="9"/>
      <c r="Q30" s="21"/>
      <c r="R30" s="21"/>
    </row>
    <row r="31" spans="1:18" s="3" customFormat="1" ht="24" customHeight="1" x14ac:dyDescent="0.45">
      <c r="A31" s="148" t="s">
        <v>49</v>
      </c>
      <c r="B31" s="144"/>
      <c r="C31" s="144"/>
      <c r="D31" s="144"/>
      <c r="E31" s="114" t="s">
        <v>321</v>
      </c>
      <c r="F31" s="114" t="s">
        <v>48</v>
      </c>
      <c r="G31" s="121" t="s">
        <v>47</v>
      </c>
      <c r="H31" s="121" t="s">
        <v>46</v>
      </c>
      <c r="I31" s="121" t="s">
        <v>45</v>
      </c>
      <c r="J31" s="121" t="s">
        <v>44</v>
      </c>
      <c r="K31" s="114" t="s">
        <v>43</v>
      </c>
      <c r="L31" s="120" t="s">
        <v>42</v>
      </c>
      <c r="M31" s="120" t="s">
        <v>41</v>
      </c>
      <c r="N31" s="119" t="s">
        <v>40</v>
      </c>
      <c r="O31" s="148" t="s">
        <v>39</v>
      </c>
      <c r="P31" s="144"/>
    </row>
    <row r="32" spans="1:18" s="131" customFormat="1" ht="24" customHeight="1" x14ac:dyDescent="0.45">
      <c r="A32" s="170"/>
      <c r="B32" s="171"/>
      <c r="C32" s="171"/>
      <c r="D32" s="171"/>
      <c r="E32" s="134" t="s">
        <v>92</v>
      </c>
      <c r="F32" s="134" t="s">
        <v>38</v>
      </c>
      <c r="G32" s="136" t="s">
        <v>37</v>
      </c>
      <c r="H32" s="136" t="s">
        <v>36</v>
      </c>
      <c r="I32" s="136" t="s">
        <v>35</v>
      </c>
      <c r="J32" s="136" t="s">
        <v>34</v>
      </c>
      <c r="K32" s="134" t="s">
        <v>33</v>
      </c>
      <c r="L32" s="137" t="s">
        <v>32</v>
      </c>
      <c r="M32" s="137" t="s">
        <v>31</v>
      </c>
      <c r="N32" s="130" t="s">
        <v>30</v>
      </c>
      <c r="O32" s="170"/>
      <c r="P32" s="171"/>
    </row>
    <row r="33" spans="1:26" s="7" customFormat="1" ht="18.75" customHeight="1" x14ac:dyDescent="0.45">
      <c r="A33" s="132"/>
      <c r="B33" s="133"/>
      <c r="C33" s="133"/>
      <c r="D33" s="133"/>
      <c r="E33" s="135" t="s">
        <v>320</v>
      </c>
      <c r="F33" s="105"/>
      <c r="G33" s="11"/>
      <c r="H33" s="11"/>
      <c r="I33" s="11"/>
      <c r="J33" s="11"/>
      <c r="K33" s="105"/>
      <c r="L33" s="12"/>
      <c r="M33" s="12"/>
      <c r="N33" s="10"/>
      <c r="O33" s="132"/>
      <c r="P33" s="133"/>
    </row>
    <row r="34" spans="1:26" s="24" customFormat="1" ht="18" customHeight="1" x14ac:dyDescent="0.45">
      <c r="A34" s="25" t="s">
        <v>29</v>
      </c>
      <c r="B34" s="9"/>
      <c r="C34" s="69"/>
      <c r="D34" s="69"/>
      <c r="E34" s="138"/>
      <c r="F34" s="108">
        <f>17421+11126</f>
        <v>28547</v>
      </c>
      <c r="G34" s="108">
        <v>2380</v>
      </c>
      <c r="H34" s="108">
        <v>5596</v>
      </c>
      <c r="I34" s="108">
        <v>23675</v>
      </c>
      <c r="J34" s="108">
        <v>0</v>
      </c>
      <c r="K34" s="108">
        <v>1938327</v>
      </c>
      <c r="L34" s="112">
        <v>25058</v>
      </c>
      <c r="M34" s="108">
        <v>356</v>
      </c>
      <c r="N34" s="108">
        <v>10</v>
      </c>
      <c r="O34" s="16"/>
      <c r="P34" s="25" t="s">
        <v>28</v>
      </c>
    </row>
    <row r="35" spans="1:26" s="24" customFormat="1" ht="18" customHeight="1" x14ac:dyDescent="0.5">
      <c r="A35" s="25" t="s">
        <v>27</v>
      </c>
      <c r="B35" s="9"/>
      <c r="C35" s="69"/>
      <c r="D35" s="69"/>
      <c r="E35" s="138"/>
      <c r="F35" s="108">
        <f>11817+89591</f>
        <v>101408</v>
      </c>
      <c r="G35" s="108">
        <v>527</v>
      </c>
      <c r="H35" s="108">
        <v>62313</v>
      </c>
      <c r="I35" s="108">
        <v>10123</v>
      </c>
      <c r="J35" s="108">
        <v>0</v>
      </c>
      <c r="K35" s="108">
        <v>913728</v>
      </c>
      <c r="L35" s="108">
        <v>11025</v>
      </c>
      <c r="M35" s="108">
        <v>930</v>
      </c>
      <c r="N35" s="108">
        <v>11970</v>
      </c>
      <c r="O35" s="16"/>
      <c r="P35" s="25" t="s">
        <v>26</v>
      </c>
      <c r="U35" s="22"/>
    </row>
    <row r="36" spans="1:26" s="24" customFormat="1" ht="18" customHeight="1" x14ac:dyDescent="0.45">
      <c r="A36" s="25" t="s">
        <v>25</v>
      </c>
      <c r="B36" s="9"/>
      <c r="C36" s="69"/>
      <c r="D36" s="69"/>
      <c r="E36" s="138"/>
      <c r="F36" s="108">
        <f>2474+411</f>
        <v>2885</v>
      </c>
      <c r="G36" s="108">
        <v>823</v>
      </c>
      <c r="H36" s="108">
        <v>61494</v>
      </c>
      <c r="I36" s="108">
        <v>565</v>
      </c>
      <c r="J36" s="108">
        <v>0</v>
      </c>
      <c r="K36" s="108">
        <v>322530</v>
      </c>
      <c r="L36" s="108">
        <v>1353</v>
      </c>
      <c r="M36" s="108">
        <v>15</v>
      </c>
      <c r="N36" s="108">
        <v>4001</v>
      </c>
      <c r="O36" s="16"/>
      <c r="P36" s="25" t="s">
        <v>24</v>
      </c>
      <c r="U36" s="21"/>
    </row>
    <row r="37" spans="1:26" s="24" customFormat="1" ht="18" customHeight="1" x14ac:dyDescent="0.5">
      <c r="A37" s="25" t="s">
        <v>23</v>
      </c>
      <c r="B37" s="9"/>
      <c r="C37" s="69"/>
      <c r="D37" s="69"/>
      <c r="E37" s="138"/>
      <c r="F37" s="108">
        <f>11659+7</f>
        <v>11666</v>
      </c>
      <c r="G37" s="108">
        <v>2106</v>
      </c>
      <c r="H37" s="108">
        <v>2373</v>
      </c>
      <c r="I37" s="108">
        <v>401</v>
      </c>
      <c r="J37" s="108">
        <v>0</v>
      </c>
      <c r="K37" s="108">
        <v>80277</v>
      </c>
      <c r="L37" s="108">
        <v>3862</v>
      </c>
      <c r="M37" s="108">
        <v>48</v>
      </c>
      <c r="N37" s="108">
        <v>4</v>
      </c>
      <c r="O37" s="16"/>
      <c r="P37" s="25" t="s">
        <v>22</v>
      </c>
      <c r="U37" s="2"/>
    </row>
    <row r="38" spans="1:26" s="24" customFormat="1" ht="18" customHeight="1" x14ac:dyDescent="0.45">
      <c r="A38" s="25" t="s">
        <v>21</v>
      </c>
      <c r="B38" s="9"/>
      <c r="C38" s="69"/>
      <c r="D38" s="69"/>
      <c r="E38" s="138"/>
      <c r="F38" s="108">
        <f>7106+8</f>
        <v>7114</v>
      </c>
      <c r="G38" s="108">
        <v>1891</v>
      </c>
      <c r="H38" s="108">
        <v>1481</v>
      </c>
      <c r="I38" s="108">
        <v>278</v>
      </c>
      <c r="J38" s="108">
        <v>0</v>
      </c>
      <c r="K38" s="108">
        <v>107293</v>
      </c>
      <c r="L38" s="108">
        <v>3950</v>
      </c>
      <c r="M38" s="108">
        <v>11</v>
      </c>
      <c r="N38" s="108">
        <v>0</v>
      </c>
      <c r="O38" s="16"/>
      <c r="P38" s="25" t="s">
        <v>20</v>
      </c>
      <c r="U38" s="3"/>
    </row>
    <row r="39" spans="1:26" s="24" customFormat="1" ht="18" customHeight="1" x14ac:dyDescent="0.45">
      <c r="A39" s="25" t="s">
        <v>19</v>
      </c>
      <c r="B39" s="9"/>
      <c r="C39" s="69"/>
      <c r="D39" s="69"/>
      <c r="E39" s="138"/>
      <c r="F39" s="108">
        <f>14205+744</f>
        <v>14949</v>
      </c>
      <c r="G39" s="108">
        <v>1477</v>
      </c>
      <c r="H39" s="108">
        <v>1928</v>
      </c>
      <c r="I39" s="108">
        <v>1750</v>
      </c>
      <c r="J39" s="108">
        <v>0</v>
      </c>
      <c r="K39" s="108">
        <v>137912</v>
      </c>
      <c r="L39" s="111">
        <v>5173</v>
      </c>
      <c r="M39" s="108">
        <v>93</v>
      </c>
      <c r="N39" s="108">
        <v>1000</v>
      </c>
      <c r="O39" s="16"/>
      <c r="P39" s="25" t="s">
        <v>18</v>
      </c>
      <c r="U39" s="3"/>
    </row>
    <row r="40" spans="1:26" s="24" customFormat="1" ht="18" customHeight="1" x14ac:dyDescent="0.5">
      <c r="A40" s="25" t="s">
        <v>17</v>
      </c>
      <c r="B40" s="9"/>
      <c r="C40" s="69"/>
      <c r="D40" s="69"/>
      <c r="E40" s="138"/>
      <c r="F40" s="108">
        <f>11041+2047</f>
        <v>13088</v>
      </c>
      <c r="G40" s="108">
        <v>709</v>
      </c>
      <c r="H40" s="108">
        <v>1827</v>
      </c>
      <c r="I40" s="108">
        <v>10094</v>
      </c>
      <c r="J40" s="108">
        <v>0</v>
      </c>
      <c r="K40" s="108">
        <v>100837</v>
      </c>
      <c r="L40" s="108">
        <v>7010</v>
      </c>
      <c r="M40" s="108">
        <v>191</v>
      </c>
      <c r="N40" s="108">
        <v>151</v>
      </c>
      <c r="O40" s="16"/>
      <c r="P40" s="25" t="s">
        <v>16</v>
      </c>
      <c r="V40" s="2"/>
      <c r="W40" s="2"/>
      <c r="X40" s="2"/>
      <c r="Y40" s="2"/>
      <c r="Z40" s="2"/>
    </row>
    <row r="41" spans="1:26" s="24" customFormat="1" ht="18" customHeight="1" x14ac:dyDescent="0.5">
      <c r="A41" s="25" t="s">
        <v>15</v>
      </c>
      <c r="B41" s="9"/>
      <c r="C41" s="69"/>
      <c r="D41" s="69"/>
      <c r="E41" s="138"/>
      <c r="F41" s="108">
        <f>9188</f>
        <v>9188</v>
      </c>
      <c r="G41" s="108">
        <v>1102</v>
      </c>
      <c r="H41" s="108">
        <v>4120</v>
      </c>
      <c r="I41" s="108">
        <v>71</v>
      </c>
      <c r="J41" s="108">
        <v>0</v>
      </c>
      <c r="K41" s="108">
        <v>101364</v>
      </c>
      <c r="L41" s="108">
        <v>10894</v>
      </c>
      <c r="M41" s="108">
        <v>9</v>
      </c>
      <c r="N41" s="108">
        <v>100</v>
      </c>
      <c r="O41" s="16"/>
      <c r="P41" s="25" t="s">
        <v>14</v>
      </c>
      <c r="V41" s="2"/>
      <c r="W41" s="2"/>
      <c r="X41" s="2"/>
      <c r="Y41" s="2"/>
      <c r="Z41" s="2"/>
    </row>
    <row r="42" spans="1:26" s="24" customFormat="1" ht="18" customHeight="1" x14ac:dyDescent="0.45">
      <c r="A42" s="25" t="s">
        <v>13</v>
      </c>
      <c r="B42" s="9"/>
      <c r="C42" s="69"/>
      <c r="D42" s="69"/>
      <c r="E42" s="138"/>
      <c r="F42" s="108">
        <f>7991+344</f>
        <v>8335</v>
      </c>
      <c r="G42" s="110">
        <v>722</v>
      </c>
      <c r="H42" s="110">
        <v>2090</v>
      </c>
      <c r="I42" s="108">
        <v>3477</v>
      </c>
      <c r="J42" s="108">
        <v>0</v>
      </c>
      <c r="K42" s="108">
        <v>155152</v>
      </c>
      <c r="L42" s="108">
        <v>6426</v>
      </c>
      <c r="M42" s="108">
        <v>247</v>
      </c>
      <c r="N42" s="108">
        <v>410</v>
      </c>
      <c r="O42" s="16"/>
      <c r="P42" s="25" t="s">
        <v>12</v>
      </c>
      <c r="V42" s="9"/>
      <c r="W42" s="9"/>
      <c r="X42" s="9"/>
      <c r="Y42" s="9"/>
      <c r="Z42" s="9"/>
    </row>
    <row r="43" spans="1:26" s="24" customFormat="1" ht="18" customHeight="1" x14ac:dyDescent="0.5">
      <c r="A43" s="25" t="s">
        <v>11</v>
      </c>
      <c r="B43" s="9"/>
      <c r="C43" s="69"/>
      <c r="D43" s="69"/>
      <c r="E43" s="138"/>
      <c r="F43" s="108">
        <f>8902+43</f>
        <v>8945</v>
      </c>
      <c r="G43" s="108">
        <v>1469</v>
      </c>
      <c r="H43" s="108">
        <v>5546</v>
      </c>
      <c r="I43" s="108">
        <v>341</v>
      </c>
      <c r="J43" s="108">
        <v>0</v>
      </c>
      <c r="K43" s="108">
        <v>245115</v>
      </c>
      <c r="L43" s="108">
        <v>12954</v>
      </c>
      <c r="M43" s="108">
        <v>0</v>
      </c>
      <c r="N43" s="108">
        <v>22</v>
      </c>
      <c r="O43" s="16"/>
      <c r="P43" s="25" t="s">
        <v>10</v>
      </c>
      <c r="V43" s="2"/>
      <c r="W43" s="2"/>
      <c r="X43" s="2"/>
      <c r="Y43" s="2"/>
      <c r="Z43" s="2"/>
    </row>
    <row r="44" spans="1:26" s="24" customFormat="1" ht="18" customHeight="1" x14ac:dyDescent="0.5">
      <c r="A44" s="25" t="s">
        <v>9</v>
      </c>
      <c r="B44" s="9"/>
      <c r="C44" s="69"/>
      <c r="D44" s="69"/>
      <c r="E44" s="138"/>
      <c r="F44" s="108">
        <f>9109</f>
        <v>9109</v>
      </c>
      <c r="G44" s="108">
        <v>1653</v>
      </c>
      <c r="H44" s="108">
        <v>751</v>
      </c>
      <c r="I44" s="108">
        <v>217</v>
      </c>
      <c r="J44" s="108">
        <v>0</v>
      </c>
      <c r="K44" s="108">
        <v>107808</v>
      </c>
      <c r="L44" s="108">
        <v>2926</v>
      </c>
      <c r="M44" s="108">
        <v>0</v>
      </c>
      <c r="N44" s="108">
        <v>1</v>
      </c>
      <c r="O44" s="16"/>
      <c r="P44" s="25" t="s">
        <v>8</v>
      </c>
      <c r="V44" s="2"/>
      <c r="W44" s="2"/>
      <c r="X44" s="2"/>
      <c r="Y44" s="2"/>
      <c r="Z44" s="2"/>
    </row>
    <row r="45" spans="1:26" s="24" customFormat="1" ht="18" customHeight="1" x14ac:dyDescent="0.5">
      <c r="A45" s="25" t="s">
        <v>7</v>
      </c>
      <c r="B45" s="9"/>
      <c r="C45" s="69"/>
      <c r="D45" s="69"/>
      <c r="E45" s="138"/>
      <c r="F45" s="108">
        <v>13936</v>
      </c>
      <c r="G45" s="108">
        <v>4039</v>
      </c>
      <c r="H45" s="108">
        <v>3833</v>
      </c>
      <c r="I45" s="108">
        <v>477</v>
      </c>
      <c r="J45" s="108">
        <v>0</v>
      </c>
      <c r="K45" s="108">
        <v>94237</v>
      </c>
      <c r="L45" s="108">
        <v>5985</v>
      </c>
      <c r="M45" s="108">
        <v>3</v>
      </c>
      <c r="N45" s="108">
        <v>0</v>
      </c>
      <c r="O45" s="16"/>
      <c r="P45" s="25" t="s">
        <v>6</v>
      </c>
      <c r="V45" s="2"/>
      <c r="W45" s="2"/>
      <c r="X45" s="2"/>
      <c r="Y45" s="2"/>
      <c r="Z45" s="2"/>
    </row>
    <row r="46" spans="1:26" s="24" customFormat="1" ht="18" customHeight="1" x14ac:dyDescent="0.5">
      <c r="A46" s="25" t="s">
        <v>5</v>
      </c>
      <c r="B46" s="9"/>
      <c r="C46" s="69"/>
      <c r="D46" s="69"/>
      <c r="E46" s="138"/>
      <c r="F46" s="108">
        <f>4794+35</f>
        <v>4829</v>
      </c>
      <c r="G46" s="108">
        <v>177</v>
      </c>
      <c r="H46" s="108">
        <v>5236</v>
      </c>
      <c r="I46" s="109">
        <v>177</v>
      </c>
      <c r="J46" s="108">
        <v>0</v>
      </c>
      <c r="K46" s="108">
        <v>1381612</v>
      </c>
      <c r="L46" s="108">
        <v>5479</v>
      </c>
      <c r="M46" s="108">
        <v>0</v>
      </c>
      <c r="N46" s="108">
        <v>0</v>
      </c>
      <c r="O46" s="16"/>
      <c r="P46" s="25" t="s">
        <v>4</v>
      </c>
      <c r="V46" s="2"/>
      <c r="W46" s="2"/>
      <c r="X46" s="2"/>
      <c r="Y46" s="2"/>
      <c r="Z46" s="2"/>
    </row>
    <row r="47" spans="1:26" ht="7.5" customHeight="1" x14ac:dyDescent="0.5">
      <c r="A47" s="9"/>
      <c r="B47" s="9"/>
      <c r="C47" s="9"/>
      <c r="D47" s="9"/>
      <c r="E47" s="107"/>
      <c r="F47" s="107"/>
      <c r="G47" s="107"/>
      <c r="H47" s="107"/>
      <c r="J47" s="107"/>
      <c r="K47" s="107"/>
      <c r="L47" s="9"/>
      <c r="M47" s="106"/>
      <c r="N47" s="106"/>
      <c r="O47" s="13"/>
      <c r="P47" s="9"/>
      <c r="U47" s="24"/>
    </row>
    <row r="48" spans="1:26" ht="3" customHeight="1" x14ac:dyDescent="0.5">
      <c r="A48" s="10"/>
      <c r="B48" s="10"/>
      <c r="C48" s="10"/>
      <c r="D48" s="10"/>
      <c r="E48" s="105"/>
      <c r="F48" s="105"/>
      <c r="G48" s="12"/>
      <c r="H48" s="105"/>
      <c r="I48" s="12"/>
      <c r="J48" s="105"/>
      <c r="K48" s="105"/>
      <c r="L48" s="10"/>
      <c r="M48" s="105"/>
      <c r="N48" s="105"/>
      <c r="O48" s="11"/>
      <c r="P48" s="10"/>
      <c r="U48" s="24"/>
    </row>
    <row r="49" spans="2:26" s="9" customFormat="1" ht="24" customHeight="1" x14ac:dyDescent="0.5">
      <c r="B49" s="9" t="s">
        <v>3</v>
      </c>
      <c r="J49" s="9" t="s">
        <v>2</v>
      </c>
      <c r="U49" s="24"/>
      <c r="V49" s="2"/>
      <c r="W49" s="2"/>
      <c r="X49" s="2"/>
      <c r="Y49" s="2"/>
      <c r="Z49" s="2"/>
    </row>
    <row r="50" spans="2:26" x14ac:dyDescent="0.5">
      <c r="U50" s="24"/>
    </row>
    <row r="51" spans="2:26" x14ac:dyDescent="0.5">
      <c r="U51" s="24"/>
    </row>
    <row r="52" spans="2:26" x14ac:dyDescent="0.5">
      <c r="U52" s="24"/>
    </row>
    <row r="53" spans="2:26" s="24" customFormat="1" ht="40.5" customHeight="1" x14ac:dyDescent="0.45"/>
    <row r="54" spans="2:26" s="22" customFormat="1" ht="22.15" customHeight="1" x14ac:dyDescent="0.5">
      <c r="V54" s="24"/>
      <c r="W54" s="24"/>
      <c r="X54" s="24"/>
      <c r="Y54" s="24"/>
      <c r="Z54" s="24"/>
    </row>
    <row r="55" spans="2:26" s="21" customFormat="1" ht="19.5" x14ac:dyDescent="0.45">
      <c r="V55" s="24"/>
      <c r="W55" s="24"/>
      <c r="X55" s="24"/>
      <c r="Y55" s="24"/>
      <c r="Z55" s="24"/>
    </row>
    <row r="56" spans="2:26" ht="10.9" customHeight="1" x14ac:dyDescent="0.5">
      <c r="V56" s="24"/>
      <c r="W56" s="24"/>
      <c r="X56" s="24"/>
      <c r="Y56" s="24"/>
      <c r="Z56" s="24"/>
    </row>
    <row r="57" spans="2:26" s="3" customFormat="1" ht="24" customHeight="1" x14ac:dyDescent="0.45">
      <c r="V57" s="24"/>
      <c r="W57" s="24"/>
      <c r="X57" s="24"/>
      <c r="Y57" s="24"/>
      <c r="Z57" s="24"/>
    </row>
    <row r="58" spans="2:26" s="3" customFormat="1" ht="24" customHeight="1" x14ac:dyDescent="0.45">
      <c r="V58" s="24"/>
      <c r="W58" s="24"/>
      <c r="X58" s="24"/>
      <c r="Y58" s="24"/>
      <c r="Z58" s="24"/>
    </row>
  </sheetData>
  <mergeCells count="5">
    <mergeCell ref="A4:D5"/>
    <mergeCell ref="O4:P5"/>
    <mergeCell ref="B7:D7"/>
    <mergeCell ref="A31:D32"/>
    <mergeCell ref="O31:P32"/>
  </mergeCells>
  <pageMargins left="0.55118110236220474" right="0" top="0.78740157480314965" bottom="0.78740157480314965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showGridLines="0" workbookViewId="0"/>
  </sheetViews>
  <sheetFormatPr defaultRowHeight="14.25" x14ac:dyDescent="0.2"/>
  <cols>
    <col min="1" max="1" width="8.125" customWidth="1"/>
    <col min="2" max="2" width="19.75" customWidth="1"/>
    <col min="3" max="3" width="18.25" customWidth="1"/>
    <col min="4" max="4" width="11.25" customWidth="1"/>
    <col min="5" max="5" width="16.75" customWidth="1"/>
    <col min="6" max="6" width="28.875" customWidth="1"/>
    <col min="7" max="7" width="4.75" customWidth="1"/>
  </cols>
  <sheetData>
    <row r="1" spans="1:6" s="127" customFormat="1" ht="28.5" customHeight="1" x14ac:dyDescent="0.5">
      <c r="A1" s="126" t="s">
        <v>261</v>
      </c>
    </row>
    <row r="2" spans="1:6" s="127" customFormat="1" ht="21.75" x14ac:dyDescent="0.5">
      <c r="A2" s="126" t="s">
        <v>260</v>
      </c>
    </row>
    <row r="3" spans="1:6" ht="19.5" x14ac:dyDescent="0.45">
      <c r="A3" s="168" t="s">
        <v>231</v>
      </c>
      <c r="B3" s="168"/>
      <c r="C3" s="168"/>
      <c r="D3" s="168"/>
      <c r="E3" s="168"/>
      <c r="F3" s="168"/>
    </row>
    <row r="4" spans="1:6" ht="21.75" customHeight="1" x14ac:dyDescent="0.2">
      <c r="A4" s="86"/>
      <c r="B4" s="87"/>
      <c r="C4" s="87"/>
      <c r="D4" s="169" t="s">
        <v>259</v>
      </c>
      <c r="E4" s="169"/>
      <c r="F4" s="169"/>
    </row>
    <row r="5" spans="1:6" ht="30" customHeight="1" x14ac:dyDescent="0.2">
      <c r="A5" s="74" t="s">
        <v>230</v>
      </c>
      <c r="B5" s="88" t="s">
        <v>229</v>
      </c>
      <c r="C5" s="88" t="s">
        <v>258</v>
      </c>
      <c r="D5" s="90" t="s">
        <v>253</v>
      </c>
      <c r="E5" s="90" t="s">
        <v>252</v>
      </c>
      <c r="F5" s="91" t="s">
        <v>257</v>
      </c>
    </row>
    <row r="6" spans="1:6" ht="21.75" x14ac:dyDescent="0.2">
      <c r="A6" s="85" t="s">
        <v>228</v>
      </c>
      <c r="B6" s="89" t="s">
        <v>256</v>
      </c>
      <c r="C6" s="89" t="s">
        <v>255</v>
      </c>
      <c r="D6" s="89" t="s">
        <v>92</v>
      </c>
      <c r="E6" s="89" t="s">
        <v>251</v>
      </c>
      <c r="F6" s="92" t="s">
        <v>254</v>
      </c>
    </row>
    <row r="7" spans="1:6" ht="19.5" hidden="1" x14ac:dyDescent="0.45">
      <c r="A7" s="73" t="s">
        <v>204</v>
      </c>
      <c r="B7" s="27">
        <v>8379742</v>
      </c>
      <c r="C7" s="27">
        <v>3919318</v>
      </c>
      <c r="D7" s="27">
        <v>4460424</v>
      </c>
      <c r="E7" s="27">
        <v>2670135</v>
      </c>
      <c r="F7" s="27">
        <v>1760783</v>
      </c>
    </row>
    <row r="8" spans="1:6" ht="19.5" hidden="1" x14ac:dyDescent="0.45">
      <c r="A8" s="73" t="s">
        <v>203</v>
      </c>
      <c r="B8" s="27">
        <v>8382768</v>
      </c>
      <c r="C8" s="27">
        <v>3921815</v>
      </c>
      <c r="D8" s="27">
        <v>4460953</v>
      </c>
      <c r="E8" s="27">
        <v>2669798</v>
      </c>
      <c r="F8" s="27">
        <v>1761642</v>
      </c>
    </row>
    <row r="9" spans="1:6" ht="19.5" hidden="1" x14ac:dyDescent="0.45">
      <c r="A9" s="73" t="s">
        <v>202</v>
      </c>
      <c r="B9" s="27">
        <v>8385473</v>
      </c>
      <c r="C9" s="27">
        <v>3922353</v>
      </c>
      <c r="D9" s="27">
        <v>4463120</v>
      </c>
      <c r="E9" s="27">
        <v>2669469</v>
      </c>
      <c r="F9" s="27">
        <v>1764096</v>
      </c>
    </row>
    <row r="10" spans="1:6" ht="19.5" x14ac:dyDescent="0.45">
      <c r="A10" s="78" t="s">
        <v>201</v>
      </c>
      <c r="B10" s="80">
        <v>8386293</v>
      </c>
      <c r="C10" s="80">
        <v>3924019</v>
      </c>
      <c r="D10" s="80">
        <v>4462274</v>
      </c>
      <c r="E10" s="80">
        <v>2668297</v>
      </c>
      <c r="F10" s="79">
        <v>1793977</v>
      </c>
    </row>
    <row r="11" spans="1:6" ht="19.5" x14ac:dyDescent="0.45">
      <c r="A11" s="78" t="s">
        <v>200</v>
      </c>
      <c r="B11" s="81">
        <v>8384561</v>
      </c>
      <c r="C11" s="81">
        <v>3923858</v>
      </c>
      <c r="D11" s="81">
        <v>4460703</v>
      </c>
      <c r="E11" s="81">
        <v>2666447</v>
      </c>
      <c r="F11" s="79">
        <v>1794256</v>
      </c>
    </row>
    <row r="12" spans="1:6" ht="19.5" x14ac:dyDescent="0.45">
      <c r="A12" s="78" t="s">
        <v>250</v>
      </c>
      <c r="B12" s="81">
        <v>8386320</v>
      </c>
      <c r="C12" s="81">
        <v>3923778</v>
      </c>
      <c r="D12" s="81">
        <v>4462542</v>
      </c>
      <c r="E12" s="81">
        <v>2666003</v>
      </c>
      <c r="F12" s="79">
        <v>1796539</v>
      </c>
    </row>
    <row r="13" spans="1:6" ht="19.5" x14ac:dyDescent="0.45">
      <c r="A13" s="78" t="s">
        <v>249</v>
      </c>
      <c r="B13" s="81">
        <v>8384953</v>
      </c>
      <c r="C13" s="81">
        <v>3922834</v>
      </c>
      <c r="D13" s="81">
        <v>4462119</v>
      </c>
      <c r="E13" s="81">
        <v>2665552</v>
      </c>
      <c r="F13" s="79">
        <v>1796567</v>
      </c>
    </row>
    <row r="14" spans="1:6" ht="19.5" x14ac:dyDescent="0.45">
      <c r="A14" s="83" t="s">
        <v>248</v>
      </c>
      <c r="B14" s="82">
        <v>8346551</v>
      </c>
      <c r="C14" s="82">
        <v>3904075</v>
      </c>
      <c r="D14" s="82">
        <v>4442476</v>
      </c>
      <c r="E14" s="82">
        <v>2652968</v>
      </c>
      <c r="F14" s="84">
        <v>1789508</v>
      </c>
    </row>
    <row r="15" spans="1:6" ht="23.25" customHeight="1" x14ac:dyDescent="0.2">
      <c r="A15" s="29" t="s">
        <v>196</v>
      </c>
      <c r="B15" s="77"/>
      <c r="C15" s="77"/>
      <c r="D15" s="77"/>
      <c r="E15" s="29" t="s">
        <v>195</v>
      </c>
    </row>
    <row r="16" spans="1:6" ht="25.5" customHeight="1" x14ac:dyDescent="0.2">
      <c r="A16" s="26" t="s">
        <v>100</v>
      </c>
      <c r="B16" s="29" t="s">
        <v>194</v>
      </c>
      <c r="D16" s="26" t="s">
        <v>142</v>
      </c>
      <c r="E16" s="29" t="s">
        <v>317</v>
      </c>
    </row>
  </sheetData>
  <mergeCells count="2">
    <mergeCell ref="A3:F3"/>
    <mergeCell ref="D4:F4"/>
  </mergeCells>
  <pageMargins left="0.74803149606299213" right="0.74803149606299213" top="0.98425196850393704" bottom="0.98425196850393704" header="0.51181102362204722" footer="0.51181102362204722"/>
  <pageSetup paperSize="9" orientation="landscape" horizontalDpi="1200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7"/>
  <sheetViews>
    <sheetView showGridLines="0" zoomScale="148" zoomScaleNormal="148" workbookViewId="0">
      <selection activeCell="C2" sqref="C2"/>
    </sheetView>
  </sheetViews>
  <sheetFormatPr defaultColWidth="8" defaultRowHeight="21.75" x14ac:dyDescent="0.5"/>
  <cols>
    <col min="1" max="1" width="1.625" style="2" customWidth="1"/>
    <col min="2" max="2" width="5.375" style="2" customWidth="1"/>
    <col min="3" max="3" width="7.625" style="2" customWidth="1"/>
    <col min="4" max="4" width="1.125" style="2" customWidth="1"/>
    <col min="5" max="5" width="9.875" style="2" customWidth="1"/>
    <col min="6" max="10" width="8.875" style="2" customWidth="1"/>
    <col min="11" max="11" width="10.375" style="2" customWidth="1"/>
    <col min="12" max="14" width="8.875" style="2" customWidth="1"/>
    <col min="15" max="15" width="1.25" style="2" customWidth="1"/>
    <col min="16" max="16" width="24.25" style="2" customWidth="1"/>
    <col min="17" max="17" width="2" style="1" customWidth="1"/>
    <col min="18" max="18" width="3.625" style="1" customWidth="1"/>
    <col min="19" max="16384" width="8" style="1"/>
  </cols>
  <sheetData>
    <row r="1" spans="1:16" s="6" customFormat="1" ht="24" customHeight="1" x14ac:dyDescent="0.5">
      <c r="A1" s="22"/>
      <c r="B1" s="22" t="s">
        <v>97</v>
      </c>
      <c r="C1" s="23">
        <v>11.1</v>
      </c>
      <c r="D1" s="22" t="s">
        <v>96</v>
      </c>
      <c r="E1" s="22"/>
      <c r="F1" s="22"/>
      <c r="G1" s="22"/>
      <c r="H1" s="22"/>
      <c r="I1" s="22"/>
      <c r="J1" s="22"/>
      <c r="K1" s="22"/>
      <c r="L1" s="22"/>
      <c r="M1" s="22"/>
      <c r="N1" s="22"/>
      <c r="O1" s="2"/>
      <c r="P1" s="2"/>
    </row>
    <row r="2" spans="1:16" s="5" customFormat="1" x14ac:dyDescent="0.5">
      <c r="A2" s="21"/>
      <c r="B2" s="22" t="s">
        <v>95</v>
      </c>
      <c r="C2" s="23">
        <v>11.1</v>
      </c>
      <c r="D2" s="22" t="s">
        <v>94</v>
      </c>
      <c r="E2" s="22"/>
      <c r="F2" s="21"/>
      <c r="G2" s="21"/>
      <c r="H2" s="21"/>
      <c r="I2" s="21"/>
      <c r="J2" s="21"/>
      <c r="K2" s="21"/>
      <c r="L2" s="21"/>
      <c r="M2" s="21"/>
      <c r="N2" s="21"/>
      <c r="O2" s="9"/>
      <c r="P2" s="9"/>
    </row>
    <row r="3" spans="1:16" ht="9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6" s="3" customFormat="1" ht="24" customHeight="1" x14ac:dyDescent="0.45">
      <c r="A4" s="144" t="s">
        <v>49</v>
      </c>
      <c r="B4" s="144"/>
      <c r="C4" s="144"/>
      <c r="D4" s="144"/>
      <c r="E4" s="114" t="s">
        <v>253</v>
      </c>
      <c r="F4" s="114" t="s">
        <v>48</v>
      </c>
      <c r="G4" s="65" t="s">
        <v>47</v>
      </c>
      <c r="H4" s="114" t="s">
        <v>46</v>
      </c>
      <c r="I4" s="65" t="s">
        <v>45</v>
      </c>
      <c r="J4" s="114" t="s">
        <v>44</v>
      </c>
      <c r="K4" s="114" t="s">
        <v>43</v>
      </c>
      <c r="L4" s="65" t="s">
        <v>42</v>
      </c>
      <c r="M4" s="114" t="s">
        <v>41</v>
      </c>
      <c r="N4" s="114" t="s">
        <v>40</v>
      </c>
      <c r="O4" s="148" t="s">
        <v>39</v>
      </c>
      <c r="P4" s="144"/>
    </row>
    <row r="5" spans="1:16" s="3" customFormat="1" ht="24" customHeight="1" x14ac:dyDescent="0.45">
      <c r="A5" s="146"/>
      <c r="B5" s="146"/>
      <c r="C5" s="146"/>
      <c r="D5" s="146"/>
      <c r="E5" s="113" t="s">
        <v>92</v>
      </c>
      <c r="F5" s="113" t="s">
        <v>38</v>
      </c>
      <c r="G5" s="67" t="s">
        <v>37</v>
      </c>
      <c r="H5" s="113" t="s">
        <v>36</v>
      </c>
      <c r="I5" s="67" t="s">
        <v>35</v>
      </c>
      <c r="J5" s="113" t="s">
        <v>34</v>
      </c>
      <c r="K5" s="113" t="s">
        <v>33</v>
      </c>
      <c r="L5" s="66" t="s">
        <v>32</v>
      </c>
      <c r="M5" s="113" t="s">
        <v>31</v>
      </c>
      <c r="N5" s="113" t="s">
        <v>30</v>
      </c>
      <c r="O5" s="149"/>
      <c r="P5" s="146"/>
    </row>
    <row r="6" spans="1:16" s="7" customFormat="1" ht="3" customHeight="1" x14ac:dyDescent="0.45">
      <c r="A6" s="68"/>
      <c r="B6" s="68"/>
      <c r="C6" s="68"/>
      <c r="D6" s="68"/>
      <c r="E6" s="177">
        <f t="shared" ref="E6:E7" si="0">SUM(F6:N6)</f>
        <v>0</v>
      </c>
      <c r="F6" s="107"/>
      <c r="G6" s="118"/>
      <c r="H6" s="107"/>
      <c r="I6" s="118"/>
      <c r="J6" s="107"/>
      <c r="K6" s="107"/>
      <c r="L6" s="8"/>
      <c r="M6" s="107"/>
      <c r="N6" s="107"/>
      <c r="O6" s="16"/>
      <c r="P6" s="68"/>
    </row>
    <row r="7" spans="1:16" s="4" customFormat="1" ht="20.25" customHeight="1" x14ac:dyDescent="0.45">
      <c r="A7" s="68"/>
      <c r="B7" s="150" t="s">
        <v>93</v>
      </c>
      <c r="C7" s="150"/>
      <c r="D7" s="150"/>
      <c r="E7" s="176">
        <f t="shared" si="0"/>
        <v>35850842</v>
      </c>
      <c r="F7" s="117">
        <v>563956</v>
      </c>
      <c r="G7" s="117">
        <v>68019</v>
      </c>
      <c r="H7" s="117">
        <v>354713</v>
      </c>
      <c r="I7" s="117">
        <v>95567</v>
      </c>
      <c r="J7" s="117">
        <v>5754</v>
      </c>
      <c r="K7" s="117">
        <v>33823979</v>
      </c>
      <c r="L7" s="117">
        <v>935442</v>
      </c>
      <c r="M7" s="117">
        <v>3396</v>
      </c>
      <c r="N7" s="117">
        <v>16</v>
      </c>
      <c r="O7" s="16">
        <v>105791</v>
      </c>
      <c r="P7" s="68" t="s">
        <v>92</v>
      </c>
    </row>
    <row r="8" spans="1:16" s="4" customFormat="1" ht="18" customHeight="1" x14ac:dyDescent="0.45">
      <c r="A8" s="15" t="s">
        <v>91</v>
      </c>
      <c r="B8" s="17"/>
      <c r="C8" s="68"/>
      <c r="D8" s="68"/>
      <c r="E8" s="177">
        <f>SUM(F8:N8)</f>
        <v>542923</v>
      </c>
      <c r="F8" s="108">
        <f>14851+4323</f>
        <v>19174</v>
      </c>
      <c r="G8" s="108">
        <v>2353</v>
      </c>
      <c r="H8" s="108">
        <v>12114</v>
      </c>
      <c r="I8" s="108">
        <v>2090</v>
      </c>
      <c r="J8" s="108">
        <v>635</v>
      </c>
      <c r="K8" s="108">
        <v>420703</v>
      </c>
      <c r="L8" s="108">
        <v>85652</v>
      </c>
      <c r="M8" s="108">
        <v>202</v>
      </c>
      <c r="N8" s="108">
        <v>0</v>
      </c>
      <c r="P8" s="15" t="s">
        <v>90</v>
      </c>
    </row>
    <row r="9" spans="1:16" s="4" customFormat="1" ht="18" customHeight="1" x14ac:dyDescent="0.45">
      <c r="A9" s="15" t="s">
        <v>89</v>
      </c>
      <c r="B9" s="17"/>
      <c r="C9" s="68"/>
      <c r="D9" s="68"/>
      <c r="E9" s="177">
        <f t="shared" ref="E8:E25" si="1">SUM(F9:N9)</f>
        <v>1595712</v>
      </c>
      <c r="F9" s="108">
        <f>5992+2053</f>
        <v>8045</v>
      </c>
      <c r="G9" s="108">
        <v>3145</v>
      </c>
      <c r="H9" s="108">
        <v>10326</v>
      </c>
      <c r="I9" s="108">
        <v>2770</v>
      </c>
      <c r="J9" s="108">
        <v>28</v>
      </c>
      <c r="K9" s="108">
        <v>1482808</v>
      </c>
      <c r="L9" s="108">
        <v>88498</v>
      </c>
      <c r="M9" s="108">
        <v>92</v>
      </c>
      <c r="N9" s="108">
        <v>0</v>
      </c>
      <c r="P9" s="15" t="s">
        <v>88</v>
      </c>
    </row>
    <row r="10" spans="1:16" s="4" customFormat="1" ht="18" customHeight="1" x14ac:dyDescent="0.45">
      <c r="A10" s="15" t="s">
        <v>87</v>
      </c>
      <c r="B10" s="17"/>
      <c r="C10" s="68"/>
      <c r="D10" s="68"/>
      <c r="E10" s="177">
        <f t="shared" si="1"/>
        <v>177160</v>
      </c>
      <c r="F10" s="108">
        <f>3647+3059</f>
        <v>6706</v>
      </c>
      <c r="G10" s="108">
        <v>633</v>
      </c>
      <c r="H10" s="108">
        <v>3470</v>
      </c>
      <c r="I10" s="108">
        <v>1191</v>
      </c>
      <c r="J10" s="108">
        <v>46</v>
      </c>
      <c r="K10" s="108">
        <v>152136</v>
      </c>
      <c r="L10" s="108">
        <v>12956</v>
      </c>
      <c r="M10" s="108">
        <v>22</v>
      </c>
      <c r="N10" s="108">
        <v>0</v>
      </c>
      <c r="P10" s="15" t="s">
        <v>86</v>
      </c>
    </row>
    <row r="11" spans="1:16" s="4" customFormat="1" ht="18" customHeight="1" x14ac:dyDescent="0.45">
      <c r="A11" s="15" t="s">
        <v>85</v>
      </c>
      <c r="B11" s="17"/>
      <c r="C11" s="68"/>
      <c r="D11" s="68"/>
      <c r="E11" s="177">
        <f t="shared" si="1"/>
        <v>678125</v>
      </c>
      <c r="F11" s="108">
        <f>26404+406</f>
        <v>26810</v>
      </c>
      <c r="G11" s="108">
        <v>10926</v>
      </c>
      <c r="H11" s="108">
        <v>13438</v>
      </c>
      <c r="I11" s="108">
        <v>1877</v>
      </c>
      <c r="J11" s="108">
        <v>241</v>
      </c>
      <c r="K11" s="108">
        <v>605879</v>
      </c>
      <c r="L11" s="108">
        <v>18947</v>
      </c>
      <c r="M11" s="108">
        <v>7</v>
      </c>
      <c r="N11" s="108">
        <v>0</v>
      </c>
      <c r="P11" s="15" t="s">
        <v>84</v>
      </c>
    </row>
    <row r="12" spans="1:16" s="4" customFormat="1" ht="18" customHeight="1" x14ac:dyDescent="0.45">
      <c r="A12" s="15" t="s">
        <v>83</v>
      </c>
      <c r="B12" s="17"/>
      <c r="C12" s="68"/>
      <c r="D12" s="68"/>
      <c r="E12" s="177">
        <f t="shared" si="1"/>
        <v>73013</v>
      </c>
      <c r="F12" s="108">
        <f>4814+15</f>
        <v>4829</v>
      </c>
      <c r="G12" s="108">
        <v>1974</v>
      </c>
      <c r="H12" s="108">
        <v>2402</v>
      </c>
      <c r="I12" s="108">
        <v>0</v>
      </c>
      <c r="J12" s="108">
        <v>3</v>
      </c>
      <c r="K12" s="108">
        <v>60314</v>
      </c>
      <c r="L12" s="116">
        <v>3491</v>
      </c>
      <c r="M12" s="108">
        <v>0</v>
      </c>
      <c r="N12" s="108">
        <v>0</v>
      </c>
      <c r="P12" s="15" t="s">
        <v>82</v>
      </c>
    </row>
    <row r="13" spans="1:16" s="4" customFormat="1" ht="18" customHeight="1" x14ac:dyDescent="0.45">
      <c r="A13" s="15" t="s">
        <v>81</v>
      </c>
      <c r="B13" s="17"/>
      <c r="C13" s="68"/>
      <c r="D13" s="68"/>
      <c r="E13" s="177">
        <f t="shared" si="1"/>
        <v>238597</v>
      </c>
      <c r="F13" s="108">
        <f>14136+109</f>
        <v>14245</v>
      </c>
      <c r="G13" s="108">
        <v>446</v>
      </c>
      <c r="H13" s="108">
        <v>15189</v>
      </c>
      <c r="I13" s="108">
        <v>528</v>
      </c>
      <c r="J13" s="108">
        <v>72</v>
      </c>
      <c r="K13" s="108">
        <v>201532</v>
      </c>
      <c r="L13" s="108">
        <v>6582</v>
      </c>
      <c r="M13" s="108">
        <v>0</v>
      </c>
      <c r="N13" s="108">
        <v>3</v>
      </c>
      <c r="P13" s="15" t="s">
        <v>80</v>
      </c>
    </row>
    <row r="14" spans="1:16" s="4" customFormat="1" ht="18" customHeight="1" x14ac:dyDescent="0.45">
      <c r="A14" s="15" t="s">
        <v>79</v>
      </c>
      <c r="B14" s="17"/>
      <c r="C14" s="68"/>
      <c r="D14" s="68"/>
      <c r="E14" s="177">
        <f t="shared" si="1"/>
        <v>4317640</v>
      </c>
      <c r="F14" s="108">
        <f>3547+39</f>
        <v>3586</v>
      </c>
      <c r="G14" s="108">
        <v>1653</v>
      </c>
      <c r="H14" s="108">
        <v>12687</v>
      </c>
      <c r="I14" s="108">
        <v>2128</v>
      </c>
      <c r="J14" s="108">
        <v>536</v>
      </c>
      <c r="K14" s="108">
        <v>4209961</v>
      </c>
      <c r="L14" s="108">
        <v>87089</v>
      </c>
      <c r="M14" s="108">
        <v>0</v>
      </c>
      <c r="N14" s="108">
        <v>0</v>
      </c>
      <c r="P14" s="15" t="s">
        <v>78</v>
      </c>
    </row>
    <row r="15" spans="1:16" s="4" customFormat="1" ht="18" customHeight="1" x14ac:dyDescent="0.45">
      <c r="A15" s="15" t="s">
        <v>77</v>
      </c>
      <c r="B15" s="17"/>
      <c r="C15" s="68"/>
      <c r="D15" s="68"/>
      <c r="E15" s="177">
        <f t="shared" si="1"/>
        <v>1204822</v>
      </c>
      <c r="F15" s="108">
        <f>37736+2427</f>
        <v>40163</v>
      </c>
      <c r="G15" s="108">
        <v>1879</v>
      </c>
      <c r="H15" s="108">
        <v>18985</v>
      </c>
      <c r="I15" s="108">
        <v>16376</v>
      </c>
      <c r="J15" s="108">
        <v>254</v>
      </c>
      <c r="K15" s="108">
        <v>1086500</v>
      </c>
      <c r="L15" s="108">
        <v>40427</v>
      </c>
      <c r="M15" s="108">
        <v>230</v>
      </c>
      <c r="N15" s="108">
        <v>8</v>
      </c>
      <c r="P15" s="15" t="s">
        <v>76</v>
      </c>
    </row>
    <row r="16" spans="1:16" s="4" customFormat="1" ht="18" customHeight="1" x14ac:dyDescent="0.45">
      <c r="A16" s="15" t="s">
        <v>75</v>
      </c>
      <c r="B16" s="17"/>
      <c r="C16" s="68"/>
      <c r="D16" s="68"/>
      <c r="E16" s="177">
        <f t="shared" si="1"/>
        <v>716777</v>
      </c>
      <c r="F16" s="108">
        <f>12069+41</f>
        <v>12110</v>
      </c>
      <c r="G16" s="108">
        <v>1981</v>
      </c>
      <c r="H16" s="108">
        <v>18978</v>
      </c>
      <c r="I16" s="108">
        <v>2565</v>
      </c>
      <c r="J16" s="108">
        <v>47</v>
      </c>
      <c r="K16" s="108">
        <v>551736</v>
      </c>
      <c r="L16" s="108">
        <v>129130</v>
      </c>
      <c r="M16" s="108">
        <v>229</v>
      </c>
      <c r="N16" s="108">
        <v>1</v>
      </c>
      <c r="P16" s="15" t="s">
        <v>74</v>
      </c>
    </row>
    <row r="17" spans="1:18" s="4" customFormat="1" ht="18" customHeight="1" x14ac:dyDescent="0.45">
      <c r="A17" s="15" t="s">
        <v>73</v>
      </c>
      <c r="B17" s="17"/>
      <c r="C17" s="68"/>
      <c r="D17" s="68"/>
      <c r="E17" s="177">
        <f t="shared" si="1"/>
        <v>221335</v>
      </c>
      <c r="F17" s="108">
        <f>15300+324</f>
        <v>15624</v>
      </c>
      <c r="G17" s="108">
        <v>1654</v>
      </c>
      <c r="H17" s="108">
        <v>5373</v>
      </c>
      <c r="I17" s="108">
        <v>1665</v>
      </c>
      <c r="J17" s="108">
        <v>223</v>
      </c>
      <c r="K17" s="108">
        <v>178525</v>
      </c>
      <c r="L17" s="108">
        <v>18263</v>
      </c>
      <c r="M17" s="108">
        <v>8</v>
      </c>
      <c r="N17" s="108">
        <v>0</v>
      </c>
      <c r="P17" s="15" t="s">
        <v>72</v>
      </c>
    </row>
    <row r="18" spans="1:18" s="4" customFormat="1" ht="18" customHeight="1" x14ac:dyDescent="0.45">
      <c r="A18" s="15" t="s">
        <v>71</v>
      </c>
      <c r="B18" s="17"/>
      <c r="C18" s="68"/>
      <c r="D18" s="68"/>
      <c r="E18" s="177">
        <f t="shared" si="1"/>
        <v>461173</v>
      </c>
      <c r="F18" s="108">
        <f>18503+1441</f>
        <v>19944</v>
      </c>
      <c r="G18" s="108">
        <v>720</v>
      </c>
      <c r="H18" s="108">
        <v>3879</v>
      </c>
      <c r="I18" s="108">
        <v>1684</v>
      </c>
      <c r="J18" s="108">
        <v>119</v>
      </c>
      <c r="K18" s="108">
        <v>431300</v>
      </c>
      <c r="L18" s="108">
        <v>3480</v>
      </c>
      <c r="M18" s="108">
        <v>47</v>
      </c>
      <c r="N18" s="108">
        <v>0</v>
      </c>
      <c r="P18" s="15" t="s">
        <v>70</v>
      </c>
    </row>
    <row r="19" spans="1:18" s="4" customFormat="1" ht="18" customHeight="1" x14ac:dyDescent="0.45">
      <c r="A19" s="15" t="s">
        <v>69</v>
      </c>
      <c r="B19" s="17"/>
      <c r="C19" s="68"/>
      <c r="D19" s="68"/>
      <c r="E19" s="177">
        <f t="shared" si="1"/>
        <v>239501</v>
      </c>
      <c r="F19" s="108">
        <f>17025</f>
        <v>17025</v>
      </c>
      <c r="G19" s="108">
        <v>6911</v>
      </c>
      <c r="H19" s="108">
        <v>9452</v>
      </c>
      <c r="I19" s="108">
        <v>384</v>
      </c>
      <c r="J19" s="108">
        <v>63</v>
      </c>
      <c r="K19" s="108">
        <v>181057</v>
      </c>
      <c r="L19" s="116">
        <v>24609</v>
      </c>
      <c r="M19" s="108">
        <v>0</v>
      </c>
      <c r="N19" s="108">
        <v>0</v>
      </c>
      <c r="P19" s="15" t="s">
        <v>68</v>
      </c>
    </row>
    <row r="20" spans="1:18" s="4" customFormat="1" ht="18" customHeight="1" x14ac:dyDescent="0.45">
      <c r="A20" s="15" t="s">
        <v>67</v>
      </c>
      <c r="B20" s="17"/>
      <c r="C20" s="68"/>
      <c r="D20" s="68"/>
      <c r="E20" s="177">
        <f t="shared" si="1"/>
        <v>235814</v>
      </c>
      <c r="F20" s="108">
        <v>21130</v>
      </c>
      <c r="G20" s="108">
        <v>3742</v>
      </c>
      <c r="H20" s="108">
        <v>8404</v>
      </c>
      <c r="I20" s="108">
        <v>952</v>
      </c>
      <c r="J20" s="108">
        <v>225</v>
      </c>
      <c r="K20" s="108">
        <v>184994</v>
      </c>
      <c r="L20" s="108">
        <v>16364</v>
      </c>
      <c r="M20" s="108">
        <v>0</v>
      </c>
      <c r="N20" s="108">
        <v>3</v>
      </c>
      <c r="P20" s="15" t="s">
        <v>66</v>
      </c>
    </row>
    <row r="21" spans="1:18" s="4" customFormat="1" ht="18" customHeight="1" x14ac:dyDescent="0.45">
      <c r="A21" s="15" t="s">
        <v>65</v>
      </c>
      <c r="B21" s="17"/>
      <c r="C21" s="68"/>
      <c r="D21" s="68"/>
      <c r="E21" s="177">
        <f t="shared" si="1"/>
        <v>3838818</v>
      </c>
      <c r="F21" s="108">
        <f>11483+12368</f>
        <v>23851</v>
      </c>
      <c r="G21" s="108">
        <v>4205</v>
      </c>
      <c r="H21" s="108">
        <v>30964</v>
      </c>
      <c r="I21" s="108">
        <v>6988</v>
      </c>
      <c r="J21" s="108">
        <v>300</v>
      </c>
      <c r="K21" s="108">
        <v>3700338</v>
      </c>
      <c r="L21" s="108">
        <v>71776</v>
      </c>
      <c r="M21" s="108">
        <v>396</v>
      </c>
      <c r="N21" s="108">
        <v>0</v>
      </c>
      <c r="P21" s="15" t="s">
        <v>64</v>
      </c>
    </row>
    <row r="22" spans="1:18" s="4" customFormat="1" ht="18" customHeight="1" x14ac:dyDescent="0.45">
      <c r="A22" s="15" t="s">
        <v>63</v>
      </c>
      <c r="B22" s="17"/>
      <c r="C22" s="68"/>
      <c r="D22" s="68"/>
      <c r="E22" s="177">
        <f t="shared" si="1"/>
        <v>343512</v>
      </c>
      <c r="F22" s="108">
        <f>17192+7782</f>
        <v>24974</v>
      </c>
      <c r="G22" s="108">
        <v>697</v>
      </c>
      <c r="H22" s="108">
        <v>10133</v>
      </c>
      <c r="I22" s="108">
        <v>719</v>
      </c>
      <c r="J22" s="108">
        <v>151</v>
      </c>
      <c r="K22" s="108">
        <v>188057</v>
      </c>
      <c r="L22" s="108">
        <v>118770</v>
      </c>
      <c r="M22" s="108">
        <v>11</v>
      </c>
      <c r="N22" s="108">
        <v>0</v>
      </c>
      <c r="P22" s="15" t="s">
        <v>62</v>
      </c>
    </row>
    <row r="23" spans="1:18" s="4" customFormat="1" ht="18" customHeight="1" x14ac:dyDescent="0.45">
      <c r="A23" s="15" t="s">
        <v>61</v>
      </c>
      <c r="B23" s="17"/>
      <c r="C23" s="68"/>
      <c r="D23" s="68"/>
      <c r="E23" s="177">
        <f t="shared" si="1"/>
        <v>685322</v>
      </c>
      <c r="F23" s="108">
        <f>18880+103</f>
        <v>18983</v>
      </c>
      <c r="G23" s="108">
        <v>1370</v>
      </c>
      <c r="H23" s="108">
        <v>15027</v>
      </c>
      <c r="I23" s="108">
        <v>820</v>
      </c>
      <c r="J23" s="108">
        <v>77</v>
      </c>
      <c r="K23" s="108">
        <v>634208</v>
      </c>
      <c r="L23" s="112">
        <v>14837</v>
      </c>
      <c r="M23" s="108">
        <v>0</v>
      </c>
      <c r="N23" s="108">
        <v>0</v>
      </c>
      <c r="P23" s="15" t="s">
        <v>60</v>
      </c>
    </row>
    <row r="24" spans="1:18" s="4" customFormat="1" ht="18" customHeight="1" x14ac:dyDescent="0.45">
      <c r="A24" s="15" t="s">
        <v>59</v>
      </c>
      <c r="B24" s="17"/>
      <c r="C24" s="68"/>
      <c r="D24" s="68"/>
      <c r="E24" s="177">
        <f t="shared" si="1"/>
        <v>1061144</v>
      </c>
      <c r="F24" s="108">
        <f>16130+2988</f>
        <v>19118</v>
      </c>
      <c r="G24" s="108">
        <v>2168</v>
      </c>
      <c r="H24" s="108">
        <v>6543</v>
      </c>
      <c r="I24" s="108">
        <v>574</v>
      </c>
      <c r="J24" s="108">
        <v>229</v>
      </c>
      <c r="K24" s="108">
        <v>1003457</v>
      </c>
      <c r="L24" s="112">
        <v>29051</v>
      </c>
      <c r="M24" s="108">
        <v>4</v>
      </c>
      <c r="N24" s="108">
        <v>0</v>
      </c>
      <c r="P24" s="15" t="s">
        <v>58</v>
      </c>
    </row>
    <row r="25" spans="1:18" s="4" customFormat="1" ht="18" customHeight="1" x14ac:dyDescent="0.45">
      <c r="A25" s="15" t="s">
        <v>57</v>
      </c>
      <c r="B25" s="17"/>
      <c r="C25" s="68"/>
      <c r="D25" s="68"/>
      <c r="E25" s="177">
        <f t="shared" si="1"/>
        <v>6289093</v>
      </c>
      <c r="F25" s="108">
        <f>13866+7886</f>
        <v>21752</v>
      </c>
      <c r="G25" s="108">
        <v>1641</v>
      </c>
      <c r="H25" s="108">
        <v>4995</v>
      </c>
      <c r="I25" s="108">
        <v>5039</v>
      </c>
      <c r="J25" s="108">
        <v>198</v>
      </c>
      <c r="K25" s="108">
        <v>6242035</v>
      </c>
      <c r="L25" s="108">
        <v>13248</v>
      </c>
      <c r="M25" s="108">
        <v>185</v>
      </c>
      <c r="N25" s="108">
        <v>0</v>
      </c>
      <c r="P25" s="15" t="s">
        <v>56</v>
      </c>
    </row>
    <row r="26" spans="1:18" s="4" customFormat="1" ht="18" customHeight="1" x14ac:dyDescent="0.45">
      <c r="A26" s="15" t="s">
        <v>55</v>
      </c>
      <c r="B26" s="17"/>
      <c r="C26" s="68"/>
      <c r="D26" s="68"/>
      <c r="E26" s="177">
        <f>SUM(F26:N26)</f>
        <v>151090</v>
      </c>
      <c r="F26" s="108">
        <f>6952+1745</f>
        <v>8697</v>
      </c>
      <c r="G26" s="108">
        <v>188</v>
      </c>
      <c r="H26" s="108">
        <v>1205</v>
      </c>
      <c r="I26" s="108">
        <v>626</v>
      </c>
      <c r="J26" s="108">
        <v>59</v>
      </c>
      <c r="K26" s="108">
        <v>103395</v>
      </c>
      <c r="L26" s="108">
        <v>36847</v>
      </c>
      <c r="M26" s="108">
        <v>73</v>
      </c>
      <c r="N26" s="108">
        <v>0</v>
      </c>
      <c r="P26" s="15" t="s">
        <v>54</v>
      </c>
    </row>
    <row r="27" spans="1:18" s="4" customFormat="1" ht="18" customHeight="1" x14ac:dyDescent="0.45">
      <c r="A27" s="15"/>
      <c r="B27" s="17"/>
      <c r="C27" s="68"/>
      <c r="D27" s="68"/>
      <c r="E27" s="139"/>
      <c r="F27" s="115"/>
      <c r="G27" s="115"/>
      <c r="H27" s="115"/>
      <c r="I27" s="115"/>
      <c r="J27" s="115"/>
      <c r="K27" s="115"/>
      <c r="L27" s="115"/>
      <c r="M27" s="115"/>
      <c r="N27" s="115"/>
      <c r="O27" s="7"/>
      <c r="P27" s="15"/>
      <c r="Q27" s="7"/>
      <c r="R27" s="7"/>
    </row>
    <row r="28" spans="1:18" s="4" customFormat="1" ht="18" customHeight="1" x14ac:dyDescent="0.5">
      <c r="A28" s="22"/>
      <c r="B28" s="22" t="s">
        <v>53</v>
      </c>
      <c r="C28" s="23"/>
      <c r="D28" s="22" t="s">
        <v>52</v>
      </c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"/>
      <c r="P28" s="2"/>
      <c r="Q28" s="6"/>
      <c r="R28" s="6"/>
    </row>
    <row r="29" spans="1:18" s="4" customFormat="1" ht="18" customHeight="1" x14ac:dyDescent="0.5">
      <c r="A29" s="21"/>
      <c r="B29" s="22" t="s">
        <v>51</v>
      </c>
      <c r="C29" s="23"/>
      <c r="D29" s="22" t="s">
        <v>50</v>
      </c>
      <c r="E29" s="22"/>
      <c r="F29" s="21"/>
      <c r="G29" s="21"/>
      <c r="H29" s="21"/>
      <c r="I29" s="21"/>
      <c r="J29" s="21"/>
      <c r="K29" s="21"/>
      <c r="L29" s="21"/>
      <c r="M29" s="21"/>
      <c r="N29" s="21"/>
      <c r="O29" s="9"/>
      <c r="P29" s="9"/>
      <c r="Q29" s="5"/>
      <c r="R29" s="5"/>
    </row>
    <row r="30" spans="1:18" s="4" customFormat="1" ht="18" customHeight="1" x14ac:dyDescent="0.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"/>
      <c r="P30" s="2"/>
      <c r="Q30" s="1"/>
      <c r="R30" s="1"/>
    </row>
    <row r="31" spans="1:18" s="4" customFormat="1" ht="18" customHeight="1" x14ac:dyDescent="0.45">
      <c r="A31" s="144" t="s">
        <v>49</v>
      </c>
      <c r="B31" s="144"/>
      <c r="C31" s="144"/>
      <c r="D31" s="145"/>
      <c r="E31" s="114" t="s">
        <v>253</v>
      </c>
      <c r="F31" s="114" t="s">
        <v>48</v>
      </c>
      <c r="G31" s="65" t="s">
        <v>47</v>
      </c>
      <c r="H31" s="114" t="s">
        <v>46</v>
      </c>
      <c r="I31" s="65" t="s">
        <v>45</v>
      </c>
      <c r="J31" s="114" t="s">
        <v>44</v>
      </c>
      <c r="K31" s="114" t="s">
        <v>43</v>
      </c>
      <c r="L31" s="65" t="s">
        <v>42</v>
      </c>
      <c r="M31" s="114" t="s">
        <v>41</v>
      </c>
      <c r="N31" s="114" t="s">
        <v>40</v>
      </c>
      <c r="O31" s="148" t="s">
        <v>39</v>
      </c>
      <c r="P31" s="144"/>
      <c r="Q31" s="3"/>
      <c r="R31" s="3"/>
    </row>
    <row r="32" spans="1:18" s="4" customFormat="1" ht="13.9" customHeight="1" x14ac:dyDescent="0.45">
      <c r="A32" s="146"/>
      <c r="B32" s="146"/>
      <c r="C32" s="146"/>
      <c r="D32" s="147"/>
      <c r="E32" s="113" t="s">
        <v>92</v>
      </c>
      <c r="F32" s="113" t="s">
        <v>38</v>
      </c>
      <c r="G32" s="67" t="s">
        <v>37</v>
      </c>
      <c r="H32" s="113" t="s">
        <v>36</v>
      </c>
      <c r="I32" s="67" t="s">
        <v>35</v>
      </c>
      <c r="J32" s="113" t="s">
        <v>34</v>
      </c>
      <c r="K32" s="113" t="s">
        <v>33</v>
      </c>
      <c r="L32" s="66" t="s">
        <v>32</v>
      </c>
      <c r="M32" s="113" t="s">
        <v>31</v>
      </c>
      <c r="N32" s="113" t="s">
        <v>30</v>
      </c>
      <c r="O32" s="149"/>
      <c r="P32" s="146"/>
      <c r="Q32" s="3"/>
      <c r="R32" s="3"/>
    </row>
    <row r="33" spans="1:26" s="4" customFormat="1" ht="18" customHeight="1" x14ac:dyDescent="0.45">
      <c r="A33" s="15" t="s">
        <v>29</v>
      </c>
      <c r="B33" s="17"/>
      <c r="C33" s="68"/>
      <c r="D33" s="68"/>
      <c r="E33" s="177">
        <f t="shared" ref="E33:E44" si="2">SUM(F33:N33)</f>
        <v>3472640</v>
      </c>
      <c r="F33" s="108">
        <f>15742+10769</f>
        <v>26511</v>
      </c>
      <c r="G33" s="108">
        <v>1861</v>
      </c>
      <c r="H33" s="108">
        <v>8832</v>
      </c>
      <c r="I33" s="108">
        <v>20518</v>
      </c>
      <c r="J33" s="108">
        <v>813</v>
      </c>
      <c r="K33" s="108">
        <v>3377404</v>
      </c>
      <c r="L33" s="108">
        <v>36265</v>
      </c>
      <c r="M33" s="108">
        <v>436</v>
      </c>
      <c r="N33" s="108">
        <v>0</v>
      </c>
      <c r="O33" s="16"/>
      <c r="P33" s="15" t="s">
        <v>28</v>
      </c>
    </row>
    <row r="34" spans="1:26" s="4" customFormat="1" ht="18" customHeight="1" x14ac:dyDescent="0.5">
      <c r="A34" s="15" t="s">
        <v>27</v>
      </c>
      <c r="B34" s="17"/>
      <c r="C34" s="68"/>
      <c r="D34" s="68"/>
      <c r="E34" s="177">
        <f t="shared" si="2"/>
        <v>1735711</v>
      </c>
      <c r="F34" s="108">
        <f>10280+92179</f>
        <v>102459</v>
      </c>
      <c r="G34" s="108">
        <v>473</v>
      </c>
      <c r="H34" s="108">
        <v>80937</v>
      </c>
      <c r="I34" s="108">
        <v>7974</v>
      </c>
      <c r="J34" s="108">
        <v>248</v>
      </c>
      <c r="K34" s="108">
        <v>1532781</v>
      </c>
      <c r="L34" s="112">
        <v>9862</v>
      </c>
      <c r="M34" s="108">
        <v>977</v>
      </c>
      <c r="N34" s="108">
        <v>0</v>
      </c>
      <c r="O34" s="16"/>
      <c r="P34" s="15" t="s">
        <v>26</v>
      </c>
      <c r="U34" s="20"/>
    </row>
    <row r="35" spans="1:26" s="4" customFormat="1" ht="18" customHeight="1" x14ac:dyDescent="0.45">
      <c r="A35" s="15" t="s">
        <v>25</v>
      </c>
      <c r="B35" s="17"/>
      <c r="C35" s="68"/>
      <c r="D35" s="68"/>
      <c r="E35" s="177">
        <f t="shared" si="2"/>
        <v>4451816</v>
      </c>
      <c r="F35" s="108">
        <f>4277+399</f>
        <v>4676</v>
      </c>
      <c r="G35" s="108">
        <v>1195</v>
      </c>
      <c r="H35" s="108">
        <v>30930</v>
      </c>
      <c r="I35" s="108">
        <v>869</v>
      </c>
      <c r="J35" s="108">
        <v>33</v>
      </c>
      <c r="K35" s="108">
        <v>4412621</v>
      </c>
      <c r="L35" s="108">
        <v>1430</v>
      </c>
      <c r="M35" s="108">
        <v>61</v>
      </c>
      <c r="N35" s="108">
        <v>1</v>
      </c>
      <c r="O35" s="16"/>
      <c r="P35" s="15" t="s">
        <v>24</v>
      </c>
      <c r="U35" s="19"/>
    </row>
    <row r="36" spans="1:26" s="4" customFormat="1" ht="18" customHeight="1" x14ac:dyDescent="0.5">
      <c r="A36" s="15" t="s">
        <v>23</v>
      </c>
      <c r="B36" s="17"/>
      <c r="C36" s="68"/>
      <c r="D36" s="68"/>
      <c r="E36" s="177">
        <f t="shared" si="2"/>
        <v>102735</v>
      </c>
      <c r="F36" s="108">
        <f>11671+3</f>
        <v>11674</v>
      </c>
      <c r="G36" s="108">
        <v>2321</v>
      </c>
      <c r="H36" s="108">
        <v>2573</v>
      </c>
      <c r="I36" s="108">
        <v>261</v>
      </c>
      <c r="J36" s="108">
        <v>100</v>
      </c>
      <c r="K36" s="108">
        <v>81915</v>
      </c>
      <c r="L36" s="108">
        <v>3891</v>
      </c>
      <c r="M36" s="108">
        <v>0</v>
      </c>
      <c r="N36" s="108">
        <v>0</v>
      </c>
      <c r="O36" s="16"/>
      <c r="P36" s="15" t="s">
        <v>22</v>
      </c>
      <c r="U36" s="14"/>
    </row>
    <row r="37" spans="1:26" s="4" customFormat="1" ht="18" customHeight="1" x14ac:dyDescent="0.45">
      <c r="A37" s="15" t="s">
        <v>21</v>
      </c>
      <c r="B37" s="17"/>
      <c r="C37" s="68"/>
      <c r="D37" s="68"/>
      <c r="E37" s="177">
        <f t="shared" si="2"/>
        <v>120170</v>
      </c>
      <c r="F37" s="108">
        <f>10391+7</f>
        <v>10398</v>
      </c>
      <c r="G37" s="108">
        <v>2815</v>
      </c>
      <c r="H37" s="108">
        <v>1281</v>
      </c>
      <c r="I37" s="108">
        <v>96</v>
      </c>
      <c r="J37" s="108">
        <v>94</v>
      </c>
      <c r="K37" s="108">
        <v>99599</v>
      </c>
      <c r="L37" s="108">
        <v>5868</v>
      </c>
      <c r="M37" s="108">
        <v>19</v>
      </c>
      <c r="N37" s="108">
        <v>0</v>
      </c>
      <c r="O37" s="16"/>
      <c r="P37" s="15" t="s">
        <v>20</v>
      </c>
      <c r="U37" s="18"/>
    </row>
    <row r="38" spans="1:26" s="4" customFormat="1" ht="18" customHeight="1" x14ac:dyDescent="0.45">
      <c r="A38" s="15" t="s">
        <v>19</v>
      </c>
      <c r="B38" s="17"/>
      <c r="C38" s="68"/>
      <c r="D38" s="68"/>
      <c r="E38" s="177">
        <f t="shared" si="2"/>
        <v>139222</v>
      </c>
      <c r="F38" s="108">
        <f>13121+599</f>
        <v>13720</v>
      </c>
      <c r="G38" s="108">
        <v>1272</v>
      </c>
      <c r="H38" s="108">
        <v>1842</v>
      </c>
      <c r="I38" s="108">
        <v>1449</v>
      </c>
      <c r="J38" s="108">
        <v>165</v>
      </c>
      <c r="K38" s="108">
        <v>116339</v>
      </c>
      <c r="L38" s="108">
        <v>4344</v>
      </c>
      <c r="M38" s="108">
        <v>91</v>
      </c>
      <c r="N38" s="108">
        <v>0</v>
      </c>
      <c r="O38" s="16"/>
      <c r="P38" s="15" t="s">
        <v>18</v>
      </c>
      <c r="U38" s="18"/>
    </row>
    <row r="39" spans="1:26" s="4" customFormat="1" ht="18" customHeight="1" x14ac:dyDescent="0.5">
      <c r="A39" s="15" t="s">
        <v>17</v>
      </c>
      <c r="B39" s="17"/>
      <c r="C39" s="68"/>
      <c r="D39" s="68"/>
      <c r="E39" s="177">
        <f t="shared" si="2"/>
        <v>196135</v>
      </c>
      <c r="F39" s="108">
        <f>16436+2845</f>
        <v>19281</v>
      </c>
      <c r="G39" s="108">
        <v>777</v>
      </c>
      <c r="H39" s="108">
        <v>2210</v>
      </c>
      <c r="I39" s="108">
        <v>11128</v>
      </c>
      <c r="J39" s="108">
        <v>100</v>
      </c>
      <c r="K39" s="108">
        <v>153180</v>
      </c>
      <c r="L39" s="108">
        <v>9248</v>
      </c>
      <c r="M39" s="108">
        <v>211</v>
      </c>
      <c r="N39" s="108">
        <v>0</v>
      </c>
      <c r="O39" s="16"/>
      <c r="P39" s="15" t="s">
        <v>16</v>
      </c>
      <c r="V39" s="14"/>
      <c r="W39" s="14"/>
      <c r="X39" s="14"/>
      <c r="Y39" s="14"/>
      <c r="Z39" s="14"/>
    </row>
    <row r="40" spans="1:26" s="4" customFormat="1" ht="18" customHeight="1" x14ac:dyDescent="0.5">
      <c r="A40" s="15" t="s">
        <v>15</v>
      </c>
      <c r="B40" s="17"/>
      <c r="C40" s="68"/>
      <c r="D40" s="68"/>
      <c r="E40" s="177">
        <f t="shared" si="2"/>
        <v>157430</v>
      </c>
      <c r="F40" s="108">
        <f>9822+2</f>
        <v>9824</v>
      </c>
      <c r="G40" s="108">
        <v>1830</v>
      </c>
      <c r="H40" s="108">
        <v>4894</v>
      </c>
      <c r="I40" s="108">
        <v>63</v>
      </c>
      <c r="J40" s="108">
        <v>203</v>
      </c>
      <c r="K40" s="108">
        <v>129972</v>
      </c>
      <c r="L40" s="108">
        <v>10644</v>
      </c>
      <c r="M40" s="108">
        <v>0</v>
      </c>
      <c r="N40" s="108">
        <v>0</v>
      </c>
      <c r="O40" s="16"/>
      <c r="P40" s="15" t="s">
        <v>14</v>
      </c>
      <c r="V40" s="14"/>
      <c r="W40" s="14"/>
      <c r="X40" s="14"/>
      <c r="Y40" s="14"/>
      <c r="Z40" s="14"/>
    </row>
    <row r="41" spans="1:26" s="4" customFormat="1" ht="18" customHeight="1" x14ac:dyDescent="0.45">
      <c r="A41" s="15" t="s">
        <v>13</v>
      </c>
      <c r="B41" s="17"/>
      <c r="C41" s="68"/>
      <c r="D41" s="68"/>
      <c r="E41" s="177">
        <f t="shared" si="2"/>
        <v>512446</v>
      </c>
      <c r="F41" s="108">
        <f>7077+401</f>
        <v>7478</v>
      </c>
      <c r="G41" s="108">
        <v>741</v>
      </c>
      <c r="H41" s="108">
        <v>2632</v>
      </c>
      <c r="I41" s="108">
        <v>3447</v>
      </c>
      <c r="J41" s="108">
        <v>117</v>
      </c>
      <c r="K41" s="108">
        <v>492715</v>
      </c>
      <c r="L41" s="108">
        <v>5242</v>
      </c>
      <c r="M41" s="108">
        <v>74</v>
      </c>
      <c r="N41" s="108">
        <v>0</v>
      </c>
      <c r="O41" s="16"/>
      <c r="P41" s="15" t="s">
        <v>12</v>
      </c>
      <c r="V41" s="17"/>
      <c r="W41" s="17"/>
      <c r="X41" s="17"/>
      <c r="Y41" s="17"/>
      <c r="Z41" s="17"/>
    </row>
    <row r="42" spans="1:26" s="4" customFormat="1" ht="18" customHeight="1" x14ac:dyDescent="0.5">
      <c r="A42" s="15" t="s">
        <v>11</v>
      </c>
      <c r="B42" s="17"/>
      <c r="C42" s="68"/>
      <c r="D42" s="68"/>
      <c r="E42" s="177">
        <f t="shared" si="2"/>
        <v>238801</v>
      </c>
      <c r="F42" s="108">
        <f>7463+35</f>
        <v>7498</v>
      </c>
      <c r="G42" s="108">
        <v>1290</v>
      </c>
      <c r="H42" s="108">
        <v>5567</v>
      </c>
      <c r="I42" s="108">
        <v>255</v>
      </c>
      <c r="J42" s="108">
        <v>191</v>
      </c>
      <c r="K42" s="108">
        <v>210688</v>
      </c>
      <c r="L42" s="108">
        <v>13312</v>
      </c>
      <c r="M42" s="108">
        <v>0</v>
      </c>
      <c r="N42" s="108">
        <v>0</v>
      </c>
      <c r="O42" s="16"/>
      <c r="P42" s="15" t="s">
        <v>10</v>
      </c>
      <c r="V42" s="14"/>
      <c r="W42" s="14"/>
      <c r="X42" s="14"/>
      <c r="Y42" s="14"/>
      <c r="Z42" s="14"/>
    </row>
    <row r="43" spans="1:26" s="4" customFormat="1" ht="18" customHeight="1" x14ac:dyDescent="0.5">
      <c r="A43" s="15" t="s">
        <v>9</v>
      </c>
      <c r="B43" s="17"/>
      <c r="C43" s="68"/>
      <c r="D43" s="68"/>
      <c r="E43" s="177">
        <f t="shared" si="2"/>
        <v>146549</v>
      </c>
      <c r="F43" s="108">
        <f>7980+27</f>
        <v>8007</v>
      </c>
      <c r="G43" s="108">
        <v>1734</v>
      </c>
      <c r="H43" s="108">
        <v>963</v>
      </c>
      <c r="I43" s="108">
        <v>261</v>
      </c>
      <c r="J43" s="108">
        <v>68</v>
      </c>
      <c r="K43" s="108">
        <v>128591</v>
      </c>
      <c r="L43" s="108">
        <v>6904</v>
      </c>
      <c r="M43" s="108">
        <v>21</v>
      </c>
      <c r="N43" s="108">
        <v>0</v>
      </c>
      <c r="O43" s="16"/>
      <c r="P43" s="15" t="s">
        <v>8</v>
      </c>
      <c r="V43" s="14"/>
      <c r="W43" s="14"/>
      <c r="X43" s="14"/>
      <c r="Y43" s="14"/>
      <c r="Z43" s="14"/>
    </row>
    <row r="44" spans="1:26" s="4" customFormat="1" ht="18" customHeight="1" x14ac:dyDescent="0.5">
      <c r="A44" s="15" t="s">
        <v>7</v>
      </c>
      <c r="B44" s="17"/>
      <c r="C44" s="68"/>
      <c r="D44" s="68"/>
      <c r="E44" s="177">
        <f t="shared" si="2"/>
        <v>97181</v>
      </c>
      <c r="F44" s="108">
        <f>9368+4</f>
        <v>9372</v>
      </c>
      <c r="G44" s="108">
        <v>3269</v>
      </c>
      <c r="H44" s="108">
        <v>3290</v>
      </c>
      <c r="I44" s="108">
        <v>169</v>
      </c>
      <c r="J44" s="108">
        <v>106</v>
      </c>
      <c r="K44" s="108">
        <v>78571</v>
      </c>
      <c r="L44" s="108">
        <v>2404</v>
      </c>
      <c r="M44" s="108">
        <v>0</v>
      </c>
      <c r="N44" s="108">
        <v>0</v>
      </c>
      <c r="O44" s="16"/>
      <c r="P44" s="15" t="s">
        <v>6</v>
      </c>
      <c r="V44" s="14"/>
      <c r="W44" s="14"/>
      <c r="X44" s="14"/>
      <c r="Y44" s="14"/>
      <c r="Z44" s="14"/>
    </row>
    <row r="45" spans="1:26" s="4" customFormat="1" ht="18" customHeight="1" x14ac:dyDescent="0.5">
      <c r="A45" s="15" t="s">
        <v>5</v>
      </c>
      <c r="B45" s="17"/>
      <c r="C45" s="68"/>
      <c r="D45" s="68"/>
      <c r="E45" s="177">
        <f>SUM(F45:N45)</f>
        <v>1408435</v>
      </c>
      <c r="F45" s="108">
        <f>6254+38</f>
        <v>6292</v>
      </c>
      <c r="G45" s="108">
        <v>155</v>
      </c>
      <c r="H45" s="108">
        <v>5198</v>
      </c>
      <c r="I45" s="108">
        <v>101</v>
      </c>
      <c r="J45" s="108">
        <v>10</v>
      </c>
      <c r="K45" s="108">
        <v>1390668</v>
      </c>
      <c r="L45" s="108">
        <v>6011</v>
      </c>
      <c r="M45" s="108">
        <v>0</v>
      </c>
      <c r="N45" s="108">
        <v>0</v>
      </c>
      <c r="O45" s="16"/>
      <c r="P45" s="15" t="s">
        <v>4</v>
      </c>
      <c r="V45" s="14"/>
      <c r="W45" s="14"/>
      <c r="X45" s="14"/>
      <c r="Y45" s="14"/>
      <c r="Z45" s="14"/>
    </row>
    <row r="46" spans="1:26" ht="7.5" customHeight="1" x14ac:dyDescent="0.5">
      <c r="A46" s="8"/>
      <c r="B46" s="8"/>
      <c r="C46" s="8"/>
      <c r="D46" s="8"/>
      <c r="E46" s="138"/>
      <c r="F46" s="107"/>
      <c r="G46" s="107"/>
      <c r="H46" s="107"/>
      <c r="I46" s="118"/>
      <c r="J46" s="107"/>
      <c r="K46" s="107"/>
      <c r="L46" s="8"/>
      <c r="M46" s="106"/>
      <c r="N46" s="106"/>
      <c r="O46" s="13"/>
      <c r="P46" s="9"/>
      <c r="U46" s="4"/>
    </row>
    <row r="47" spans="1:26" ht="3" customHeight="1" x14ac:dyDescent="0.5">
      <c r="A47" s="10"/>
      <c r="B47" s="10"/>
      <c r="C47" s="10"/>
      <c r="D47" s="12"/>
      <c r="E47" s="12"/>
      <c r="F47" s="105"/>
      <c r="G47" s="12"/>
      <c r="H47" s="105"/>
      <c r="I47" s="12"/>
      <c r="J47" s="105"/>
      <c r="K47" s="105"/>
      <c r="L47" s="10"/>
      <c r="M47" s="105"/>
      <c r="N47" s="105"/>
      <c r="O47" s="11"/>
      <c r="P47" s="10"/>
      <c r="U47" s="4"/>
    </row>
    <row r="48" spans="1:26" s="8" customFormat="1" ht="24" customHeight="1" x14ac:dyDescent="0.5">
      <c r="A48" s="9"/>
      <c r="B48" s="9" t="s">
        <v>3</v>
      </c>
      <c r="C48" s="9"/>
      <c r="D48" s="9"/>
      <c r="E48" s="9"/>
      <c r="F48" s="9"/>
      <c r="G48" s="9"/>
      <c r="J48" s="9" t="s">
        <v>2</v>
      </c>
      <c r="K48" s="9"/>
      <c r="L48" s="9"/>
      <c r="M48" s="9"/>
      <c r="N48" s="9"/>
      <c r="O48" s="9"/>
      <c r="P48" s="9"/>
      <c r="U48" s="4"/>
      <c r="V48" s="1"/>
      <c r="W48" s="1"/>
      <c r="X48" s="1"/>
      <c r="Y48" s="1"/>
      <c r="Z48" s="1"/>
    </row>
    <row r="49" spans="1:26" x14ac:dyDescent="0.5">
      <c r="U49" s="4"/>
    </row>
    <row r="50" spans="1:26" x14ac:dyDescent="0.5">
      <c r="U50" s="4"/>
    </row>
    <row r="51" spans="1:26" x14ac:dyDescent="0.5">
      <c r="U51" s="4"/>
    </row>
    <row r="52" spans="1:26" s="7" customFormat="1" ht="40.5" customHeight="1" x14ac:dyDescent="0.45">
      <c r="V52" s="4"/>
      <c r="W52" s="4"/>
      <c r="X52" s="4"/>
      <c r="Y52" s="4"/>
      <c r="Z52" s="4"/>
    </row>
    <row r="53" spans="1:26" s="6" customFormat="1" ht="22.15" customHeight="1" x14ac:dyDescent="0.5">
      <c r="V53" s="4"/>
      <c r="W53" s="4"/>
      <c r="X53" s="4"/>
      <c r="Y53" s="4"/>
      <c r="Z53" s="4"/>
    </row>
    <row r="54" spans="1:26" s="5" customFormat="1" ht="19.5" x14ac:dyDescent="0.45">
      <c r="V54" s="4"/>
      <c r="W54" s="4"/>
      <c r="X54" s="4"/>
      <c r="Y54" s="4"/>
      <c r="Z54" s="4"/>
    </row>
    <row r="55" spans="1:26" ht="10.9" customHeight="1" x14ac:dyDescent="0.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V55" s="4"/>
      <c r="W55" s="4"/>
      <c r="X55" s="4"/>
      <c r="Y55" s="4"/>
      <c r="Z55" s="4"/>
    </row>
    <row r="56" spans="1:26" s="3" customFormat="1" ht="24" customHeight="1" x14ac:dyDescent="0.45">
      <c r="V56" s="4"/>
      <c r="W56" s="4"/>
      <c r="X56" s="4"/>
      <c r="Y56" s="4"/>
      <c r="Z56" s="4"/>
    </row>
    <row r="57" spans="1:26" s="3" customFormat="1" ht="24" customHeight="1" x14ac:dyDescent="0.45">
      <c r="V57" s="4"/>
      <c r="W57" s="4"/>
      <c r="X57" s="4"/>
      <c r="Y57" s="4"/>
      <c r="Z57" s="4"/>
    </row>
  </sheetData>
  <mergeCells count="5">
    <mergeCell ref="A4:D5"/>
    <mergeCell ref="O4:P5"/>
    <mergeCell ref="B7:D7"/>
    <mergeCell ref="A31:D32"/>
    <mergeCell ref="O31:P32"/>
  </mergeCells>
  <pageMargins left="0.55118110236220474" right="0" top="0.98425196850393704" bottom="0.78740157480314965" header="0.51181102362204722" footer="0.51181102362204722"/>
  <pageSetup paperSize="9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abSelected="1" workbookViewId="0"/>
  </sheetViews>
  <sheetFormatPr defaultRowHeight="14.25" x14ac:dyDescent="0.2"/>
  <cols>
    <col min="1" max="1" width="14" bestFit="1" customWidth="1"/>
    <col min="2" max="2" width="6.625" customWidth="1"/>
    <col min="3" max="3" width="19.375" customWidth="1"/>
    <col min="4" max="4" width="12" customWidth="1"/>
    <col min="5" max="5" width="19.5" customWidth="1"/>
    <col min="6" max="6" width="16.5" customWidth="1"/>
    <col min="7" max="7" width="8.75" customWidth="1"/>
    <col min="8" max="8" width="11.25" customWidth="1"/>
    <col min="9" max="9" width="9" customWidth="1"/>
    <col min="10" max="10" width="15.75" customWidth="1"/>
    <col min="11" max="11" width="19.125" customWidth="1"/>
    <col min="12" max="12" width="6.25" customWidth="1"/>
    <col min="13" max="13" width="24.125" bestFit="1" customWidth="1"/>
  </cols>
  <sheetData>
    <row r="1" spans="1:13" ht="27.75" x14ac:dyDescent="0.65">
      <c r="A1" s="251" t="s">
        <v>343</v>
      </c>
    </row>
    <row r="2" spans="1:13" ht="27.75" x14ac:dyDescent="0.65">
      <c r="A2" s="251" t="s">
        <v>344</v>
      </c>
    </row>
    <row r="3" spans="1:13" ht="19.5" x14ac:dyDescent="0.45">
      <c r="A3" s="172" t="s">
        <v>340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</row>
    <row r="4" spans="1:13" ht="21.75" x14ac:dyDescent="0.2">
      <c r="A4" s="169" t="s">
        <v>49</v>
      </c>
      <c r="B4" s="91" t="s">
        <v>253</v>
      </c>
      <c r="C4" s="239" t="s">
        <v>361</v>
      </c>
      <c r="D4" s="240" t="s">
        <v>359</v>
      </c>
      <c r="E4" s="237" t="s">
        <v>357</v>
      </c>
      <c r="F4" s="241" t="s">
        <v>355</v>
      </c>
      <c r="G4" s="239" t="s">
        <v>353</v>
      </c>
      <c r="H4" s="239" t="s">
        <v>351</v>
      </c>
      <c r="I4" s="240" t="s">
        <v>349</v>
      </c>
      <c r="J4" s="237" t="s">
        <v>347</v>
      </c>
      <c r="K4" s="237" t="s">
        <v>345</v>
      </c>
      <c r="L4" s="183" t="s">
        <v>0</v>
      </c>
      <c r="M4" s="169" t="s">
        <v>39</v>
      </c>
    </row>
    <row r="5" spans="1:13" ht="21.75" x14ac:dyDescent="0.2">
      <c r="A5" s="178"/>
      <c r="B5" s="92" t="s">
        <v>92</v>
      </c>
      <c r="C5" s="242" t="s">
        <v>362</v>
      </c>
      <c r="D5" s="243" t="s">
        <v>360</v>
      </c>
      <c r="E5" s="238" t="s">
        <v>358</v>
      </c>
      <c r="F5" s="244" t="s">
        <v>356</v>
      </c>
      <c r="G5" s="242" t="s">
        <v>354</v>
      </c>
      <c r="H5" s="242" t="s">
        <v>352</v>
      </c>
      <c r="I5" s="243" t="s">
        <v>350</v>
      </c>
      <c r="J5" s="238" t="s">
        <v>348</v>
      </c>
      <c r="K5" s="238" t="s">
        <v>346</v>
      </c>
      <c r="L5" s="104" t="s">
        <v>1</v>
      </c>
      <c r="M5" s="178"/>
    </row>
    <row r="6" spans="1:13" ht="19.5" x14ac:dyDescent="0.45">
      <c r="A6" s="184" t="s">
        <v>93</v>
      </c>
      <c r="B6" s="229">
        <v>8346.42</v>
      </c>
      <c r="C6" s="231">
        <v>843</v>
      </c>
      <c r="D6" s="233">
        <v>720.02</v>
      </c>
      <c r="E6" s="232">
        <v>648.26</v>
      </c>
      <c r="F6" s="230">
        <v>1357.66</v>
      </c>
      <c r="G6" s="229">
        <v>1171.48</v>
      </c>
      <c r="H6" s="231">
        <v>12.67</v>
      </c>
      <c r="I6" s="233">
        <v>51.2</v>
      </c>
      <c r="J6" s="232">
        <v>127.74</v>
      </c>
      <c r="K6" s="232">
        <v>0.41</v>
      </c>
      <c r="L6" s="234">
        <v>3413.98</v>
      </c>
      <c r="M6" s="184" t="s">
        <v>92</v>
      </c>
    </row>
    <row r="7" spans="1:13" ht="19.5" x14ac:dyDescent="0.45">
      <c r="A7" s="185" t="s">
        <v>91</v>
      </c>
      <c r="B7" s="189">
        <v>264.83999999999997</v>
      </c>
      <c r="C7" s="189">
        <v>26.75</v>
      </c>
      <c r="D7" s="198">
        <v>22.85</v>
      </c>
      <c r="E7" s="191">
        <v>20.57</v>
      </c>
      <c r="F7" s="141">
        <v>43.08</v>
      </c>
      <c r="G7" s="189">
        <v>37.17</v>
      </c>
      <c r="H7" s="189">
        <v>0.4</v>
      </c>
      <c r="I7" s="198">
        <v>1.62</v>
      </c>
      <c r="J7" s="191">
        <v>4.05</v>
      </c>
      <c r="K7" s="191">
        <v>0.01</v>
      </c>
      <c r="L7" s="191">
        <v>108.33</v>
      </c>
      <c r="M7" s="185" t="s">
        <v>297</v>
      </c>
    </row>
    <row r="8" spans="1:13" ht="19.5" x14ac:dyDescent="0.45">
      <c r="A8" s="185" t="s">
        <v>89</v>
      </c>
      <c r="B8" s="189">
        <v>116.25</v>
      </c>
      <c r="C8" s="189">
        <v>11.74</v>
      </c>
      <c r="D8" s="198">
        <v>10.029999999999999</v>
      </c>
      <c r="E8" s="191">
        <v>9.0299999999999994</v>
      </c>
      <c r="F8" s="141">
        <v>18.91</v>
      </c>
      <c r="G8" s="189">
        <v>16.32</v>
      </c>
      <c r="H8" s="189">
        <v>0.18</v>
      </c>
      <c r="I8" s="198">
        <v>0.71</v>
      </c>
      <c r="J8" s="191">
        <v>1.78</v>
      </c>
      <c r="K8" s="191">
        <v>0.01</v>
      </c>
      <c r="L8" s="191">
        <v>47.55</v>
      </c>
      <c r="M8" s="185" t="s">
        <v>296</v>
      </c>
    </row>
    <row r="9" spans="1:13" ht="19.5" x14ac:dyDescent="0.45">
      <c r="A9" s="185" t="s">
        <v>87</v>
      </c>
      <c r="B9" s="189">
        <v>256.68</v>
      </c>
      <c r="C9" s="189">
        <v>25.92</v>
      </c>
      <c r="D9" s="198">
        <v>22.14</v>
      </c>
      <c r="E9" s="191">
        <v>19.940000000000001</v>
      </c>
      <c r="F9" s="141">
        <v>41.75</v>
      </c>
      <c r="G9" s="189">
        <v>36.03</v>
      </c>
      <c r="H9" s="189">
        <v>0.39</v>
      </c>
      <c r="I9" s="198">
        <v>1.57</v>
      </c>
      <c r="J9" s="191">
        <v>3.93</v>
      </c>
      <c r="K9" s="191">
        <v>0.01</v>
      </c>
      <c r="L9" s="191">
        <v>104.99</v>
      </c>
      <c r="M9" s="185" t="s">
        <v>295</v>
      </c>
    </row>
    <row r="10" spans="1:13" ht="19.5" x14ac:dyDescent="0.45">
      <c r="A10" s="185" t="s">
        <v>85</v>
      </c>
      <c r="B10" s="189">
        <v>231.91</v>
      </c>
      <c r="C10" s="189">
        <v>23.42</v>
      </c>
      <c r="D10" s="198">
        <v>20.010000000000002</v>
      </c>
      <c r="E10" s="191">
        <v>18.010000000000002</v>
      </c>
      <c r="F10" s="141">
        <v>37.72</v>
      </c>
      <c r="G10" s="189">
        <v>32.549999999999997</v>
      </c>
      <c r="H10" s="189">
        <v>0.35</v>
      </c>
      <c r="I10" s="198">
        <v>1.42</v>
      </c>
      <c r="J10" s="191">
        <v>3.55</v>
      </c>
      <c r="K10" s="191">
        <v>0.01</v>
      </c>
      <c r="L10" s="191">
        <v>94.86</v>
      </c>
      <c r="M10" s="185" t="s">
        <v>294</v>
      </c>
    </row>
    <row r="11" spans="1:13" ht="19.5" x14ac:dyDescent="0.45">
      <c r="A11" s="185" t="s">
        <v>83</v>
      </c>
      <c r="B11" s="189">
        <v>76.91</v>
      </c>
      <c r="C11" s="189">
        <v>7.76</v>
      </c>
      <c r="D11" s="198">
        <v>6.64</v>
      </c>
      <c r="E11" s="191">
        <v>5.97</v>
      </c>
      <c r="F11" s="141">
        <v>12.51</v>
      </c>
      <c r="G11" s="189">
        <v>10.8</v>
      </c>
      <c r="H11" s="189">
        <v>0.12</v>
      </c>
      <c r="I11" s="198">
        <v>0.47</v>
      </c>
      <c r="J11" s="191">
        <v>1.18</v>
      </c>
      <c r="K11" s="191">
        <v>0</v>
      </c>
      <c r="L11" s="191">
        <v>31.46</v>
      </c>
      <c r="M11" s="185" t="s">
        <v>293</v>
      </c>
    </row>
    <row r="12" spans="1:13" ht="19.5" x14ac:dyDescent="0.45">
      <c r="A12" s="185" t="s">
        <v>81</v>
      </c>
      <c r="B12" s="189">
        <v>650.59</v>
      </c>
      <c r="C12" s="189">
        <v>65.709999999999994</v>
      </c>
      <c r="D12" s="198">
        <v>56.12</v>
      </c>
      <c r="E12" s="191">
        <v>50.53</v>
      </c>
      <c r="F12" s="141">
        <v>105.83</v>
      </c>
      <c r="G12" s="189">
        <v>91.32</v>
      </c>
      <c r="H12" s="189">
        <v>0.99</v>
      </c>
      <c r="I12" s="198">
        <v>3.99</v>
      </c>
      <c r="J12" s="191">
        <v>9.9600000000000009</v>
      </c>
      <c r="K12" s="191">
        <v>0.03</v>
      </c>
      <c r="L12" s="191">
        <v>266.12</v>
      </c>
      <c r="M12" s="185" t="s">
        <v>292</v>
      </c>
    </row>
    <row r="13" spans="1:13" ht="19.5" x14ac:dyDescent="0.45">
      <c r="A13" s="185" t="s">
        <v>79</v>
      </c>
      <c r="B13" s="189">
        <v>107.51</v>
      </c>
      <c r="C13" s="189">
        <v>10.86</v>
      </c>
      <c r="D13" s="198">
        <v>9.27</v>
      </c>
      <c r="E13" s="191">
        <v>8.35</v>
      </c>
      <c r="F13" s="141">
        <v>17.489999999999998</v>
      </c>
      <c r="G13" s="189">
        <v>15.09</v>
      </c>
      <c r="H13" s="189">
        <v>0.16</v>
      </c>
      <c r="I13" s="198">
        <v>0.66</v>
      </c>
      <c r="J13" s="191">
        <v>1.65</v>
      </c>
      <c r="K13" s="191">
        <v>0.01</v>
      </c>
      <c r="L13" s="191">
        <v>43.98</v>
      </c>
      <c r="M13" s="185" t="s">
        <v>291</v>
      </c>
    </row>
    <row r="14" spans="1:13" ht="19.5" x14ac:dyDescent="0.45">
      <c r="A14" s="185" t="s">
        <v>77</v>
      </c>
      <c r="B14" s="189">
        <v>237.45</v>
      </c>
      <c r="C14" s="189">
        <v>23.98</v>
      </c>
      <c r="D14" s="198">
        <v>20.48</v>
      </c>
      <c r="E14" s="191">
        <v>18.440000000000001</v>
      </c>
      <c r="F14" s="141">
        <v>38.630000000000003</v>
      </c>
      <c r="G14" s="189">
        <v>33.33</v>
      </c>
      <c r="H14" s="189">
        <v>0.36</v>
      </c>
      <c r="I14" s="198">
        <v>1.46</v>
      </c>
      <c r="J14" s="191">
        <v>3.63</v>
      </c>
      <c r="K14" s="191">
        <v>0.01</v>
      </c>
      <c r="L14" s="191">
        <v>97.13</v>
      </c>
      <c r="M14" s="185" t="s">
        <v>290</v>
      </c>
    </row>
    <row r="15" spans="1:13" ht="19.5" x14ac:dyDescent="0.45">
      <c r="A15" s="185" t="s">
        <v>75</v>
      </c>
      <c r="B15" s="189">
        <v>426.25</v>
      </c>
      <c r="C15" s="189">
        <v>43.05</v>
      </c>
      <c r="D15" s="198">
        <v>36.770000000000003</v>
      </c>
      <c r="E15" s="191">
        <v>33.11</v>
      </c>
      <c r="F15" s="141">
        <v>69.34</v>
      </c>
      <c r="G15" s="189">
        <v>59.83</v>
      </c>
      <c r="H15" s="189">
        <v>0.65</v>
      </c>
      <c r="I15" s="198">
        <v>2.61</v>
      </c>
      <c r="J15" s="191">
        <v>6.52</v>
      </c>
      <c r="K15" s="191">
        <v>0.02</v>
      </c>
      <c r="L15" s="191">
        <v>174.35</v>
      </c>
      <c r="M15" s="185" t="s">
        <v>289</v>
      </c>
    </row>
    <row r="16" spans="1:13" ht="19.5" x14ac:dyDescent="0.45">
      <c r="A16" s="185" t="s">
        <v>73</v>
      </c>
      <c r="B16" s="189">
        <v>411.97</v>
      </c>
      <c r="C16" s="189">
        <v>41.61</v>
      </c>
      <c r="D16" s="198">
        <v>35.54</v>
      </c>
      <c r="E16" s="191">
        <v>32</v>
      </c>
      <c r="F16" s="141">
        <v>67.010000000000005</v>
      </c>
      <c r="G16" s="189">
        <v>57.82</v>
      </c>
      <c r="H16" s="189">
        <v>0.63</v>
      </c>
      <c r="I16" s="198">
        <v>2.5299999999999998</v>
      </c>
      <c r="J16" s="191">
        <v>6.31</v>
      </c>
      <c r="K16" s="191">
        <v>0.02</v>
      </c>
      <c r="L16" s="191">
        <v>168.51</v>
      </c>
      <c r="M16" s="185" t="s">
        <v>288</v>
      </c>
    </row>
    <row r="17" spans="1:13" ht="19.5" x14ac:dyDescent="0.45">
      <c r="A17" s="185" t="s">
        <v>71</v>
      </c>
      <c r="B17" s="189">
        <v>17.78</v>
      </c>
      <c r="C17" s="189">
        <v>1.8</v>
      </c>
      <c r="D17" s="198">
        <v>1.53</v>
      </c>
      <c r="E17" s="191">
        <v>1.38</v>
      </c>
      <c r="F17" s="141">
        <v>2.89</v>
      </c>
      <c r="G17" s="189">
        <v>2.4900000000000002</v>
      </c>
      <c r="H17" s="189">
        <v>0.03</v>
      </c>
      <c r="I17" s="198">
        <v>0.11</v>
      </c>
      <c r="J17" s="191">
        <v>0.27</v>
      </c>
      <c r="K17" s="191">
        <v>0</v>
      </c>
      <c r="L17" s="191">
        <v>7.27</v>
      </c>
      <c r="M17" s="185" t="s">
        <v>287</v>
      </c>
    </row>
    <row r="18" spans="1:13" ht="19.5" x14ac:dyDescent="0.45">
      <c r="A18" s="185" t="s">
        <v>69</v>
      </c>
      <c r="B18" s="189">
        <v>199</v>
      </c>
      <c r="C18" s="189">
        <v>20.100000000000001</v>
      </c>
      <c r="D18" s="198">
        <v>17.170000000000002</v>
      </c>
      <c r="E18" s="191">
        <v>15.46</v>
      </c>
      <c r="F18" s="141">
        <v>32.369999999999997</v>
      </c>
      <c r="G18" s="189">
        <v>27.93</v>
      </c>
      <c r="H18" s="189">
        <v>0.3</v>
      </c>
      <c r="I18" s="198">
        <v>1.22</v>
      </c>
      <c r="J18" s="191">
        <v>3.05</v>
      </c>
      <c r="K18" s="191">
        <v>0.01</v>
      </c>
      <c r="L18" s="191">
        <v>81.400000000000006</v>
      </c>
      <c r="M18" s="185" t="s">
        <v>286</v>
      </c>
    </row>
    <row r="19" spans="1:13" ht="19.5" x14ac:dyDescent="0.45">
      <c r="A19" s="185" t="s">
        <v>67</v>
      </c>
      <c r="B19" s="189">
        <v>113.34</v>
      </c>
      <c r="C19" s="189">
        <v>11.45</v>
      </c>
      <c r="D19" s="198">
        <v>9.7799999999999994</v>
      </c>
      <c r="E19" s="191">
        <v>8.8000000000000007</v>
      </c>
      <c r="F19" s="141">
        <v>18.440000000000001</v>
      </c>
      <c r="G19" s="189">
        <v>15.91</v>
      </c>
      <c r="H19" s="189">
        <v>0.17</v>
      </c>
      <c r="I19" s="198">
        <v>0.7</v>
      </c>
      <c r="J19" s="191">
        <v>1.73</v>
      </c>
      <c r="K19" s="191">
        <v>0.01</v>
      </c>
      <c r="L19" s="191">
        <v>46.36</v>
      </c>
      <c r="M19" s="185" t="s">
        <v>285</v>
      </c>
    </row>
    <row r="20" spans="1:13" ht="19.5" x14ac:dyDescent="0.45">
      <c r="A20" s="185" t="s">
        <v>65</v>
      </c>
      <c r="B20" s="189">
        <v>97.9</v>
      </c>
      <c r="C20" s="189">
        <v>9.89</v>
      </c>
      <c r="D20" s="198">
        <v>8.4499999999999993</v>
      </c>
      <c r="E20" s="191">
        <v>7.6</v>
      </c>
      <c r="F20" s="141">
        <v>15.92</v>
      </c>
      <c r="G20" s="189">
        <v>13.74</v>
      </c>
      <c r="H20" s="189">
        <v>0.15</v>
      </c>
      <c r="I20" s="198">
        <v>0.6</v>
      </c>
      <c r="J20" s="191">
        <v>1.5</v>
      </c>
      <c r="K20" s="191">
        <v>0</v>
      </c>
      <c r="L20" s="191">
        <v>40.04</v>
      </c>
      <c r="M20" s="185" t="s">
        <v>284</v>
      </c>
    </row>
    <row r="21" spans="1:13" ht="19.5" x14ac:dyDescent="0.45">
      <c r="A21" s="185" t="s">
        <v>63</v>
      </c>
      <c r="B21" s="189">
        <v>754.32</v>
      </c>
      <c r="C21" s="189">
        <v>76.19</v>
      </c>
      <c r="D21" s="198">
        <v>65.069999999999993</v>
      </c>
      <c r="E21" s="191">
        <v>58.59</v>
      </c>
      <c r="F21" s="141">
        <v>122.7</v>
      </c>
      <c r="G21" s="189">
        <v>105.87</v>
      </c>
      <c r="H21" s="189">
        <v>1.1499999999999999</v>
      </c>
      <c r="I21" s="198">
        <v>4.63</v>
      </c>
      <c r="J21" s="191">
        <v>11.54</v>
      </c>
      <c r="K21" s="191">
        <v>0.04</v>
      </c>
      <c r="L21" s="191">
        <v>308.54000000000002</v>
      </c>
      <c r="M21" s="185" t="s">
        <v>283</v>
      </c>
    </row>
    <row r="22" spans="1:13" ht="19.5" x14ac:dyDescent="0.45">
      <c r="A22" s="185" t="s">
        <v>61</v>
      </c>
      <c r="B22" s="189">
        <v>372.06</v>
      </c>
      <c r="C22" s="189">
        <v>37.58</v>
      </c>
      <c r="D22" s="198">
        <v>32.1</v>
      </c>
      <c r="E22" s="191">
        <v>28.9</v>
      </c>
      <c r="F22" s="141">
        <v>60.52</v>
      </c>
      <c r="G22" s="189">
        <v>52.22</v>
      </c>
      <c r="H22" s="189">
        <v>0.56000000000000005</v>
      </c>
      <c r="I22" s="198">
        <v>2.2799999999999998</v>
      </c>
      <c r="J22" s="191">
        <v>5.69</v>
      </c>
      <c r="K22" s="191">
        <v>0.02</v>
      </c>
      <c r="L22" s="191">
        <v>152.19</v>
      </c>
      <c r="M22" s="185" t="s">
        <v>282</v>
      </c>
    </row>
    <row r="23" spans="1:13" ht="19.5" x14ac:dyDescent="0.45">
      <c r="A23" s="185" t="s">
        <v>59</v>
      </c>
      <c r="B23" s="189">
        <v>670.7</v>
      </c>
      <c r="C23" s="189">
        <v>67.739999999999995</v>
      </c>
      <c r="D23" s="198">
        <v>57.86</v>
      </c>
      <c r="E23" s="191">
        <v>52.09</v>
      </c>
      <c r="F23" s="141">
        <v>109.1</v>
      </c>
      <c r="G23" s="189">
        <v>94.14</v>
      </c>
      <c r="H23" s="189">
        <v>1.02</v>
      </c>
      <c r="I23" s="198">
        <v>4.1100000000000003</v>
      </c>
      <c r="J23" s="191">
        <v>10.26</v>
      </c>
      <c r="K23" s="191">
        <v>0.03</v>
      </c>
      <c r="L23" s="191">
        <v>274.33999999999997</v>
      </c>
      <c r="M23" s="185" t="s">
        <v>281</v>
      </c>
    </row>
    <row r="24" spans="1:13" ht="19.5" x14ac:dyDescent="0.45">
      <c r="A24" s="185" t="s">
        <v>57</v>
      </c>
      <c r="B24" s="189">
        <v>164.33</v>
      </c>
      <c r="C24" s="189">
        <v>16.600000000000001</v>
      </c>
      <c r="D24" s="198">
        <v>14.18</v>
      </c>
      <c r="E24" s="191">
        <v>12.76</v>
      </c>
      <c r="F24" s="141">
        <v>26.73</v>
      </c>
      <c r="G24" s="189">
        <v>23.06</v>
      </c>
      <c r="H24" s="189">
        <v>0.25</v>
      </c>
      <c r="I24" s="198">
        <v>1.01</v>
      </c>
      <c r="J24" s="191">
        <v>2.5099999999999998</v>
      </c>
      <c r="K24" s="191">
        <v>0.01</v>
      </c>
      <c r="L24" s="191">
        <v>67.209999999999994</v>
      </c>
      <c r="M24" s="185" t="s">
        <v>280</v>
      </c>
    </row>
    <row r="25" spans="1:13" ht="19.5" x14ac:dyDescent="0.45">
      <c r="A25" s="185" t="s">
        <v>55</v>
      </c>
      <c r="B25" s="189">
        <v>309.70999999999998</v>
      </c>
      <c r="C25" s="189">
        <v>31.28</v>
      </c>
      <c r="D25" s="198">
        <v>26.72</v>
      </c>
      <c r="E25" s="191">
        <v>24.05</v>
      </c>
      <c r="F25" s="141">
        <v>50.38</v>
      </c>
      <c r="G25" s="189">
        <v>43.47</v>
      </c>
      <c r="H25" s="189">
        <v>0.47</v>
      </c>
      <c r="I25" s="198">
        <v>1.9</v>
      </c>
      <c r="J25" s="191">
        <v>4.74</v>
      </c>
      <c r="K25" s="191">
        <v>0.02</v>
      </c>
      <c r="L25" s="191">
        <v>126.68</v>
      </c>
      <c r="M25" s="185" t="s">
        <v>279</v>
      </c>
    </row>
    <row r="26" spans="1:13" ht="19.5" x14ac:dyDescent="0.45">
      <c r="A26" s="185" t="s">
        <v>29</v>
      </c>
      <c r="B26" s="189">
        <v>317.29000000000002</v>
      </c>
      <c r="C26" s="189">
        <v>32.049999999999997</v>
      </c>
      <c r="D26" s="198">
        <v>27.37</v>
      </c>
      <c r="E26" s="191">
        <v>24.64</v>
      </c>
      <c r="F26" s="141">
        <v>51.61</v>
      </c>
      <c r="G26" s="189">
        <v>44.53</v>
      </c>
      <c r="H26" s="189">
        <v>0.48</v>
      </c>
      <c r="I26" s="198">
        <v>1.95</v>
      </c>
      <c r="J26" s="191">
        <v>4.8600000000000003</v>
      </c>
      <c r="K26" s="191">
        <v>0.02</v>
      </c>
      <c r="L26" s="191">
        <v>129.78</v>
      </c>
      <c r="M26" s="185" t="s">
        <v>278</v>
      </c>
    </row>
    <row r="27" spans="1:13" ht="19.5" x14ac:dyDescent="0.45">
      <c r="A27" s="185" t="s">
        <v>27</v>
      </c>
      <c r="B27" s="189">
        <v>115.08</v>
      </c>
      <c r="C27" s="189">
        <v>11.62</v>
      </c>
      <c r="D27" s="198">
        <v>9.93</v>
      </c>
      <c r="E27" s="191">
        <v>8.94</v>
      </c>
      <c r="F27" s="141">
        <v>18.72</v>
      </c>
      <c r="G27" s="189">
        <v>16.149999999999999</v>
      </c>
      <c r="H27" s="189">
        <v>0.17</v>
      </c>
      <c r="I27" s="198">
        <v>0.71</v>
      </c>
      <c r="J27" s="191">
        <v>1.76</v>
      </c>
      <c r="K27" s="191">
        <v>0.01</v>
      </c>
      <c r="L27" s="191">
        <v>47.07</v>
      </c>
      <c r="M27" s="185" t="s">
        <v>277</v>
      </c>
    </row>
    <row r="28" spans="1:13" ht="19.5" x14ac:dyDescent="0.45">
      <c r="A28" s="185" t="s">
        <v>25</v>
      </c>
      <c r="B28" s="189">
        <v>268.63</v>
      </c>
      <c r="C28" s="189">
        <v>27.13</v>
      </c>
      <c r="D28" s="198">
        <v>23.17</v>
      </c>
      <c r="E28" s="191">
        <v>20.86</v>
      </c>
      <c r="F28" s="141">
        <v>43.7</v>
      </c>
      <c r="G28" s="189">
        <v>37.700000000000003</v>
      </c>
      <c r="H28" s="189">
        <v>0.41</v>
      </c>
      <c r="I28" s="198">
        <v>1.65</v>
      </c>
      <c r="J28" s="191">
        <v>4.1100000000000003</v>
      </c>
      <c r="K28" s="191">
        <v>0.01</v>
      </c>
      <c r="L28" s="191">
        <v>109.88</v>
      </c>
      <c r="M28" s="185" t="s">
        <v>276</v>
      </c>
    </row>
    <row r="29" spans="1:13" ht="19.5" x14ac:dyDescent="0.45">
      <c r="A29" s="185" t="s">
        <v>23</v>
      </c>
      <c r="B29" s="189">
        <v>544.54</v>
      </c>
      <c r="C29" s="189">
        <v>55</v>
      </c>
      <c r="D29" s="198">
        <v>46.98</v>
      </c>
      <c r="E29" s="191">
        <v>42.29</v>
      </c>
      <c r="F29" s="141">
        <v>88.58</v>
      </c>
      <c r="G29" s="189">
        <v>76.430000000000007</v>
      </c>
      <c r="H29" s="189">
        <v>0.83</v>
      </c>
      <c r="I29" s="198">
        <v>3.34</v>
      </c>
      <c r="J29" s="191">
        <v>8.33</v>
      </c>
      <c r="K29" s="191">
        <v>0.03</v>
      </c>
      <c r="L29" s="191">
        <v>222.74</v>
      </c>
      <c r="M29" s="185" t="s">
        <v>275</v>
      </c>
    </row>
    <row r="30" spans="1:13" ht="19.5" x14ac:dyDescent="0.45">
      <c r="A30" s="185" t="s">
        <v>21</v>
      </c>
      <c r="B30" s="189">
        <v>290.48</v>
      </c>
      <c r="C30" s="189">
        <v>29.34</v>
      </c>
      <c r="D30" s="198">
        <v>25.06</v>
      </c>
      <c r="E30" s="191">
        <v>22.56</v>
      </c>
      <c r="F30" s="141">
        <v>47.25</v>
      </c>
      <c r="G30" s="189">
        <v>40.770000000000003</v>
      </c>
      <c r="H30" s="189">
        <v>0.44</v>
      </c>
      <c r="I30" s="198">
        <v>1.78</v>
      </c>
      <c r="J30" s="191">
        <v>4.45</v>
      </c>
      <c r="K30" s="191">
        <v>0.01</v>
      </c>
      <c r="L30" s="191">
        <v>118.82</v>
      </c>
      <c r="M30" s="185" t="s">
        <v>274</v>
      </c>
    </row>
    <row r="31" spans="1:13" ht="19.5" x14ac:dyDescent="0.45">
      <c r="A31" s="185" t="s">
        <v>19</v>
      </c>
      <c r="B31" s="189">
        <v>19.52</v>
      </c>
      <c r="C31" s="189">
        <v>1.97</v>
      </c>
      <c r="D31" s="198">
        <v>1.68</v>
      </c>
      <c r="E31" s="191">
        <v>1.52</v>
      </c>
      <c r="F31" s="141">
        <v>3.18</v>
      </c>
      <c r="G31" s="189">
        <v>2.74</v>
      </c>
      <c r="H31" s="189">
        <v>0.03</v>
      </c>
      <c r="I31" s="198">
        <v>0.12</v>
      </c>
      <c r="J31" s="191">
        <v>0.3</v>
      </c>
      <c r="K31" s="191">
        <v>0</v>
      </c>
      <c r="L31" s="191">
        <v>7.98</v>
      </c>
      <c r="M31" s="185" t="s">
        <v>273</v>
      </c>
    </row>
    <row r="32" spans="1:13" ht="19.5" x14ac:dyDescent="0.45">
      <c r="A32" s="185" t="s">
        <v>17</v>
      </c>
      <c r="B32" s="189">
        <v>356.03</v>
      </c>
      <c r="C32" s="189">
        <v>35.96</v>
      </c>
      <c r="D32" s="198">
        <v>30.71</v>
      </c>
      <c r="E32" s="191">
        <v>27.65</v>
      </c>
      <c r="F32" s="141">
        <v>57.91</v>
      </c>
      <c r="G32" s="189">
        <v>49.97</v>
      </c>
      <c r="H32" s="189">
        <v>0.54</v>
      </c>
      <c r="I32" s="198">
        <v>2.1800000000000002</v>
      </c>
      <c r="J32" s="191">
        <v>5.45</v>
      </c>
      <c r="K32" s="191">
        <v>0.02</v>
      </c>
      <c r="L32" s="191">
        <v>145.63</v>
      </c>
      <c r="M32" s="185" t="s">
        <v>272</v>
      </c>
    </row>
    <row r="33" spans="1:13" ht="19.5" x14ac:dyDescent="0.45">
      <c r="A33" s="185" t="s">
        <v>15</v>
      </c>
      <c r="B33" s="189">
        <v>149.18</v>
      </c>
      <c r="C33" s="189">
        <v>15.07</v>
      </c>
      <c r="D33" s="198">
        <v>12.87</v>
      </c>
      <c r="E33" s="191">
        <v>11.59</v>
      </c>
      <c r="F33" s="141">
        <v>24.27</v>
      </c>
      <c r="G33" s="189">
        <v>20.94</v>
      </c>
      <c r="H33" s="189">
        <v>0.23</v>
      </c>
      <c r="I33" s="198">
        <v>0.92</v>
      </c>
      <c r="J33" s="191">
        <v>2.2799999999999998</v>
      </c>
      <c r="K33" s="191">
        <v>0.01</v>
      </c>
      <c r="L33" s="191">
        <v>61.02</v>
      </c>
      <c r="M33" s="185" t="s">
        <v>271</v>
      </c>
    </row>
    <row r="34" spans="1:13" ht="19.5" x14ac:dyDescent="0.45">
      <c r="A34" s="185" t="s">
        <v>13</v>
      </c>
      <c r="B34" s="189">
        <v>204.24</v>
      </c>
      <c r="C34" s="189">
        <v>20.63</v>
      </c>
      <c r="D34" s="198">
        <v>17.62</v>
      </c>
      <c r="E34" s="191">
        <v>15.86</v>
      </c>
      <c r="F34" s="141">
        <v>33.22</v>
      </c>
      <c r="G34" s="189">
        <v>28.67</v>
      </c>
      <c r="H34" s="189">
        <v>0.31</v>
      </c>
      <c r="I34" s="198">
        <v>1.25</v>
      </c>
      <c r="J34" s="191">
        <v>3.13</v>
      </c>
      <c r="K34" s="191">
        <v>0.01</v>
      </c>
      <c r="L34" s="191">
        <v>83.54</v>
      </c>
      <c r="M34" s="185" t="s">
        <v>270</v>
      </c>
    </row>
    <row r="35" spans="1:13" ht="19.5" x14ac:dyDescent="0.45">
      <c r="A35" s="185" t="s">
        <v>11</v>
      </c>
      <c r="B35" s="189">
        <v>361.28</v>
      </c>
      <c r="C35" s="189">
        <v>36.49</v>
      </c>
      <c r="D35" s="198">
        <v>31.17</v>
      </c>
      <c r="E35" s="191">
        <v>28.06</v>
      </c>
      <c r="F35" s="141">
        <v>58.77</v>
      </c>
      <c r="G35" s="189">
        <v>50.71</v>
      </c>
      <c r="H35" s="189">
        <v>0.55000000000000004</v>
      </c>
      <c r="I35" s="198">
        <v>2.2200000000000002</v>
      </c>
      <c r="J35" s="191">
        <v>5.53</v>
      </c>
      <c r="K35" s="191">
        <v>0.02</v>
      </c>
      <c r="L35" s="191">
        <v>147.78</v>
      </c>
      <c r="M35" s="185" t="s">
        <v>269</v>
      </c>
    </row>
    <row r="36" spans="1:13" ht="19.5" x14ac:dyDescent="0.45">
      <c r="A36" s="185" t="s">
        <v>9</v>
      </c>
      <c r="B36" s="189">
        <v>25.35</v>
      </c>
      <c r="C36" s="189">
        <v>2.56</v>
      </c>
      <c r="D36" s="198">
        <v>2.19</v>
      </c>
      <c r="E36" s="191">
        <v>1.97</v>
      </c>
      <c r="F36" s="141">
        <v>4.12</v>
      </c>
      <c r="G36" s="189">
        <v>3.56</v>
      </c>
      <c r="H36" s="189">
        <v>0.04</v>
      </c>
      <c r="I36" s="198">
        <v>0.16</v>
      </c>
      <c r="J36" s="191">
        <v>0.39</v>
      </c>
      <c r="K36" s="191">
        <v>0</v>
      </c>
      <c r="L36" s="191">
        <v>10.37</v>
      </c>
      <c r="M36" s="185" t="s">
        <v>268</v>
      </c>
    </row>
    <row r="37" spans="1:13" ht="19.5" x14ac:dyDescent="0.45">
      <c r="A37" s="185" t="s">
        <v>7</v>
      </c>
      <c r="B37" s="189">
        <v>76.33</v>
      </c>
      <c r="C37" s="189">
        <v>7.71</v>
      </c>
      <c r="D37" s="198">
        <v>6.59</v>
      </c>
      <c r="E37" s="191">
        <v>5.93</v>
      </c>
      <c r="F37" s="141">
        <v>12.42</v>
      </c>
      <c r="G37" s="189">
        <v>10.71</v>
      </c>
      <c r="H37" s="189">
        <v>0.12</v>
      </c>
      <c r="I37" s="198">
        <v>0.47</v>
      </c>
      <c r="J37" s="191">
        <v>1.17</v>
      </c>
      <c r="K37" s="191">
        <v>0</v>
      </c>
      <c r="L37" s="191">
        <v>31.22</v>
      </c>
      <c r="M37" s="185" t="s">
        <v>267</v>
      </c>
    </row>
    <row r="38" spans="1:13" ht="19.5" x14ac:dyDescent="0.45">
      <c r="A38" s="236" t="s">
        <v>5</v>
      </c>
      <c r="B38" s="190">
        <v>138.97999999999999</v>
      </c>
      <c r="C38" s="190">
        <v>14.04</v>
      </c>
      <c r="D38" s="199">
        <v>11.99</v>
      </c>
      <c r="E38" s="192">
        <v>10.79</v>
      </c>
      <c r="F38" s="140">
        <v>22.61</v>
      </c>
      <c r="G38" s="190">
        <v>19.510000000000002</v>
      </c>
      <c r="H38" s="190">
        <v>0.21</v>
      </c>
      <c r="I38" s="199">
        <v>0.85</v>
      </c>
      <c r="J38" s="192">
        <v>2.31</v>
      </c>
      <c r="K38" s="192">
        <v>0.01</v>
      </c>
      <c r="L38" s="192">
        <v>56.85</v>
      </c>
      <c r="M38" s="235" t="s">
        <v>266</v>
      </c>
    </row>
    <row r="39" spans="1:13" x14ac:dyDescent="0.2">
      <c r="A39" s="77"/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</row>
    <row r="40" spans="1:13" ht="21.75" x14ac:dyDescent="0.2">
      <c r="A40" s="228" t="s">
        <v>100</v>
      </c>
      <c r="B40" s="29" t="s">
        <v>341</v>
      </c>
      <c r="C40" s="129"/>
      <c r="D40" s="129"/>
      <c r="E40" s="129"/>
      <c r="F40" s="228" t="s">
        <v>142</v>
      </c>
      <c r="G40" s="29" t="s">
        <v>342</v>
      </c>
    </row>
  </sheetData>
  <mergeCells count="3">
    <mergeCell ref="M4:M5"/>
    <mergeCell ref="A3:M3"/>
    <mergeCell ref="A4:A5"/>
  </mergeCells>
  <pageMargins left="0.70866141732283472" right="0" top="0.74803149606299213" bottom="0" header="0.31496062992125984" footer="0.31496062992125984"/>
  <pageSetup paperSize="9" scale="65" orientation="landscape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workbookViewId="0">
      <selection activeCell="B4" sqref="B4"/>
    </sheetView>
  </sheetViews>
  <sheetFormatPr defaultRowHeight="14.25" x14ac:dyDescent="0.2"/>
  <cols>
    <col min="1" max="1" width="14" bestFit="1" customWidth="1"/>
    <col min="2" max="2" width="10" customWidth="1"/>
    <col min="3" max="7" width="13.875" customWidth="1"/>
    <col min="8" max="8" width="22.125" bestFit="1" customWidth="1"/>
    <col min="9" max="9" width="24.125" bestFit="1" customWidth="1"/>
  </cols>
  <sheetData>
    <row r="1" spans="1:9" ht="27.75" x14ac:dyDescent="0.65">
      <c r="A1" s="251" t="s">
        <v>377</v>
      </c>
    </row>
    <row r="2" spans="1:9" ht="27.75" x14ac:dyDescent="0.65">
      <c r="A2" s="251" t="s">
        <v>378</v>
      </c>
    </row>
    <row r="4" spans="1:9" ht="21.75" customHeight="1" x14ac:dyDescent="0.2">
      <c r="A4" s="169" t="s">
        <v>49</v>
      </c>
      <c r="B4" s="87"/>
      <c r="C4" s="169" t="s">
        <v>363</v>
      </c>
      <c r="D4" s="169"/>
      <c r="E4" s="169"/>
      <c r="F4" s="169"/>
      <c r="G4" s="169"/>
      <c r="H4" s="87" t="s">
        <v>382</v>
      </c>
      <c r="I4" s="169" t="s">
        <v>39</v>
      </c>
    </row>
    <row r="5" spans="1:9" ht="21.75" x14ac:dyDescent="0.2">
      <c r="A5" s="173"/>
      <c r="B5" s="124"/>
      <c r="C5" s="173" t="s">
        <v>364</v>
      </c>
      <c r="D5" s="173"/>
      <c r="E5" s="173"/>
      <c r="F5" s="173"/>
      <c r="G5" s="173"/>
      <c r="H5" s="88" t="s">
        <v>381</v>
      </c>
      <c r="I5" s="173"/>
    </row>
    <row r="6" spans="1:9" ht="21.75" x14ac:dyDescent="0.2">
      <c r="A6" s="173"/>
      <c r="B6" s="88" t="s">
        <v>379</v>
      </c>
      <c r="C6" s="142" t="s">
        <v>366</v>
      </c>
      <c r="D6" s="91" t="s">
        <v>367</v>
      </c>
      <c r="E6" s="90" t="s">
        <v>368</v>
      </c>
      <c r="F6" s="183" t="s">
        <v>369</v>
      </c>
      <c r="G6" s="142" t="s">
        <v>370</v>
      </c>
      <c r="H6" s="88" t="s">
        <v>365</v>
      </c>
      <c r="I6" s="173"/>
    </row>
    <row r="7" spans="1:9" ht="21.75" x14ac:dyDescent="0.2">
      <c r="A7" s="178"/>
      <c r="B7" s="89" t="s">
        <v>380</v>
      </c>
      <c r="C7" s="85" t="s">
        <v>372</v>
      </c>
      <c r="D7" s="92" t="s">
        <v>373</v>
      </c>
      <c r="E7" s="89" t="s">
        <v>374</v>
      </c>
      <c r="F7" s="104" t="s">
        <v>375</v>
      </c>
      <c r="G7" s="85" t="s">
        <v>376</v>
      </c>
      <c r="H7" s="89" t="s">
        <v>371</v>
      </c>
      <c r="I7" s="178"/>
    </row>
    <row r="8" spans="1:9" ht="19.5" x14ac:dyDescent="0.45">
      <c r="A8" s="184" t="s">
        <v>93</v>
      </c>
      <c r="B8" s="245">
        <v>15897</v>
      </c>
      <c r="C8" s="248">
        <v>19955.7</v>
      </c>
      <c r="D8" s="248">
        <v>19783.7</v>
      </c>
      <c r="E8" s="249">
        <v>12.5</v>
      </c>
      <c r="F8" s="250">
        <v>139</v>
      </c>
      <c r="G8" s="250">
        <v>20.5</v>
      </c>
      <c r="H8" s="187">
        <v>13412690</v>
      </c>
      <c r="I8" s="246" t="s">
        <v>92</v>
      </c>
    </row>
    <row r="9" spans="1:9" ht="19.5" x14ac:dyDescent="0.45">
      <c r="A9" s="185" t="s">
        <v>91</v>
      </c>
      <c r="B9" s="198">
        <v>847</v>
      </c>
      <c r="C9" s="188">
        <v>1515.2</v>
      </c>
      <c r="D9" s="188">
        <v>1391.2</v>
      </c>
      <c r="E9" s="197" t="s">
        <v>143</v>
      </c>
      <c r="F9" s="195">
        <v>124</v>
      </c>
      <c r="G9" s="195" t="s">
        <v>143</v>
      </c>
      <c r="H9" s="188">
        <v>1138960</v>
      </c>
      <c r="I9" s="247" t="s">
        <v>297</v>
      </c>
    </row>
    <row r="10" spans="1:9" ht="19.5" x14ac:dyDescent="0.45">
      <c r="A10" s="185" t="s">
        <v>89</v>
      </c>
      <c r="B10" s="198">
        <v>571</v>
      </c>
      <c r="C10" s="188">
        <v>338.3</v>
      </c>
      <c r="D10" s="188">
        <v>319.10000000000002</v>
      </c>
      <c r="E10" s="197" t="s">
        <v>143</v>
      </c>
      <c r="F10" s="195" t="s">
        <v>143</v>
      </c>
      <c r="G10" s="195">
        <v>19.2</v>
      </c>
      <c r="H10" s="188">
        <v>3258170</v>
      </c>
      <c r="I10" s="247" t="s">
        <v>296</v>
      </c>
    </row>
    <row r="11" spans="1:9" ht="19.5" x14ac:dyDescent="0.45">
      <c r="A11" s="185" t="s">
        <v>87</v>
      </c>
      <c r="B11" s="198">
        <v>330</v>
      </c>
      <c r="C11" s="188">
        <v>197.1</v>
      </c>
      <c r="D11" s="188">
        <v>197.1</v>
      </c>
      <c r="E11" s="197" t="s">
        <v>143</v>
      </c>
      <c r="F11" s="195" t="s">
        <v>143</v>
      </c>
      <c r="G11" s="195" t="s">
        <v>143</v>
      </c>
      <c r="H11" s="188">
        <v>230550</v>
      </c>
      <c r="I11" s="247" t="s">
        <v>295</v>
      </c>
    </row>
    <row r="12" spans="1:9" ht="19.5" x14ac:dyDescent="0.45">
      <c r="A12" s="185" t="s">
        <v>85</v>
      </c>
      <c r="B12" s="198">
        <v>170</v>
      </c>
      <c r="C12" s="188">
        <v>267.10000000000002</v>
      </c>
      <c r="D12" s="188">
        <v>267.10000000000002</v>
      </c>
      <c r="E12" s="197" t="s">
        <v>143</v>
      </c>
      <c r="F12" s="195" t="s">
        <v>143</v>
      </c>
      <c r="G12" s="195" t="s">
        <v>143</v>
      </c>
      <c r="H12" s="188">
        <v>139730</v>
      </c>
      <c r="I12" s="247" t="s">
        <v>294</v>
      </c>
    </row>
    <row r="13" spans="1:9" ht="19.5" x14ac:dyDescent="0.45">
      <c r="A13" s="185" t="s">
        <v>83</v>
      </c>
      <c r="B13" s="198">
        <v>591</v>
      </c>
      <c r="C13" s="188">
        <v>2557.6999999999998</v>
      </c>
      <c r="D13" s="188">
        <v>2557.6999999999998</v>
      </c>
      <c r="E13" s="197" t="s">
        <v>143</v>
      </c>
      <c r="F13" s="195" t="s">
        <v>143</v>
      </c>
      <c r="G13" s="195" t="s">
        <v>143</v>
      </c>
      <c r="H13" s="188">
        <v>1897870</v>
      </c>
      <c r="I13" s="247" t="s">
        <v>293</v>
      </c>
    </row>
    <row r="14" spans="1:9" ht="19.5" x14ac:dyDescent="0.45">
      <c r="A14" s="185" t="s">
        <v>81</v>
      </c>
      <c r="B14" s="198">
        <v>335</v>
      </c>
      <c r="C14" s="188">
        <v>233.9</v>
      </c>
      <c r="D14" s="188">
        <v>233.9</v>
      </c>
      <c r="E14" s="197" t="s">
        <v>143</v>
      </c>
      <c r="F14" s="195" t="s">
        <v>143</v>
      </c>
      <c r="G14" s="195" t="s">
        <v>143</v>
      </c>
      <c r="H14" s="188">
        <v>72540</v>
      </c>
      <c r="I14" s="247" t="s">
        <v>292</v>
      </c>
    </row>
    <row r="15" spans="1:9" ht="19.5" x14ac:dyDescent="0.45">
      <c r="A15" s="185" t="s">
        <v>79</v>
      </c>
      <c r="B15" s="198">
        <v>394</v>
      </c>
      <c r="C15" s="188">
        <v>568.4</v>
      </c>
      <c r="D15" s="188">
        <v>568.4</v>
      </c>
      <c r="E15" s="197" t="s">
        <v>143</v>
      </c>
      <c r="F15" s="195" t="s">
        <v>143</v>
      </c>
      <c r="G15" s="195" t="s">
        <v>143</v>
      </c>
      <c r="H15" s="188">
        <v>414050</v>
      </c>
      <c r="I15" s="247" t="s">
        <v>291</v>
      </c>
    </row>
    <row r="16" spans="1:9" ht="19.5" x14ac:dyDescent="0.45">
      <c r="A16" s="185" t="s">
        <v>77</v>
      </c>
      <c r="B16" s="81">
        <v>1385</v>
      </c>
      <c r="C16" s="188">
        <v>2278.4</v>
      </c>
      <c r="D16" s="188">
        <v>2278.4</v>
      </c>
      <c r="E16" s="197" t="s">
        <v>143</v>
      </c>
      <c r="F16" s="195" t="s">
        <v>143</v>
      </c>
      <c r="G16" s="195" t="s">
        <v>143</v>
      </c>
      <c r="H16" s="188">
        <v>206100</v>
      </c>
      <c r="I16" s="247" t="s">
        <v>290</v>
      </c>
    </row>
    <row r="17" spans="1:9" ht="19.5" x14ac:dyDescent="0.45">
      <c r="A17" s="185" t="s">
        <v>75</v>
      </c>
      <c r="B17" s="81">
        <v>1310</v>
      </c>
      <c r="C17" s="188">
        <v>1350.8</v>
      </c>
      <c r="D17" s="188">
        <v>1339</v>
      </c>
      <c r="E17" s="197" t="s">
        <v>143</v>
      </c>
      <c r="F17" s="195">
        <v>11.8</v>
      </c>
      <c r="G17" s="195" t="s">
        <v>143</v>
      </c>
      <c r="H17" s="188">
        <v>540330</v>
      </c>
      <c r="I17" s="247" t="s">
        <v>289</v>
      </c>
    </row>
    <row r="18" spans="1:9" ht="19.5" x14ac:dyDescent="0.45">
      <c r="A18" s="185" t="s">
        <v>73</v>
      </c>
      <c r="B18" s="198">
        <v>745</v>
      </c>
      <c r="C18" s="188">
        <v>729.6</v>
      </c>
      <c r="D18" s="188">
        <v>729.6</v>
      </c>
      <c r="E18" s="197" t="s">
        <v>143</v>
      </c>
      <c r="F18" s="195" t="s">
        <v>143</v>
      </c>
      <c r="G18" s="195" t="s">
        <v>143</v>
      </c>
      <c r="H18" s="188">
        <v>624180</v>
      </c>
      <c r="I18" s="247" t="s">
        <v>288</v>
      </c>
    </row>
    <row r="19" spans="1:9" ht="19.5" x14ac:dyDescent="0.45">
      <c r="A19" s="185" t="s">
        <v>71</v>
      </c>
      <c r="B19" s="198">
        <v>222</v>
      </c>
      <c r="C19" s="188">
        <v>221.8</v>
      </c>
      <c r="D19" s="188">
        <v>221.8</v>
      </c>
      <c r="E19" s="197" t="s">
        <v>143</v>
      </c>
      <c r="F19" s="195" t="s">
        <v>143</v>
      </c>
      <c r="G19" s="195" t="s">
        <v>143</v>
      </c>
      <c r="H19" s="188">
        <v>44750</v>
      </c>
      <c r="I19" s="247" t="s">
        <v>287</v>
      </c>
    </row>
    <row r="20" spans="1:9" ht="19.5" x14ac:dyDescent="0.45">
      <c r="A20" s="185" t="s">
        <v>69</v>
      </c>
      <c r="B20" s="198">
        <v>843</v>
      </c>
      <c r="C20" s="188">
        <v>678.8</v>
      </c>
      <c r="D20" s="188">
        <v>678.8</v>
      </c>
      <c r="E20" s="197" t="s">
        <v>143</v>
      </c>
      <c r="F20" s="195" t="s">
        <v>143</v>
      </c>
      <c r="G20" s="195" t="s">
        <v>143</v>
      </c>
      <c r="H20" s="188">
        <v>358070</v>
      </c>
      <c r="I20" s="247" t="s">
        <v>286</v>
      </c>
    </row>
    <row r="21" spans="1:9" ht="19.5" x14ac:dyDescent="0.45">
      <c r="A21" s="185" t="s">
        <v>67</v>
      </c>
      <c r="B21" s="198">
        <v>329</v>
      </c>
      <c r="C21" s="188">
        <v>293</v>
      </c>
      <c r="D21" s="188">
        <v>293</v>
      </c>
      <c r="E21" s="197" t="s">
        <v>143</v>
      </c>
      <c r="F21" s="195" t="s">
        <v>143</v>
      </c>
      <c r="G21" s="195" t="s">
        <v>143</v>
      </c>
      <c r="H21" s="188">
        <v>81370</v>
      </c>
      <c r="I21" s="247" t="s">
        <v>285</v>
      </c>
    </row>
    <row r="22" spans="1:9" ht="19.5" x14ac:dyDescent="0.45">
      <c r="A22" s="185" t="s">
        <v>65</v>
      </c>
      <c r="B22" s="198">
        <v>956</v>
      </c>
      <c r="C22" s="188">
        <v>860.2</v>
      </c>
      <c r="D22" s="188">
        <v>860.2</v>
      </c>
      <c r="E22" s="197" t="s">
        <v>143</v>
      </c>
      <c r="F22" s="195" t="s">
        <v>143</v>
      </c>
      <c r="G22" s="195" t="s">
        <v>143</v>
      </c>
      <c r="H22" s="188">
        <v>661010</v>
      </c>
      <c r="I22" s="247" t="s">
        <v>284</v>
      </c>
    </row>
    <row r="23" spans="1:9" ht="19.5" x14ac:dyDescent="0.45">
      <c r="A23" s="185" t="s">
        <v>63</v>
      </c>
      <c r="B23" s="198">
        <v>778</v>
      </c>
      <c r="C23" s="188">
        <v>643.6</v>
      </c>
      <c r="D23" s="188">
        <v>639.1</v>
      </c>
      <c r="E23" s="197" t="s">
        <v>143</v>
      </c>
      <c r="F23" s="195">
        <v>3.2</v>
      </c>
      <c r="G23" s="195">
        <v>1.3</v>
      </c>
      <c r="H23" s="188">
        <v>289180</v>
      </c>
      <c r="I23" s="247" t="s">
        <v>283</v>
      </c>
    </row>
    <row r="24" spans="1:9" ht="19.5" x14ac:dyDescent="0.45">
      <c r="A24" s="185" t="s">
        <v>61</v>
      </c>
      <c r="B24" s="198">
        <v>382</v>
      </c>
      <c r="C24" s="188">
        <v>393.4</v>
      </c>
      <c r="D24" s="188">
        <v>393.4</v>
      </c>
      <c r="E24" s="197" t="s">
        <v>143</v>
      </c>
      <c r="F24" s="195" t="s">
        <v>143</v>
      </c>
      <c r="G24" s="195" t="s">
        <v>143</v>
      </c>
      <c r="H24" s="188">
        <v>130100</v>
      </c>
      <c r="I24" s="247" t="s">
        <v>282</v>
      </c>
    </row>
    <row r="25" spans="1:9" ht="19.5" x14ac:dyDescent="0.45">
      <c r="A25" s="185" t="s">
        <v>59</v>
      </c>
      <c r="B25" s="198">
        <v>504</v>
      </c>
      <c r="C25" s="188">
        <v>360.7</v>
      </c>
      <c r="D25" s="188">
        <v>360.7</v>
      </c>
      <c r="E25" s="197" t="s">
        <v>143</v>
      </c>
      <c r="F25" s="195" t="s">
        <v>143</v>
      </c>
      <c r="G25" s="195" t="s">
        <v>143</v>
      </c>
      <c r="H25" s="188">
        <v>214280</v>
      </c>
      <c r="I25" s="247" t="s">
        <v>281</v>
      </c>
    </row>
    <row r="26" spans="1:9" ht="19.5" x14ac:dyDescent="0.45">
      <c r="A26" s="185" t="s">
        <v>57</v>
      </c>
      <c r="B26" s="198">
        <v>760</v>
      </c>
      <c r="C26" s="188">
        <v>1070.5</v>
      </c>
      <c r="D26" s="188">
        <v>1058</v>
      </c>
      <c r="E26" s="197">
        <v>12.5</v>
      </c>
      <c r="F26" s="195" t="s">
        <v>143</v>
      </c>
      <c r="G26" s="195" t="s">
        <v>143</v>
      </c>
      <c r="H26" s="188">
        <v>578920</v>
      </c>
      <c r="I26" s="247" t="s">
        <v>280</v>
      </c>
    </row>
    <row r="27" spans="1:9" ht="19.5" x14ac:dyDescent="0.45">
      <c r="A27" s="185" t="s">
        <v>55</v>
      </c>
      <c r="B27" s="198">
        <v>149</v>
      </c>
      <c r="C27" s="188">
        <v>365</v>
      </c>
      <c r="D27" s="188">
        <v>365</v>
      </c>
      <c r="E27" s="197" t="s">
        <v>143</v>
      </c>
      <c r="F27" s="195" t="s">
        <v>143</v>
      </c>
      <c r="G27" s="195" t="s">
        <v>143</v>
      </c>
      <c r="H27" s="188">
        <v>52390</v>
      </c>
      <c r="I27" s="247" t="s">
        <v>279</v>
      </c>
    </row>
    <row r="28" spans="1:9" ht="19.5" x14ac:dyDescent="0.45">
      <c r="A28" s="185" t="s">
        <v>29</v>
      </c>
      <c r="B28" s="81">
        <v>1678</v>
      </c>
      <c r="C28" s="188">
        <v>2299.9</v>
      </c>
      <c r="D28" s="188">
        <v>2299.9</v>
      </c>
      <c r="E28" s="197" t="s">
        <v>143</v>
      </c>
      <c r="F28" s="195" t="s">
        <v>143</v>
      </c>
      <c r="G28" s="195" t="s">
        <v>143</v>
      </c>
      <c r="H28" s="188">
        <v>1131660</v>
      </c>
      <c r="I28" s="247" t="s">
        <v>278</v>
      </c>
    </row>
    <row r="29" spans="1:9" ht="19.5" x14ac:dyDescent="0.45">
      <c r="A29" s="185" t="s">
        <v>27</v>
      </c>
      <c r="B29" s="198">
        <v>86</v>
      </c>
      <c r="C29" s="188">
        <v>223</v>
      </c>
      <c r="D29" s="188">
        <v>223</v>
      </c>
      <c r="E29" s="197" t="s">
        <v>143</v>
      </c>
      <c r="F29" s="195" t="s">
        <v>143</v>
      </c>
      <c r="G29" s="195" t="s">
        <v>143</v>
      </c>
      <c r="H29" s="188">
        <v>68040</v>
      </c>
      <c r="I29" s="247" t="s">
        <v>277</v>
      </c>
    </row>
    <row r="30" spans="1:9" ht="19.5" x14ac:dyDescent="0.45">
      <c r="A30" s="185" t="s">
        <v>25</v>
      </c>
      <c r="B30" s="198">
        <v>71</v>
      </c>
      <c r="C30" s="188">
        <v>76.2</v>
      </c>
      <c r="D30" s="188">
        <v>76.2</v>
      </c>
      <c r="E30" s="197" t="s">
        <v>143</v>
      </c>
      <c r="F30" s="195" t="s">
        <v>143</v>
      </c>
      <c r="G30" s="195" t="s">
        <v>143</v>
      </c>
      <c r="H30" s="188">
        <v>55280</v>
      </c>
      <c r="I30" s="247" t="s">
        <v>276</v>
      </c>
    </row>
    <row r="31" spans="1:9" ht="19.5" x14ac:dyDescent="0.45">
      <c r="A31" s="185" t="s">
        <v>23</v>
      </c>
      <c r="B31" s="198">
        <v>195</v>
      </c>
      <c r="C31" s="188">
        <v>256.7</v>
      </c>
      <c r="D31" s="188">
        <v>256.7</v>
      </c>
      <c r="E31" s="197" t="s">
        <v>143</v>
      </c>
      <c r="F31" s="195" t="s">
        <v>143</v>
      </c>
      <c r="G31" s="195" t="s">
        <v>143</v>
      </c>
      <c r="H31" s="188">
        <v>164680</v>
      </c>
      <c r="I31" s="247" t="s">
        <v>275</v>
      </c>
    </row>
    <row r="32" spans="1:9" ht="19.5" x14ac:dyDescent="0.45">
      <c r="A32" s="185" t="s">
        <v>21</v>
      </c>
      <c r="B32" s="198">
        <v>27</v>
      </c>
      <c r="C32" s="188">
        <v>39.9</v>
      </c>
      <c r="D32" s="188">
        <v>39.9</v>
      </c>
      <c r="E32" s="197" t="s">
        <v>143</v>
      </c>
      <c r="F32" s="195" t="s">
        <v>143</v>
      </c>
      <c r="G32" s="195" t="s">
        <v>143</v>
      </c>
      <c r="H32" s="188">
        <v>12310</v>
      </c>
      <c r="I32" s="247" t="s">
        <v>274</v>
      </c>
    </row>
    <row r="33" spans="1:9" ht="19.5" x14ac:dyDescent="0.45">
      <c r="A33" s="185" t="s">
        <v>19</v>
      </c>
      <c r="B33" s="198">
        <v>39</v>
      </c>
      <c r="C33" s="188">
        <v>37</v>
      </c>
      <c r="D33" s="188">
        <v>37</v>
      </c>
      <c r="E33" s="197" t="s">
        <v>143</v>
      </c>
      <c r="F33" s="195" t="s">
        <v>143</v>
      </c>
      <c r="G33" s="195" t="s">
        <v>143</v>
      </c>
      <c r="H33" s="188">
        <v>3910</v>
      </c>
      <c r="I33" s="247" t="s">
        <v>273</v>
      </c>
    </row>
    <row r="34" spans="1:9" ht="19.5" x14ac:dyDescent="0.45">
      <c r="A34" s="185" t="s">
        <v>17</v>
      </c>
      <c r="B34" s="198">
        <v>311</v>
      </c>
      <c r="C34" s="188">
        <v>337.5</v>
      </c>
      <c r="D34" s="188">
        <v>337.5</v>
      </c>
      <c r="E34" s="197" t="s">
        <v>143</v>
      </c>
      <c r="F34" s="195" t="s">
        <v>143</v>
      </c>
      <c r="G34" s="195" t="s">
        <v>143</v>
      </c>
      <c r="H34" s="188">
        <v>23550</v>
      </c>
      <c r="I34" s="247" t="s">
        <v>272</v>
      </c>
    </row>
    <row r="35" spans="1:9" ht="19.5" x14ac:dyDescent="0.45">
      <c r="A35" s="185" t="s">
        <v>15</v>
      </c>
      <c r="B35" s="198">
        <v>465</v>
      </c>
      <c r="C35" s="188">
        <v>269.3</v>
      </c>
      <c r="D35" s="188">
        <v>269.3</v>
      </c>
      <c r="E35" s="197" t="s">
        <v>143</v>
      </c>
      <c r="F35" s="195" t="s">
        <v>143</v>
      </c>
      <c r="G35" s="195" t="s">
        <v>143</v>
      </c>
      <c r="H35" s="188">
        <v>201560</v>
      </c>
      <c r="I35" s="247" t="s">
        <v>271</v>
      </c>
    </row>
    <row r="36" spans="1:9" ht="19.5" x14ac:dyDescent="0.45">
      <c r="A36" s="185" t="s">
        <v>13</v>
      </c>
      <c r="B36" s="198">
        <v>730</v>
      </c>
      <c r="C36" s="188">
        <v>950.7</v>
      </c>
      <c r="D36" s="188">
        <v>950.7</v>
      </c>
      <c r="E36" s="197" t="s">
        <v>143</v>
      </c>
      <c r="F36" s="195" t="s">
        <v>143</v>
      </c>
      <c r="G36" s="195" t="s">
        <v>143</v>
      </c>
      <c r="H36" s="188">
        <v>426800</v>
      </c>
      <c r="I36" s="247" t="s">
        <v>270</v>
      </c>
    </row>
    <row r="37" spans="1:9" ht="19.5" x14ac:dyDescent="0.45">
      <c r="A37" s="185" t="s">
        <v>11</v>
      </c>
      <c r="B37" s="198">
        <v>266</v>
      </c>
      <c r="C37" s="188">
        <v>123.2</v>
      </c>
      <c r="D37" s="188">
        <v>123.2</v>
      </c>
      <c r="E37" s="197" t="s">
        <v>143</v>
      </c>
      <c r="F37" s="195" t="s">
        <v>143</v>
      </c>
      <c r="G37" s="195" t="s">
        <v>143</v>
      </c>
      <c r="H37" s="188">
        <v>152950</v>
      </c>
      <c r="I37" s="247" t="s">
        <v>269</v>
      </c>
    </row>
    <row r="38" spans="1:9" ht="19.5" x14ac:dyDescent="0.45">
      <c r="A38" s="185" t="s">
        <v>9</v>
      </c>
      <c r="B38" s="198">
        <v>251</v>
      </c>
      <c r="C38" s="188">
        <v>233.3</v>
      </c>
      <c r="D38" s="188">
        <v>233.3</v>
      </c>
      <c r="E38" s="197" t="s">
        <v>143</v>
      </c>
      <c r="F38" s="195" t="s">
        <v>143</v>
      </c>
      <c r="G38" s="195" t="s">
        <v>143</v>
      </c>
      <c r="H38" s="188">
        <v>153070</v>
      </c>
      <c r="I38" s="247" t="s">
        <v>268</v>
      </c>
    </row>
    <row r="39" spans="1:9" ht="19.5" x14ac:dyDescent="0.45">
      <c r="A39" s="185" t="s">
        <v>7</v>
      </c>
      <c r="B39" s="198">
        <v>67</v>
      </c>
      <c r="C39" s="188">
        <v>103.8</v>
      </c>
      <c r="D39" s="188">
        <v>103.8</v>
      </c>
      <c r="E39" s="197" t="s">
        <v>143</v>
      </c>
      <c r="F39" s="195" t="s">
        <v>143</v>
      </c>
      <c r="G39" s="195" t="s">
        <v>143</v>
      </c>
      <c r="H39" s="188">
        <v>61800</v>
      </c>
      <c r="I39" s="247" t="s">
        <v>267</v>
      </c>
    </row>
    <row r="40" spans="1:9" ht="19.5" x14ac:dyDescent="0.45">
      <c r="A40" s="236" t="s">
        <v>5</v>
      </c>
      <c r="B40" s="199">
        <v>110</v>
      </c>
      <c r="C40" s="205">
        <v>81.599999999999994</v>
      </c>
      <c r="D40" s="205">
        <v>81.599999999999994</v>
      </c>
      <c r="E40" s="203" t="s">
        <v>143</v>
      </c>
      <c r="F40" s="204" t="s">
        <v>143</v>
      </c>
      <c r="G40" s="204" t="s">
        <v>143</v>
      </c>
      <c r="H40" s="205">
        <v>24530</v>
      </c>
      <c r="I40" s="235" t="s">
        <v>266</v>
      </c>
    </row>
    <row r="41" spans="1:9" x14ac:dyDescent="0.2">
      <c r="A41" s="77"/>
      <c r="B41" s="77"/>
      <c r="C41" s="77"/>
      <c r="D41" s="77"/>
      <c r="E41" s="77"/>
      <c r="F41" s="77"/>
      <c r="G41" s="77"/>
      <c r="H41" s="77"/>
      <c r="I41" s="77"/>
    </row>
    <row r="42" spans="1:9" ht="21.75" x14ac:dyDescent="0.2">
      <c r="A42" s="26" t="s">
        <v>100</v>
      </c>
      <c r="B42" s="29" t="s">
        <v>341</v>
      </c>
      <c r="C42" s="129"/>
      <c r="D42" s="129"/>
      <c r="E42" s="129"/>
      <c r="F42" s="228" t="s">
        <v>142</v>
      </c>
      <c r="G42" s="29" t="s">
        <v>342</v>
      </c>
    </row>
  </sheetData>
  <mergeCells count="4">
    <mergeCell ref="A4:A7"/>
    <mergeCell ref="C4:G4"/>
    <mergeCell ref="I4:I7"/>
    <mergeCell ref="C5:G5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showGridLines="0" topLeftCell="A2" workbookViewId="0">
      <selection activeCell="E11" sqref="E11"/>
    </sheetView>
  </sheetViews>
  <sheetFormatPr defaultRowHeight="25.5" customHeight="1" x14ac:dyDescent="0.2"/>
  <cols>
    <col min="1" max="1" width="8.125" customWidth="1"/>
    <col min="2" max="2" width="14.25" customWidth="1"/>
    <col min="3" max="3" width="7.125" customWidth="1"/>
    <col min="4" max="9" width="11.75" customWidth="1"/>
    <col min="10" max="10" width="14.5" bestFit="1" customWidth="1"/>
  </cols>
  <sheetData>
    <row r="1" spans="1:10" ht="25.5" customHeight="1" x14ac:dyDescent="0.5">
      <c r="A1" s="28" t="s">
        <v>247</v>
      </c>
    </row>
    <row r="2" spans="1:10" ht="25.5" customHeight="1" x14ac:dyDescent="0.5">
      <c r="A2" s="28" t="s">
        <v>246</v>
      </c>
    </row>
    <row r="3" spans="1:10" ht="21" customHeight="1" x14ac:dyDescent="0.45">
      <c r="A3" s="168" t="s">
        <v>231</v>
      </c>
      <c r="B3" s="168"/>
      <c r="C3" s="168"/>
      <c r="D3" s="168"/>
      <c r="E3" s="168"/>
      <c r="F3" s="168"/>
      <c r="G3" s="168"/>
      <c r="H3" s="168"/>
      <c r="I3" s="168"/>
      <c r="J3" s="168"/>
    </row>
    <row r="4" spans="1:10" ht="25.5" customHeight="1" x14ac:dyDescent="0.2">
      <c r="A4" s="183" t="s">
        <v>230</v>
      </c>
      <c r="B4" s="142" t="s">
        <v>229</v>
      </c>
      <c r="C4" s="165" t="s">
        <v>245</v>
      </c>
      <c r="D4" s="166"/>
      <c r="E4" s="166"/>
      <c r="F4" s="166"/>
      <c r="G4" s="166"/>
      <c r="H4" s="167"/>
      <c r="I4" s="183" t="s">
        <v>217</v>
      </c>
      <c r="J4" s="142" t="s">
        <v>209</v>
      </c>
    </row>
    <row r="5" spans="1:10" ht="25.5" customHeight="1" x14ac:dyDescent="0.2">
      <c r="A5" s="96" t="s">
        <v>228</v>
      </c>
      <c r="B5" s="143" t="s">
        <v>92</v>
      </c>
      <c r="C5" s="100" t="s">
        <v>93</v>
      </c>
      <c r="D5" s="91" t="s">
        <v>244</v>
      </c>
      <c r="E5" s="91" t="s">
        <v>226</v>
      </c>
      <c r="F5" s="90" t="s">
        <v>243</v>
      </c>
      <c r="G5" s="183" t="s">
        <v>242</v>
      </c>
      <c r="H5" s="183" t="s">
        <v>241</v>
      </c>
      <c r="I5" s="96" t="s">
        <v>213</v>
      </c>
      <c r="J5" s="143" t="s">
        <v>205</v>
      </c>
    </row>
    <row r="6" spans="1:10" ht="25.5" customHeight="1" x14ac:dyDescent="0.2">
      <c r="A6" s="96"/>
      <c r="B6" s="143" t="s">
        <v>206</v>
      </c>
      <c r="C6" s="100" t="s">
        <v>92</v>
      </c>
      <c r="D6" s="100" t="s">
        <v>222</v>
      </c>
      <c r="E6" s="100" t="s">
        <v>221</v>
      </c>
      <c r="F6" s="88" t="s">
        <v>220</v>
      </c>
      <c r="G6" s="96" t="s">
        <v>240</v>
      </c>
      <c r="H6" s="96" t="s">
        <v>239</v>
      </c>
      <c r="I6" s="96" t="s">
        <v>210</v>
      </c>
      <c r="J6" s="143"/>
    </row>
    <row r="7" spans="1:10" ht="25.5" customHeight="1" x14ac:dyDescent="0.2">
      <c r="A7" s="96"/>
      <c r="B7" s="143"/>
      <c r="C7" s="100"/>
      <c r="D7" s="100"/>
      <c r="E7" s="100" t="s">
        <v>216</v>
      </c>
      <c r="F7" s="88" t="s">
        <v>238</v>
      </c>
      <c r="G7" s="96" t="s">
        <v>237</v>
      </c>
      <c r="H7" s="96" t="s">
        <v>206</v>
      </c>
      <c r="I7" s="96" t="s">
        <v>206</v>
      </c>
      <c r="J7" s="143"/>
    </row>
    <row r="8" spans="1:10" ht="25.5" customHeight="1" x14ac:dyDescent="0.2">
      <c r="A8" s="96"/>
      <c r="B8" s="143"/>
      <c r="C8" s="100"/>
      <c r="D8" s="100"/>
      <c r="E8" s="100"/>
      <c r="F8" s="88" t="s">
        <v>212</v>
      </c>
      <c r="G8" s="96" t="s">
        <v>236</v>
      </c>
      <c r="H8" s="96"/>
      <c r="I8" s="96"/>
      <c r="J8" s="143"/>
    </row>
    <row r="9" spans="1:10" ht="25.5" customHeight="1" x14ac:dyDescent="0.2">
      <c r="A9" s="104"/>
      <c r="B9" s="85"/>
      <c r="C9" s="92"/>
      <c r="D9" s="92"/>
      <c r="E9" s="92"/>
      <c r="F9" s="89" t="s">
        <v>216</v>
      </c>
      <c r="G9" s="104" t="s">
        <v>207</v>
      </c>
      <c r="H9" s="104"/>
      <c r="I9" s="104"/>
      <c r="J9" s="85"/>
    </row>
    <row r="10" spans="1:10" ht="25.5" customHeight="1" x14ac:dyDescent="0.45">
      <c r="A10" s="226" t="s">
        <v>204</v>
      </c>
      <c r="B10" s="79">
        <v>12808728</v>
      </c>
      <c r="C10" s="97">
        <v>8379742</v>
      </c>
      <c r="D10" s="97">
        <v>4084760</v>
      </c>
      <c r="E10" s="97">
        <v>3752085</v>
      </c>
      <c r="F10" s="81">
        <v>106181</v>
      </c>
      <c r="G10" s="101">
        <v>41449</v>
      </c>
      <c r="H10" s="101">
        <v>395267</v>
      </c>
      <c r="I10" s="101">
        <v>2509857</v>
      </c>
      <c r="J10" s="79">
        <v>1919129</v>
      </c>
    </row>
    <row r="11" spans="1:10" ht="25.5" customHeight="1" x14ac:dyDescent="0.45">
      <c r="A11" s="226" t="s">
        <v>203</v>
      </c>
      <c r="B11" s="79">
        <v>12808728</v>
      </c>
      <c r="C11" s="97">
        <v>8382768</v>
      </c>
      <c r="D11" s="97">
        <v>4083769</v>
      </c>
      <c r="E11" s="97">
        <v>3751728</v>
      </c>
      <c r="F11" s="81">
        <v>106479</v>
      </c>
      <c r="G11" s="101">
        <v>41430</v>
      </c>
      <c r="H11" s="101">
        <v>399362</v>
      </c>
      <c r="I11" s="101">
        <v>2505435</v>
      </c>
      <c r="J11" s="79">
        <v>1920525</v>
      </c>
    </row>
    <row r="12" spans="1:10" ht="25.5" customHeight="1" x14ac:dyDescent="0.45">
      <c r="A12" s="226" t="s">
        <v>202</v>
      </c>
      <c r="B12" s="79">
        <v>12808728</v>
      </c>
      <c r="C12" s="97">
        <v>8385473</v>
      </c>
      <c r="D12" s="97">
        <v>4083707</v>
      </c>
      <c r="E12" s="97">
        <v>3755118</v>
      </c>
      <c r="F12" s="81">
        <v>106437</v>
      </c>
      <c r="G12" s="101">
        <v>41427</v>
      </c>
      <c r="H12" s="101">
        <v>398784</v>
      </c>
      <c r="I12" s="101">
        <v>2493763</v>
      </c>
      <c r="J12" s="79">
        <v>1929492</v>
      </c>
    </row>
    <row r="13" spans="1:10" ht="25.5" customHeight="1" x14ac:dyDescent="0.45">
      <c r="A13" s="226" t="s">
        <v>201</v>
      </c>
      <c r="B13" s="79">
        <v>12808728</v>
      </c>
      <c r="C13" s="97">
        <v>8386293</v>
      </c>
      <c r="D13" s="97">
        <v>4083956</v>
      </c>
      <c r="E13" s="97">
        <v>3755489</v>
      </c>
      <c r="F13" s="81">
        <v>106326</v>
      </c>
      <c r="G13" s="101">
        <v>41534</v>
      </c>
      <c r="H13" s="101">
        <v>398988</v>
      </c>
      <c r="I13" s="101">
        <v>2483507</v>
      </c>
      <c r="J13" s="79">
        <v>1938928</v>
      </c>
    </row>
    <row r="14" spans="1:10" ht="25.5" customHeight="1" x14ac:dyDescent="0.45">
      <c r="A14" s="226" t="s">
        <v>200</v>
      </c>
      <c r="B14" s="79">
        <v>12808728</v>
      </c>
      <c r="C14" s="97">
        <v>8384561</v>
      </c>
      <c r="D14" s="97">
        <v>4083415</v>
      </c>
      <c r="E14" s="97">
        <v>3754679</v>
      </c>
      <c r="F14" s="81">
        <v>106354</v>
      </c>
      <c r="G14" s="101">
        <v>41249</v>
      </c>
      <c r="H14" s="101">
        <v>398864</v>
      </c>
      <c r="I14" s="101">
        <v>2465662</v>
      </c>
      <c r="J14" s="79">
        <v>1958505</v>
      </c>
    </row>
    <row r="15" spans="1:10" ht="25.5" customHeight="1" x14ac:dyDescent="0.45">
      <c r="A15" s="226" t="s">
        <v>199</v>
      </c>
      <c r="B15" s="79">
        <v>12808728</v>
      </c>
      <c r="C15" s="97">
        <v>8386320</v>
      </c>
      <c r="D15" s="97">
        <v>4083512</v>
      </c>
      <c r="E15" s="97">
        <v>3755611</v>
      </c>
      <c r="F15" s="81">
        <v>106541</v>
      </c>
      <c r="G15" s="101">
        <v>41254</v>
      </c>
      <c r="H15" s="101">
        <v>399402</v>
      </c>
      <c r="I15" s="101">
        <v>2433807</v>
      </c>
      <c r="J15" s="79">
        <v>1988601</v>
      </c>
    </row>
    <row r="16" spans="1:10" ht="25.5" customHeight="1" x14ac:dyDescent="0.45">
      <c r="A16" s="226" t="s">
        <v>198</v>
      </c>
      <c r="B16" s="79">
        <v>12808728</v>
      </c>
      <c r="C16" s="97">
        <v>8384953</v>
      </c>
      <c r="D16" s="97">
        <v>4082782</v>
      </c>
      <c r="E16" s="97">
        <v>3755199</v>
      </c>
      <c r="F16" s="81">
        <v>106507</v>
      </c>
      <c r="G16" s="101">
        <v>41243</v>
      </c>
      <c r="H16" s="101">
        <v>399222</v>
      </c>
      <c r="I16" s="101">
        <v>2428448</v>
      </c>
      <c r="J16" s="79">
        <v>1995327</v>
      </c>
    </row>
    <row r="17" spans="1:10" ht="25.5" customHeight="1" x14ac:dyDescent="0.45">
      <c r="A17" s="227" t="s">
        <v>197</v>
      </c>
      <c r="B17" s="84">
        <v>12960078</v>
      </c>
      <c r="C17" s="99">
        <v>8346551</v>
      </c>
      <c r="D17" s="99">
        <v>4083089</v>
      </c>
      <c r="E17" s="99">
        <v>3755374</v>
      </c>
      <c r="F17" s="82">
        <v>106487</v>
      </c>
      <c r="G17" s="103">
        <v>41270</v>
      </c>
      <c r="H17" s="103">
        <v>360331</v>
      </c>
      <c r="I17" s="103">
        <v>2620040</v>
      </c>
      <c r="J17" s="99">
        <v>1993488</v>
      </c>
    </row>
    <row r="18" spans="1:10" ht="23.25" customHeight="1" x14ac:dyDescent="0.2">
      <c r="A18" s="77"/>
      <c r="B18" s="77"/>
      <c r="C18" s="77"/>
      <c r="D18" s="77"/>
      <c r="E18" s="77"/>
      <c r="F18" s="77"/>
      <c r="G18" s="77"/>
      <c r="H18" s="77"/>
      <c r="I18" s="77"/>
      <c r="J18" s="77"/>
    </row>
    <row r="19" spans="1:10" ht="25.5" customHeight="1" x14ac:dyDescent="0.2">
      <c r="A19" s="228" t="s">
        <v>100</v>
      </c>
      <c r="B19" s="29" t="s">
        <v>235</v>
      </c>
      <c r="C19" s="129"/>
      <c r="D19" s="129"/>
      <c r="E19" s="129"/>
      <c r="F19" s="228" t="s">
        <v>142</v>
      </c>
      <c r="G19" s="29" t="s">
        <v>234</v>
      </c>
    </row>
  </sheetData>
  <mergeCells count="2">
    <mergeCell ref="A3:J3"/>
    <mergeCell ref="C4:H4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workbookViewId="0"/>
  </sheetViews>
  <sheetFormatPr defaultRowHeight="14.25" x14ac:dyDescent="0.2"/>
  <cols>
    <col min="1" max="1" width="14" customWidth="1"/>
    <col min="2" max="2" width="11.875" customWidth="1"/>
    <col min="3" max="3" width="11.5" bestFit="1" customWidth="1"/>
    <col min="4" max="4" width="11.875" customWidth="1"/>
    <col min="5" max="5" width="11.5" bestFit="1" customWidth="1"/>
    <col min="6" max="6" width="11.125" bestFit="1" customWidth="1"/>
    <col min="7" max="7" width="11.5" bestFit="1" customWidth="1"/>
    <col min="8" max="8" width="11.125" customWidth="1"/>
    <col min="9" max="9" width="11.5" customWidth="1"/>
    <col min="10" max="10" width="24.125" customWidth="1"/>
    <col min="11" max="11" width="9" customWidth="1"/>
  </cols>
  <sheetData>
    <row r="1" spans="1:10" ht="21.75" x14ac:dyDescent="0.5">
      <c r="A1" s="28" t="s">
        <v>313</v>
      </c>
    </row>
    <row r="2" spans="1:10" ht="21.75" x14ac:dyDescent="0.5">
      <c r="A2" s="28" t="s">
        <v>312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21.75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1.75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1.75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1.75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19.5" x14ac:dyDescent="0.45">
      <c r="A9" s="184" t="s">
        <v>93</v>
      </c>
      <c r="B9" s="187">
        <v>3449252.94</v>
      </c>
      <c r="C9" s="187">
        <v>68711</v>
      </c>
      <c r="D9" s="187">
        <v>3072937.44</v>
      </c>
      <c r="E9" s="187">
        <v>50941</v>
      </c>
      <c r="F9" s="196">
        <v>1171823.7027999999</v>
      </c>
      <c r="G9" s="194">
        <v>21198.03</v>
      </c>
      <c r="H9" s="206">
        <v>381.33666098975317</v>
      </c>
      <c r="I9" s="207">
        <v>416.13</v>
      </c>
      <c r="J9" s="184" t="s">
        <v>92</v>
      </c>
    </row>
    <row r="10" spans="1:10" ht="16.5" customHeight="1" x14ac:dyDescent="0.45">
      <c r="A10" s="185" t="s">
        <v>91</v>
      </c>
      <c r="B10" s="188">
        <v>75830</v>
      </c>
      <c r="C10" s="188" t="s">
        <v>143</v>
      </c>
      <c r="D10" s="188">
        <v>75308.25</v>
      </c>
      <c r="E10" s="188"/>
      <c r="F10" s="197">
        <v>30262</v>
      </c>
      <c r="G10" s="195" t="s">
        <v>143</v>
      </c>
      <c r="H10" s="193">
        <v>401.84176368458969</v>
      </c>
      <c r="I10" s="191" t="s">
        <v>143</v>
      </c>
      <c r="J10" s="185" t="s">
        <v>297</v>
      </c>
    </row>
    <row r="11" spans="1:10" ht="16.5" customHeight="1" x14ac:dyDescent="0.45">
      <c r="A11" s="185" t="s">
        <v>89</v>
      </c>
      <c r="B11" s="188">
        <v>84685</v>
      </c>
      <c r="C11" s="188" t="s">
        <v>143</v>
      </c>
      <c r="D11" s="188">
        <v>84685</v>
      </c>
      <c r="E11" s="188"/>
      <c r="F11" s="197">
        <v>41325.300000000003</v>
      </c>
      <c r="G11" s="195" t="s">
        <v>143</v>
      </c>
      <c r="H11" s="193">
        <v>487.98842770266282</v>
      </c>
      <c r="I11" s="191" t="s">
        <v>143</v>
      </c>
      <c r="J11" s="185" t="s">
        <v>296</v>
      </c>
    </row>
    <row r="12" spans="1:10" ht="16.5" customHeight="1" x14ac:dyDescent="0.45">
      <c r="A12" s="185" t="s">
        <v>87</v>
      </c>
      <c r="B12" s="188">
        <v>58149</v>
      </c>
      <c r="C12" s="188" t="s">
        <v>143</v>
      </c>
      <c r="D12" s="188">
        <v>58149</v>
      </c>
      <c r="E12" s="188"/>
      <c r="F12" s="197">
        <v>8397.8549999999996</v>
      </c>
      <c r="G12" s="195" t="s">
        <v>143</v>
      </c>
      <c r="H12" s="193">
        <v>144.41959449001703</v>
      </c>
      <c r="I12" s="191" t="s">
        <v>143</v>
      </c>
      <c r="J12" s="185" t="s">
        <v>295</v>
      </c>
    </row>
    <row r="13" spans="1:10" ht="16.5" customHeight="1" x14ac:dyDescent="0.45">
      <c r="A13" s="185" t="s">
        <v>85</v>
      </c>
      <c r="B13" s="188">
        <v>233571.98</v>
      </c>
      <c r="C13" s="188" t="s">
        <v>143</v>
      </c>
      <c r="D13" s="188">
        <v>233571.98</v>
      </c>
      <c r="E13" s="188"/>
      <c r="F13" s="197">
        <v>97425.987999999998</v>
      </c>
      <c r="G13" s="195" t="s">
        <v>143</v>
      </c>
      <c r="H13" s="193">
        <v>417.11333696790172</v>
      </c>
      <c r="I13" s="191" t="s">
        <v>143</v>
      </c>
      <c r="J13" s="185" t="s">
        <v>294</v>
      </c>
    </row>
    <row r="14" spans="1:10" ht="16.5" customHeight="1" x14ac:dyDescent="0.45">
      <c r="A14" s="185" t="s">
        <v>83</v>
      </c>
      <c r="B14" s="188">
        <v>49339</v>
      </c>
      <c r="C14" s="188" t="s">
        <v>143</v>
      </c>
      <c r="D14" s="188">
        <v>49339</v>
      </c>
      <c r="E14" s="188"/>
      <c r="F14" s="197">
        <v>12988.378279999999</v>
      </c>
      <c r="G14" s="195" t="s">
        <v>143</v>
      </c>
      <c r="H14" s="193">
        <v>263.247700196599</v>
      </c>
      <c r="I14" s="191" t="s">
        <v>143</v>
      </c>
      <c r="J14" s="185" t="s">
        <v>293</v>
      </c>
    </row>
    <row r="15" spans="1:10" ht="16.5" customHeight="1" x14ac:dyDescent="0.45">
      <c r="A15" s="185" t="s">
        <v>81</v>
      </c>
      <c r="B15" s="188">
        <v>88369</v>
      </c>
      <c r="C15" s="188">
        <v>4480</v>
      </c>
      <c r="D15" s="188" t="s">
        <v>143</v>
      </c>
      <c r="E15" s="188" t="s">
        <v>143</v>
      </c>
      <c r="F15" s="197" t="s">
        <v>143</v>
      </c>
      <c r="G15" s="195" t="s">
        <v>143</v>
      </c>
      <c r="H15" s="191" t="s">
        <v>143</v>
      </c>
      <c r="I15" s="191" t="s">
        <v>143</v>
      </c>
      <c r="J15" s="185" t="s">
        <v>292</v>
      </c>
    </row>
    <row r="16" spans="1:10" ht="16.5" customHeight="1" x14ac:dyDescent="0.45">
      <c r="A16" s="185" t="s">
        <v>79</v>
      </c>
      <c r="B16" s="188">
        <v>41368</v>
      </c>
      <c r="C16" s="188" t="s">
        <v>143</v>
      </c>
      <c r="D16" s="188">
        <v>36165.25</v>
      </c>
      <c r="E16" s="188"/>
      <c r="F16" s="197">
        <v>18009.385999999999</v>
      </c>
      <c r="G16" s="195" t="s">
        <v>143</v>
      </c>
      <c r="H16" s="193">
        <v>497.97487920033734</v>
      </c>
      <c r="I16" s="191" t="s">
        <v>143</v>
      </c>
      <c r="J16" s="185" t="s">
        <v>291</v>
      </c>
    </row>
    <row r="17" spans="1:10" ht="16.5" customHeight="1" x14ac:dyDescent="0.45">
      <c r="A17" s="185" t="s">
        <v>77</v>
      </c>
      <c r="B17" s="188">
        <v>211093</v>
      </c>
      <c r="C17" s="188" t="s">
        <v>143</v>
      </c>
      <c r="D17" s="188">
        <v>209806</v>
      </c>
      <c r="E17" s="188"/>
      <c r="F17" s="197">
        <v>81838.595000000001</v>
      </c>
      <c r="G17" s="195" t="s">
        <v>143</v>
      </c>
      <c r="H17" s="193">
        <v>390.06794371943607</v>
      </c>
      <c r="I17" s="191" t="s">
        <v>143</v>
      </c>
      <c r="J17" s="185" t="s">
        <v>290</v>
      </c>
    </row>
    <row r="18" spans="1:10" ht="16.5" customHeight="1" x14ac:dyDescent="0.45">
      <c r="A18" s="185" t="s">
        <v>75</v>
      </c>
      <c r="B18" s="188">
        <v>167123</v>
      </c>
      <c r="C18" s="188" t="s">
        <v>143</v>
      </c>
      <c r="D18" s="188">
        <v>167123</v>
      </c>
      <c r="E18" s="188"/>
      <c r="F18" s="197">
        <v>58493.05</v>
      </c>
      <c r="G18" s="195" t="s">
        <v>143</v>
      </c>
      <c r="H18" s="193">
        <v>350</v>
      </c>
      <c r="I18" s="191" t="s">
        <v>143</v>
      </c>
      <c r="J18" s="185" t="s">
        <v>289</v>
      </c>
    </row>
    <row r="19" spans="1:10" ht="16.5" customHeight="1" x14ac:dyDescent="0.45">
      <c r="A19" s="185" t="s">
        <v>73</v>
      </c>
      <c r="B19" s="188">
        <v>293159</v>
      </c>
      <c r="C19" s="188" t="s">
        <v>143</v>
      </c>
      <c r="D19" s="188">
        <v>291839.25</v>
      </c>
      <c r="E19" s="188"/>
      <c r="F19" s="197">
        <v>124046.008</v>
      </c>
      <c r="G19" s="195" t="s">
        <v>143</v>
      </c>
      <c r="H19" s="193">
        <v>425.04909123772762</v>
      </c>
      <c r="I19" s="191" t="s">
        <v>143</v>
      </c>
      <c r="J19" s="185" t="s">
        <v>288</v>
      </c>
    </row>
    <row r="20" spans="1:10" ht="16.5" customHeight="1" x14ac:dyDescent="0.45">
      <c r="A20" s="185" t="s">
        <v>71</v>
      </c>
      <c r="B20" s="188">
        <v>79400</v>
      </c>
      <c r="C20" s="188" t="s">
        <v>143</v>
      </c>
      <c r="D20" s="188">
        <v>76824</v>
      </c>
      <c r="E20" s="188"/>
      <c r="F20" s="197">
        <v>38412</v>
      </c>
      <c r="G20" s="195" t="s">
        <v>143</v>
      </c>
      <c r="H20" s="193">
        <v>500</v>
      </c>
      <c r="I20" s="191" t="s">
        <v>143</v>
      </c>
      <c r="J20" s="185" t="s">
        <v>287</v>
      </c>
    </row>
    <row r="21" spans="1:10" ht="16.5" customHeight="1" x14ac:dyDescent="0.45">
      <c r="A21" s="185" t="s">
        <v>69</v>
      </c>
      <c r="B21" s="188">
        <v>196000</v>
      </c>
      <c r="C21" s="188" t="s">
        <v>143</v>
      </c>
      <c r="D21" s="188">
        <v>196000</v>
      </c>
      <c r="E21" s="188"/>
      <c r="F21" s="197">
        <v>78205.2</v>
      </c>
      <c r="G21" s="195" t="s">
        <v>143</v>
      </c>
      <c r="H21" s="193">
        <v>399.00612244897957</v>
      </c>
      <c r="I21" s="191" t="s">
        <v>143</v>
      </c>
      <c r="J21" s="185" t="s">
        <v>286</v>
      </c>
    </row>
    <row r="22" spans="1:10" ht="16.5" customHeight="1" x14ac:dyDescent="0.45">
      <c r="A22" s="185" t="s">
        <v>67</v>
      </c>
      <c r="B22" s="188">
        <v>245942.34000000003</v>
      </c>
      <c r="C22" s="188">
        <v>16659</v>
      </c>
      <c r="D22" s="188">
        <v>243540.34</v>
      </c>
      <c r="E22" s="188">
        <v>16659</v>
      </c>
      <c r="F22" s="197">
        <v>97416.176000000007</v>
      </c>
      <c r="G22" s="195">
        <v>6663.6</v>
      </c>
      <c r="H22" s="193">
        <v>400.00016424383739</v>
      </c>
      <c r="I22" s="200">
        <v>400</v>
      </c>
      <c r="J22" s="185" t="s">
        <v>285</v>
      </c>
    </row>
    <row r="23" spans="1:10" ht="16.5" customHeight="1" x14ac:dyDescent="0.45">
      <c r="A23" s="185" t="s">
        <v>65</v>
      </c>
      <c r="B23" s="188">
        <v>125519</v>
      </c>
      <c r="C23" s="188" t="s">
        <v>143</v>
      </c>
      <c r="D23" s="188" t="s">
        <v>143</v>
      </c>
      <c r="E23" s="188" t="s">
        <v>143</v>
      </c>
      <c r="F23" s="197" t="s">
        <v>143</v>
      </c>
      <c r="G23" s="195" t="s">
        <v>143</v>
      </c>
      <c r="H23" s="191" t="s">
        <v>143</v>
      </c>
      <c r="I23" s="191" t="s">
        <v>143</v>
      </c>
      <c r="J23" s="185" t="s">
        <v>284</v>
      </c>
    </row>
    <row r="24" spans="1:10" ht="16.5" customHeight="1" x14ac:dyDescent="0.45">
      <c r="A24" s="185" t="s">
        <v>63</v>
      </c>
      <c r="B24" s="188">
        <v>288520</v>
      </c>
      <c r="C24" s="188" t="s">
        <v>143</v>
      </c>
      <c r="D24" s="188">
        <v>288520</v>
      </c>
      <c r="E24" s="188"/>
      <c r="F24" s="197">
        <v>108645.5</v>
      </c>
      <c r="G24" s="195" t="s">
        <v>143</v>
      </c>
      <c r="H24" s="193">
        <v>376.56141688617771</v>
      </c>
      <c r="I24" s="191" t="s">
        <v>143</v>
      </c>
      <c r="J24" s="185" t="s">
        <v>283</v>
      </c>
    </row>
    <row r="25" spans="1:10" ht="16.5" customHeight="1" x14ac:dyDescent="0.45">
      <c r="A25" s="185" t="s">
        <v>61</v>
      </c>
      <c r="B25" s="188">
        <v>165806</v>
      </c>
      <c r="C25" s="188" t="s">
        <v>143</v>
      </c>
      <c r="D25" s="188">
        <v>164363</v>
      </c>
      <c r="E25" s="188"/>
      <c r="F25" s="197">
        <v>58030.35</v>
      </c>
      <c r="G25" s="195" t="s">
        <v>143</v>
      </c>
      <c r="H25" s="193">
        <v>353.06212468742967</v>
      </c>
      <c r="I25" s="191" t="s">
        <v>143</v>
      </c>
      <c r="J25" s="185" t="s">
        <v>282</v>
      </c>
    </row>
    <row r="26" spans="1:10" ht="16.5" customHeight="1" x14ac:dyDescent="0.45">
      <c r="A26" s="185" t="s">
        <v>59</v>
      </c>
      <c r="B26" s="188">
        <v>204656</v>
      </c>
      <c r="C26" s="188">
        <v>11098</v>
      </c>
      <c r="D26" s="188">
        <v>196231.5</v>
      </c>
      <c r="E26" s="188">
        <v>11098</v>
      </c>
      <c r="F26" s="197">
        <v>68031.615019999997</v>
      </c>
      <c r="G26" s="195">
        <v>4351.28</v>
      </c>
      <c r="H26" s="193">
        <v>346.69059259089391</v>
      </c>
      <c r="I26" s="200">
        <v>392.08</v>
      </c>
      <c r="J26" s="185" t="s">
        <v>281</v>
      </c>
    </row>
    <row r="27" spans="1:10" ht="16.5" customHeight="1" x14ac:dyDescent="0.45">
      <c r="A27" s="185" t="s">
        <v>57</v>
      </c>
      <c r="B27" s="188">
        <v>79631.37</v>
      </c>
      <c r="C27" s="188" t="s">
        <v>143</v>
      </c>
      <c r="D27" s="188">
        <v>73788.62</v>
      </c>
      <c r="E27" s="188"/>
      <c r="F27" s="197">
        <v>52025.911999999997</v>
      </c>
      <c r="G27" s="195" t="s">
        <v>143</v>
      </c>
      <c r="H27" s="193">
        <v>705.06687887644466</v>
      </c>
      <c r="I27" s="191" t="s">
        <v>143</v>
      </c>
      <c r="J27" s="185" t="s">
        <v>280</v>
      </c>
    </row>
    <row r="28" spans="1:10" ht="16.5" customHeight="1" x14ac:dyDescent="0.45">
      <c r="A28" s="185" t="s">
        <v>55</v>
      </c>
      <c r="B28" s="188">
        <v>30288</v>
      </c>
      <c r="C28" s="188" t="s">
        <v>143</v>
      </c>
      <c r="D28" s="188">
        <v>30288</v>
      </c>
      <c r="E28" s="188"/>
      <c r="F28" s="197">
        <v>12145.74</v>
      </c>
      <c r="G28" s="195" t="s">
        <v>143</v>
      </c>
      <c r="H28" s="193">
        <v>401.00832012678291</v>
      </c>
      <c r="I28" s="191" t="s">
        <v>143</v>
      </c>
      <c r="J28" s="185" t="s">
        <v>279</v>
      </c>
    </row>
    <row r="29" spans="1:10" ht="16.5" customHeight="1" x14ac:dyDescent="0.45">
      <c r="A29" s="185" t="s">
        <v>29</v>
      </c>
      <c r="B29" s="188">
        <v>91014</v>
      </c>
      <c r="C29" s="188">
        <v>140</v>
      </c>
      <c r="D29" s="188">
        <v>89948</v>
      </c>
      <c r="E29" s="188">
        <v>140</v>
      </c>
      <c r="F29" s="197">
        <v>37382.572</v>
      </c>
      <c r="G29" s="195">
        <v>63</v>
      </c>
      <c r="H29" s="193">
        <v>415.60203673233423</v>
      </c>
      <c r="I29" s="200">
        <v>450</v>
      </c>
      <c r="J29" s="185" t="s">
        <v>278</v>
      </c>
    </row>
    <row r="30" spans="1:10" ht="16.5" customHeight="1" x14ac:dyDescent="0.45">
      <c r="A30" s="185" t="s">
        <v>27</v>
      </c>
      <c r="B30" s="188">
        <v>3632.75</v>
      </c>
      <c r="C30" s="188" t="s">
        <v>143</v>
      </c>
      <c r="D30" s="188">
        <v>3530.75</v>
      </c>
      <c r="E30" s="188"/>
      <c r="F30" s="197">
        <v>1556.1375</v>
      </c>
      <c r="G30" s="195" t="s">
        <v>143</v>
      </c>
      <c r="H30" s="193">
        <v>440.73851164766694</v>
      </c>
      <c r="I30" s="191" t="s">
        <v>143</v>
      </c>
      <c r="J30" s="185" t="s">
        <v>277</v>
      </c>
    </row>
    <row r="31" spans="1:10" ht="16.5" customHeight="1" x14ac:dyDescent="0.45">
      <c r="A31" s="185" t="s">
        <v>25</v>
      </c>
      <c r="B31" s="188">
        <v>66354.5</v>
      </c>
      <c r="C31" s="188" t="s">
        <v>143</v>
      </c>
      <c r="D31" s="188">
        <v>66354.5</v>
      </c>
      <c r="E31" s="188"/>
      <c r="F31" s="197">
        <v>25214.71</v>
      </c>
      <c r="G31" s="195" t="s">
        <v>143</v>
      </c>
      <c r="H31" s="193">
        <v>380</v>
      </c>
      <c r="I31" s="191" t="s">
        <v>143</v>
      </c>
      <c r="J31" s="185" t="s">
        <v>276</v>
      </c>
    </row>
    <row r="32" spans="1:10" ht="16.5" customHeight="1" x14ac:dyDescent="0.45">
      <c r="A32" s="185" t="s">
        <v>23</v>
      </c>
      <c r="B32" s="188">
        <v>49190</v>
      </c>
      <c r="C32" s="188">
        <v>23044</v>
      </c>
      <c r="D32" s="188">
        <v>49071</v>
      </c>
      <c r="E32" s="188">
        <v>23044</v>
      </c>
      <c r="F32" s="197">
        <v>16822.560000000001</v>
      </c>
      <c r="G32" s="195">
        <v>10120.15</v>
      </c>
      <c r="H32" s="193">
        <v>342.82081066210185</v>
      </c>
      <c r="I32" s="200">
        <v>439.17</v>
      </c>
      <c r="J32" s="185" t="s">
        <v>275</v>
      </c>
    </row>
    <row r="33" spans="1:10" ht="16.5" customHeight="1" x14ac:dyDescent="0.45">
      <c r="A33" s="185" t="s">
        <v>21</v>
      </c>
      <c r="B33" s="188">
        <v>65500</v>
      </c>
      <c r="C33" s="188" t="s">
        <v>143</v>
      </c>
      <c r="D33" s="188">
        <v>65500</v>
      </c>
      <c r="E33" s="188"/>
      <c r="F33" s="197">
        <v>4.8</v>
      </c>
      <c r="G33" s="195" t="s">
        <v>143</v>
      </c>
      <c r="H33" s="193">
        <v>7.3282442748091606E-2</v>
      </c>
      <c r="I33" s="191" t="s">
        <v>143</v>
      </c>
      <c r="J33" s="185" t="s">
        <v>274</v>
      </c>
    </row>
    <row r="34" spans="1:10" ht="16.5" customHeight="1" x14ac:dyDescent="0.45">
      <c r="A34" s="185" t="s">
        <v>19</v>
      </c>
      <c r="B34" s="188">
        <v>11418</v>
      </c>
      <c r="C34" s="188" t="s">
        <v>143</v>
      </c>
      <c r="D34" s="188">
        <v>11418</v>
      </c>
      <c r="E34" s="188"/>
      <c r="F34" s="197">
        <v>4567.2</v>
      </c>
      <c r="G34" s="195" t="s">
        <v>143</v>
      </c>
      <c r="H34" s="193">
        <v>400</v>
      </c>
      <c r="I34" s="191" t="s">
        <v>143</v>
      </c>
      <c r="J34" s="185" t="s">
        <v>273</v>
      </c>
    </row>
    <row r="35" spans="1:10" ht="16.5" customHeight="1" x14ac:dyDescent="0.45">
      <c r="A35" s="185" t="s">
        <v>17</v>
      </c>
      <c r="B35" s="188">
        <v>31542</v>
      </c>
      <c r="C35" s="188" t="s">
        <v>143</v>
      </c>
      <c r="D35" s="188">
        <v>31524</v>
      </c>
      <c r="E35" s="188"/>
      <c r="F35" s="197">
        <v>12609.6</v>
      </c>
      <c r="G35" s="195" t="s">
        <v>143</v>
      </c>
      <c r="H35" s="193">
        <v>400</v>
      </c>
      <c r="I35" s="191" t="s">
        <v>143</v>
      </c>
      <c r="J35" s="185" t="s">
        <v>272</v>
      </c>
    </row>
    <row r="36" spans="1:10" ht="16.5" customHeight="1" x14ac:dyDescent="0.45">
      <c r="A36" s="185" t="s">
        <v>15</v>
      </c>
      <c r="B36" s="188">
        <v>118951</v>
      </c>
      <c r="C36" s="188" t="s">
        <v>143</v>
      </c>
      <c r="D36" s="188">
        <v>105417</v>
      </c>
      <c r="E36" s="188"/>
      <c r="F36" s="197">
        <v>36895.949999999997</v>
      </c>
      <c r="G36" s="195" t="s">
        <v>143</v>
      </c>
      <c r="H36" s="193">
        <v>350</v>
      </c>
      <c r="I36" s="191" t="s">
        <v>143</v>
      </c>
      <c r="J36" s="185" t="s">
        <v>271</v>
      </c>
    </row>
    <row r="37" spans="1:10" ht="16.5" customHeight="1" x14ac:dyDescent="0.45">
      <c r="A37" s="185" t="s">
        <v>13</v>
      </c>
      <c r="B37" s="188">
        <v>83105</v>
      </c>
      <c r="C37" s="188" t="s">
        <v>143</v>
      </c>
      <c r="D37" s="188">
        <v>80500</v>
      </c>
      <c r="E37" s="188"/>
      <c r="F37" s="197">
        <v>31319</v>
      </c>
      <c r="G37" s="195" t="s">
        <v>143</v>
      </c>
      <c r="H37" s="193">
        <v>389.05590062111798</v>
      </c>
      <c r="I37" s="191" t="s">
        <v>143</v>
      </c>
      <c r="J37" s="185" t="s">
        <v>270</v>
      </c>
    </row>
    <row r="38" spans="1:10" ht="16.5" customHeight="1" x14ac:dyDescent="0.45">
      <c r="A38" s="185" t="s">
        <v>11</v>
      </c>
      <c r="B38" s="97">
        <v>63630</v>
      </c>
      <c r="C38" s="97">
        <v>3850</v>
      </c>
      <c r="D38" s="189" t="s">
        <v>143</v>
      </c>
      <c r="E38" s="189" t="s">
        <v>143</v>
      </c>
      <c r="F38" s="198" t="s">
        <v>143</v>
      </c>
      <c r="G38" s="191" t="s">
        <v>143</v>
      </c>
      <c r="H38" s="191" t="s">
        <v>143</v>
      </c>
      <c r="I38" s="191" t="s">
        <v>143</v>
      </c>
      <c r="J38" s="185" t="s">
        <v>269</v>
      </c>
    </row>
    <row r="39" spans="1:10" ht="16.5" customHeight="1" x14ac:dyDescent="0.45">
      <c r="A39" s="185" t="s">
        <v>9</v>
      </c>
      <c r="B39" s="97">
        <v>32561</v>
      </c>
      <c r="C39" s="97">
        <v>9440</v>
      </c>
      <c r="D39" s="189" t="s">
        <v>143</v>
      </c>
      <c r="E39" s="189" t="s">
        <v>143</v>
      </c>
      <c r="F39" s="198" t="s">
        <v>143</v>
      </c>
      <c r="G39" s="191" t="s">
        <v>143</v>
      </c>
      <c r="H39" s="191" t="s">
        <v>143</v>
      </c>
      <c r="I39" s="191" t="s">
        <v>143</v>
      </c>
      <c r="J39" s="185" t="s">
        <v>268</v>
      </c>
    </row>
    <row r="40" spans="1:10" ht="16.5" customHeight="1" x14ac:dyDescent="0.45">
      <c r="A40" s="185" t="s">
        <v>7</v>
      </c>
      <c r="B40" s="189" t="s">
        <v>143</v>
      </c>
      <c r="C40" s="189" t="s">
        <v>143</v>
      </c>
      <c r="D40" s="189" t="s">
        <v>143</v>
      </c>
      <c r="E40" s="189" t="s">
        <v>143</v>
      </c>
      <c r="F40" s="198" t="s">
        <v>143</v>
      </c>
      <c r="G40" s="191" t="s">
        <v>143</v>
      </c>
      <c r="H40" s="191" t="s">
        <v>143</v>
      </c>
      <c r="I40" s="191" t="s">
        <v>143</v>
      </c>
      <c r="J40" s="185" t="s">
        <v>267</v>
      </c>
    </row>
    <row r="41" spans="1:10" ht="19.5" x14ac:dyDescent="0.45">
      <c r="A41" s="186" t="s">
        <v>5</v>
      </c>
      <c r="B41" s="190" t="s">
        <v>143</v>
      </c>
      <c r="C41" s="190" t="s">
        <v>143</v>
      </c>
      <c r="D41" s="190" t="s">
        <v>143</v>
      </c>
      <c r="E41" s="190" t="s">
        <v>143</v>
      </c>
      <c r="F41" s="199" t="s">
        <v>143</v>
      </c>
      <c r="G41" s="192" t="s">
        <v>143</v>
      </c>
      <c r="H41" s="192" t="s">
        <v>143</v>
      </c>
      <c r="I41" s="192" t="s">
        <v>143</v>
      </c>
      <c r="J41" s="186" t="s">
        <v>266</v>
      </c>
    </row>
    <row r="42" spans="1:10" ht="5.25" customHeight="1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30" customHeight="1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A4:A8"/>
    <mergeCell ref="J4:J8"/>
    <mergeCell ref="F43:I43"/>
    <mergeCell ref="B43:D43"/>
    <mergeCell ref="H5:I5"/>
    <mergeCell ref="B4:C4"/>
    <mergeCell ref="D4:E4"/>
    <mergeCell ref="F4:G4"/>
    <mergeCell ref="H4:I4"/>
    <mergeCell ref="B5:C5"/>
    <mergeCell ref="D5:E5"/>
    <mergeCell ref="F5:G5"/>
  </mergeCells>
  <pageMargins left="0.55118110236220474" right="0" top="0.59055118110236227" bottom="0.59055118110236227" header="0.51181102362204722" footer="0.5118110236220472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workbookViewId="0"/>
  </sheetViews>
  <sheetFormatPr defaultRowHeight="14.25" x14ac:dyDescent="0.2"/>
  <cols>
    <col min="1" max="1" width="14" bestFit="1" customWidth="1"/>
    <col min="2" max="2" width="12.25" customWidth="1"/>
    <col min="3" max="3" width="11.625" bestFit="1" customWidth="1"/>
    <col min="4" max="4" width="12.125" customWidth="1"/>
    <col min="5" max="5" width="11.625" bestFit="1" customWidth="1"/>
    <col min="6" max="6" width="11.25" bestFit="1" customWidth="1"/>
    <col min="7" max="7" width="12.125" bestFit="1" customWidth="1"/>
    <col min="8" max="8" width="11.125" bestFit="1" customWidth="1"/>
    <col min="9" max="9" width="11.5" bestFit="1" customWidth="1"/>
    <col min="10" max="10" width="24.125" bestFit="1" customWidth="1"/>
  </cols>
  <sheetData>
    <row r="1" spans="1:10" ht="21.75" x14ac:dyDescent="0.5">
      <c r="A1" s="28" t="s">
        <v>315</v>
      </c>
    </row>
    <row r="2" spans="1:10" ht="21.75" x14ac:dyDescent="0.5">
      <c r="A2" s="28" t="s">
        <v>314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22.5" customHeight="1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1.75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1.75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1.75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19.5" x14ac:dyDescent="0.45">
      <c r="A9" s="184" t="s">
        <v>93</v>
      </c>
      <c r="B9" s="187">
        <v>3535040.7399999998</v>
      </c>
      <c r="C9" s="187">
        <v>87325.62</v>
      </c>
      <c r="D9" s="187">
        <v>2094377.9399999997</v>
      </c>
      <c r="E9" s="187">
        <v>72061.820000000007</v>
      </c>
      <c r="F9" s="196">
        <v>846240.9889</v>
      </c>
      <c r="G9" s="194">
        <v>29055048.600000001</v>
      </c>
      <c r="H9" s="206">
        <v>404.05362028402578</v>
      </c>
      <c r="I9" s="207">
        <v>403.2</v>
      </c>
      <c r="J9" s="184" t="s">
        <v>92</v>
      </c>
    </row>
    <row r="10" spans="1:10" ht="19.5" x14ac:dyDescent="0.45">
      <c r="A10" s="185" t="s">
        <v>91</v>
      </c>
      <c r="B10" s="188">
        <v>84797</v>
      </c>
      <c r="C10" s="188" t="s">
        <v>143</v>
      </c>
      <c r="D10" s="188">
        <v>40306</v>
      </c>
      <c r="E10" s="188" t="s">
        <v>143</v>
      </c>
      <c r="F10" s="197">
        <v>15455</v>
      </c>
      <c r="G10" s="195" t="s">
        <v>143</v>
      </c>
      <c r="H10" s="193">
        <v>383.44167121520371</v>
      </c>
      <c r="I10" s="200" t="s">
        <v>143</v>
      </c>
      <c r="J10" s="185" t="s">
        <v>297</v>
      </c>
    </row>
    <row r="11" spans="1:10" ht="19.5" x14ac:dyDescent="0.45">
      <c r="A11" s="185" t="s">
        <v>89</v>
      </c>
      <c r="B11" s="188">
        <v>96062</v>
      </c>
      <c r="C11" s="188" t="s">
        <v>143</v>
      </c>
      <c r="D11" s="188">
        <v>96062</v>
      </c>
      <c r="E11" s="188" t="s">
        <v>143</v>
      </c>
      <c r="F11" s="197">
        <v>48031</v>
      </c>
      <c r="G11" s="195" t="s">
        <v>143</v>
      </c>
      <c r="H11" s="193">
        <v>500</v>
      </c>
      <c r="I11" s="200" t="s">
        <v>143</v>
      </c>
      <c r="J11" s="185" t="s">
        <v>296</v>
      </c>
    </row>
    <row r="12" spans="1:10" ht="19.5" x14ac:dyDescent="0.45">
      <c r="A12" s="185" t="s">
        <v>87</v>
      </c>
      <c r="B12" s="188">
        <v>37907</v>
      </c>
      <c r="C12" s="188" t="s">
        <v>143</v>
      </c>
      <c r="D12" s="188">
        <v>37907</v>
      </c>
      <c r="E12" s="188" t="s">
        <v>143</v>
      </c>
      <c r="F12" s="197">
        <v>18953.5</v>
      </c>
      <c r="G12" s="195" t="s">
        <v>143</v>
      </c>
      <c r="H12" s="193">
        <v>500</v>
      </c>
      <c r="I12" s="200" t="s">
        <v>143</v>
      </c>
      <c r="J12" s="185" t="s">
        <v>295</v>
      </c>
    </row>
    <row r="13" spans="1:10" ht="19.5" x14ac:dyDescent="0.45">
      <c r="A13" s="185" t="s">
        <v>85</v>
      </c>
      <c r="B13" s="188">
        <v>246690.48</v>
      </c>
      <c r="C13" s="188" t="s">
        <v>143</v>
      </c>
      <c r="D13" s="188">
        <v>24099.23</v>
      </c>
      <c r="E13" s="188" t="s">
        <v>143</v>
      </c>
      <c r="F13" s="197">
        <v>8438.2304999999997</v>
      </c>
      <c r="G13" s="195" t="s">
        <v>143</v>
      </c>
      <c r="H13" s="193">
        <v>350.1452328559875</v>
      </c>
      <c r="I13" s="200" t="s">
        <v>143</v>
      </c>
      <c r="J13" s="185" t="s">
        <v>294</v>
      </c>
    </row>
    <row r="14" spans="1:10" ht="19.5" x14ac:dyDescent="0.45">
      <c r="A14" s="185" t="s">
        <v>83</v>
      </c>
      <c r="B14" s="188">
        <v>49225</v>
      </c>
      <c r="C14" s="188">
        <v>1184</v>
      </c>
      <c r="D14" s="188">
        <v>8129</v>
      </c>
      <c r="E14" s="188">
        <v>467</v>
      </c>
      <c r="F14" s="197">
        <v>2654.7939999999999</v>
      </c>
      <c r="G14" s="195">
        <v>240380</v>
      </c>
      <c r="H14" s="193">
        <v>326.58309755197439</v>
      </c>
      <c r="I14" s="200">
        <v>514.73</v>
      </c>
      <c r="J14" s="185" t="s">
        <v>293</v>
      </c>
    </row>
    <row r="15" spans="1:10" ht="19.5" x14ac:dyDescent="0.45">
      <c r="A15" s="185" t="s">
        <v>81</v>
      </c>
      <c r="B15" s="188">
        <v>97292</v>
      </c>
      <c r="C15" s="188">
        <v>8837</v>
      </c>
      <c r="D15" s="188">
        <v>97292</v>
      </c>
      <c r="E15" s="188">
        <v>8837</v>
      </c>
      <c r="F15" s="197">
        <v>37686.964999999997</v>
      </c>
      <c r="G15" s="195">
        <v>3342920</v>
      </c>
      <c r="H15" s="191">
        <v>387.35934095300746</v>
      </c>
      <c r="I15" s="200">
        <v>378.29</v>
      </c>
      <c r="J15" s="185" t="s">
        <v>292</v>
      </c>
    </row>
    <row r="16" spans="1:10" ht="19.5" x14ac:dyDescent="0.45">
      <c r="A16" s="185" t="s">
        <v>79</v>
      </c>
      <c r="B16" s="188">
        <v>103384</v>
      </c>
      <c r="C16" s="188" t="s">
        <v>143</v>
      </c>
      <c r="D16" s="188">
        <v>103384</v>
      </c>
      <c r="E16" s="188" t="s">
        <v>143</v>
      </c>
      <c r="F16" s="197">
        <v>52552.510999999999</v>
      </c>
      <c r="G16" s="195" t="s">
        <v>143</v>
      </c>
      <c r="H16" s="193">
        <v>508.32344463359902</v>
      </c>
      <c r="I16" s="200" t="s">
        <v>143</v>
      </c>
      <c r="J16" s="185" t="s">
        <v>291</v>
      </c>
    </row>
    <row r="17" spans="1:10" ht="19.5" x14ac:dyDescent="0.45">
      <c r="A17" s="185" t="s">
        <v>77</v>
      </c>
      <c r="B17" s="188">
        <v>207394</v>
      </c>
      <c r="C17" s="188" t="s">
        <v>143</v>
      </c>
      <c r="D17" s="188">
        <v>70392</v>
      </c>
      <c r="E17" s="188" t="s">
        <v>143</v>
      </c>
      <c r="F17" s="197">
        <v>25490.2</v>
      </c>
      <c r="G17" s="195" t="s">
        <v>143</v>
      </c>
      <c r="H17" s="193">
        <v>362.11785430162519</v>
      </c>
      <c r="I17" s="200" t="s">
        <v>143</v>
      </c>
      <c r="J17" s="185" t="s">
        <v>290</v>
      </c>
    </row>
    <row r="18" spans="1:10" ht="19.5" x14ac:dyDescent="0.45">
      <c r="A18" s="185" t="s">
        <v>75</v>
      </c>
      <c r="B18" s="188">
        <v>164350</v>
      </c>
      <c r="C18" s="188" t="s">
        <v>143</v>
      </c>
      <c r="D18" s="188">
        <v>11015</v>
      </c>
      <c r="E18" s="188" t="s">
        <v>143</v>
      </c>
      <c r="F18" s="197">
        <v>3987.43</v>
      </c>
      <c r="G18" s="195" t="s">
        <v>143</v>
      </c>
      <c r="H18" s="193">
        <v>362</v>
      </c>
      <c r="I18" s="200" t="s">
        <v>143</v>
      </c>
      <c r="J18" s="185" t="s">
        <v>289</v>
      </c>
    </row>
    <row r="19" spans="1:10" ht="19.5" x14ac:dyDescent="0.45">
      <c r="A19" s="185" t="s">
        <v>73</v>
      </c>
      <c r="B19" s="188">
        <v>288955</v>
      </c>
      <c r="C19" s="188" t="s">
        <v>143</v>
      </c>
      <c r="D19" s="188">
        <v>33789</v>
      </c>
      <c r="E19" s="188" t="s">
        <v>143</v>
      </c>
      <c r="F19" s="197">
        <v>10742.661</v>
      </c>
      <c r="G19" s="195" t="s">
        <v>143</v>
      </c>
      <c r="H19" s="193">
        <v>317.93367664032672</v>
      </c>
      <c r="I19" s="200" t="s">
        <v>143</v>
      </c>
      <c r="J19" s="185" t="s">
        <v>288</v>
      </c>
    </row>
    <row r="20" spans="1:10" ht="19.5" x14ac:dyDescent="0.45">
      <c r="A20" s="185" t="s">
        <v>71</v>
      </c>
      <c r="B20" s="188">
        <v>83280</v>
      </c>
      <c r="C20" s="188" t="s">
        <v>143</v>
      </c>
      <c r="D20" s="188">
        <v>6685</v>
      </c>
      <c r="E20" s="188" t="s">
        <v>143</v>
      </c>
      <c r="F20" s="197">
        <v>1671.24955</v>
      </c>
      <c r="G20" s="195" t="s">
        <v>143</v>
      </c>
      <c r="H20" s="193">
        <v>249.99993268511594</v>
      </c>
      <c r="I20" s="200" t="s">
        <v>143</v>
      </c>
      <c r="J20" s="185" t="s">
        <v>287</v>
      </c>
    </row>
    <row r="21" spans="1:10" ht="19.5" x14ac:dyDescent="0.45">
      <c r="A21" s="185" t="s">
        <v>69</v>
      </c>
      <c r="B21" s="188">
        <v>228363</v>
      </c>
      <c r="C21" s="188">
        <v>4627</v>
      </c>
      <c r="D21" s="188">
        <v>118485.4</v>
      </c>
      <c r="E21" s="188">
        <v>3372</v>
      </c>
      <c r="F21" s="197">
        <v>36100.565000000002</v>
      </c>
      <c r="G21" s="195">
        <v>1142400</v>
      </c>
      <c r="H21" s="193">
        <v>304.68365722696637</v>
      </c>
      <c r="I21" s="200">
        <v>338.79</v>
      </c>
      <c r="J21" s="185" t="s">
        <v>286</v>
      </c>
    </row>
    <row r="22" spans="1:10" ht="19.5" x14ac:dyDescent="0.45">
      <c r="A22" s="185" t="s">
        <v>67</v>
      </c>
      <c r="B22" s="188">
        <v>228604.26</v>
      </c>
      <c r="C22" s="188">
        <v>23886.62</v>
      </c>
      <c r="D22" s="188">
        <v>190859.56</v>
      </c>
      <c r="E22" s="188">
        <v>19961.32</v>
      </c>
      <c r="F22" s="197">
        <v>76155.539400000009</v>
      </c>
      <c r="G22" s="195">
        <v>7813158.5999999996</v>
      </c>
      <c r="H22" s="193">
        <v>399.01349138602228</v>
      </c>
      <c r="I22" s="200">
        <v>391.41</v>
      </c>
      <c r="J22" s="185" t="s">
        <v>285</v>
      </c>
    </row>
    <row r="23" spans="1:10" ht="19.5" x14ac:dyDescent="0.45">
      <c r="A23" s="185" t="s">
        <v>65</v>
      </c>
      <c r="B23" s="188">
        <v>114132</v>
      </c>
      <c r="C23" s="188" t="s">
        <v>143</v>
      </c>
      <c r="D23" s="188">
        <v>87277.75</v>
      </c>
      <c r="E23" s="188" t="s">
        <v>143</v>
      </c>
      <c r="F23" s="197">
        <v>45469.33</v>
      </c>
      <c r="G23" s="195" t="s">
        <v>143</v>
      </c>
      <c r="H23" s="191">
        <v>520.97275651583595</v>
      </c>
      <c r="I23" s="200" t="s">
        <v>143</v>
      </c>
      <c r="J23" s="185" t="s">
        <v>284</v>
      </c>
    </row>
    <row r="24" spans="1:10" ht="19.5" x14ac:dyDescent="0.45">
      <c r="A24" s="185" t="s">
        <v>63</v>
      </c>
      <c r="B24" s="188">
        <v>277111</v>
      </c>
      <c r="C24" s="188" t="s">
        <v>143</v>
      </c>
      <c r="D24" s="188">
        <v>277111</v>
      </c>
      <c r="E24" s="188" t="s">
        <v>143</v>
      </c>
      <c r="F24" s="197">
        <v>124699.95</v>
      </c>
      <c r="G24" s="195" t="s">
        <v>143</v>
      </c>
      <c r="H24" s="193">
        <v>450</v>
      </c>
      <c r="I24" s="200" t="s">
        <v>143</v>
      </c>
      <c r="J24" s="185" t="s">
        <v>283</v>
      </c>
    </row>
    <row r="25" spans="1:10" ht="19.5" x14ac:dyDescent="0.45">
      <c r="A25" s="185" t="s">
        <v>61</v>
      </c>
      <c r="B25" s="188">
        <v>164955</v>
      </c>
      <c r="C25" s="188" t="s">
        <v>143</v>
      </c>
      <c r="D25" s="188">
        <v>164955</v>
      </c>
      <c r="E25" s="188" t="s">
        <v>143</v>
      </c>
      <c r="F25" s="197">
        <v>58337.599999999999</v>
      </c>
      <c r="G25" s="195" t="s">
        <v>143</v>
      </c>
      <c r="H25" s="193">
        <v>353.65766421145162</v>
      </c>
      <c r="I25" s="200" t="s">
        <v>143</v>
      </c>
      <c r="J25" s="185" t="s">
        <v>282</v>
      </c>
    </row>
    <row r="26" spans="1:10" ht="19.5" x14ac:dyDescent="0.45">
      <c r="A26" s="185" t="s">
        <v>59</v>
      </c>
      <c r="B26" s="188">
        <v>201093</v>
      </c>
      <c r="C26" s="188">
        <v>17901</v>
      </c>
      <c r="D26" s="188">
        <v>151850.5</v>
      </c>
      <c r="E26" s="188">
        <v>8618.5</v>
      </c>
      <c r="F26" s="197">
        <v>58939.750749999999</v>
      </c>
      <c r="G26" s="195">
        <v>3144590</v>
      </c>
      <c r="H26" s="193">
        <v>388.14327743405522</v>
      </c>
      <c r="I26" s="200">
        <v>364.87</v>
      </c>
      <c r="J26" s="185" t="s">
        <v>281</v>
      </c>
    </row>
    <row r="27" spans="1:10" ht="19.5" x14ac:dyDescent="0.45">
      <c r="A27" s="185" t="s">
        <v>57</v>
      </c>
      <c r="B27" s="188">
        <v>73593</v>
      </c>
      <c r="C27" s="188" t="s">
        <v>143</v>
      </c>
      <c r="D27" s="188">
        <v>38897.25</v>
      </c>
      <c r="E27" s="188" t="s">
        <v>143</v>
      </c>
      <c r="F27" s="197">
        <v>19434.55</v>
      </c>
      <c r="G27" s="195" t="s">
        <v>143</v>
      </c>
      <c r="H27" s="193">
        <v>499.63814922648771</v>
      </c>
      <c r="I27" s="200" t="s">
        <v>143</v>
      </c>
      <c r="J27" s="185" t="s">
        <v>280</v>
      </c>
    </row>
    <row r="28" spans="1:10" ht="19.5" x14ac:dyDescent="0.45">
      <c r="A28" s="185" t="s">
        <v>55</v>
      </c>
      <c r="B28" s="188">
        <v>37278</v>
      </c>
      <c r="C28" s="188" t="s">
        <v>143</v>
      </c>
      <c r="D28" s="188">
        <v>13025.75</v>
      </c>
      <c r="E28" s="188" t="s">
        <v>143</v>
      </c>
      <c r="F28" s="197">
        <v>5916.45</v>
      </c>
      <c r="G28" s="195" t="s">
        <v>143</v>
      </c>
      <c r="H28" s="193">
        <v>454.21184960558895</v>
      </c>
      <c r="I28" s="200" t="s">
        <v>143</v>
      </c>
      <c r="J28" s="185" t="s">
        <v>279</v>
      </c>
    </row>
    <row r="29" spans="1:10" ht="19.5" x14ac:dyDescent="0.45">
      <c r="A29" s="185" t="s">
        <v>29</v>
      </c>
      <c r="B29" s="188">
        <v>93768</v>
      </c>
      <c r="C29" s="188">
        <v>40</v>
      </c>
      <c r="D29" s="188">
        <v>72823.75</v>
      </c>
      <c r="E29" s="188" t="s">
        <v>143</v>
      </c>
      <c r="F29" s="197">
        <v>27897.1345</v>
      </c>
      <c r="G29" s="195" t="s">
        <v>143</v>
      </c>
      <c r="H29" s="193">
        <v>383.07742323074547</v>
      </c>
      <c r="I29" s="200" t="s">
        <v>143</v>
      </c>
      <c r="J29" s="185" t="s">
        <v>278</v>
      </c>
    </row>
    <row r="30" spans="1:10" ht="19.5" x14ac:dyDescent="0.45">
      <c r="A30" s="185" t="s">
        <v>27</v>
      </c>
      <c r="B30" s="188">
        <v>138</v>
      </c>
      <c r="C30" s="188" t="s">
        <v>143</v>
      </c>
      <c r="D30" s="188">
        <v>138</v>
      </c>
      <c r="E30" s="188" t="s">
        <v>143</v>
      </c>
      <c r="F30" s="197">
        <v>82.8</v>
      </c>
      <c r="G30" s="195" t="s">
        <v>143</v>
      </c>
      <c r="H30" s="193">
        <v>600</v>
      </c>
      <c r="I30" s="200" t="s">
        <v>143</v>
      </c>
      <c r="J30" s="185" t="s">
        <v>277</v>
      </c>
    </row>
    <row r="31" spans="1:10" ht="19.5" x14ac:dyDescent="0.45">
      <c r="A31" s="185" t="s">
        <v>25</v>
      </c>
      <c r="B31" s="188">
        <v>65776</v>
      </c>
      <c r="C31" s="188" t="s">
        <v>143</v>
      </c>
      <c r="D31" s="188">
        <v>27789</v>
      </c>
      <c r="E31" s="188" t="s">
        <v>143</v>
      </c>
      <c r="F31" s="197">
        <v>5557.8</v>
      </c>
      <c r="G31" s="195" t="s">
        <v>143</v>
      </c>
      <c r="H31" s="193">
        <v>200</v>
      </c>
      <c r="I31" s="200" t="s">
        <v>143</v>
      </c>
      <c r="J31" s="185" t="s">
        <v>276</v>
      </c>
    </row>
    <row r="32" spans="1:10" ht="19.5" x14ac:dyDescent="0.45">
      <c r="A32" s="185" t="s">
        <v>23</v>
      </c>
      <c r="B32" s="188">
        <v>61393</v>
      </c>
      <c r="C32" s="188">
        <v>10525</v>
      </c>
      <c r="D32" s="188">
        <v>56069</v>
      </c>
      <c r="E32" s="188">
        <v>10492</v>
      </c>
      <c r="F32" s="197">
        <v>22427.599999999999</v>
      </c>
      <c r="G32" s="195">
        <v>5246000</v>
      </c>
      <c r="H32" s="193">
        <v>400</v>
      </c>
      <c r="I32" s="200">
        <v>500</v>
      </c>
      <c r="J32" s="185" t="s">
        <v>275</v>
      </c>
    </row>
    <row r="33" spans="1:10" ht="19.5" x14ac:dyDescent="0.45">
      <c r="A33" s="185" t="s">
        <v>21</v>
      </c>
      <c r="B33" s="188">
        <v>68843</v>
      </c>
      <c r="C33" s="188" t="s">
        <v>143</v>
      </c>
      <c r="D33" s="188">
        <v>46197.5</v>
      </c>
      <c r="E33" s="188" t="s">
        <v>143</v>
      </c>
      <c r="F33" s="197">
        <v>20818.395</v>
      </c>
      <c r="G33" s="195" t="s">
        <v>143</v>
      </c>
      <c r="H33" s="193">
        <v>450.6389956166459</v>
      </c>
      <c r="I33" s="200" t="s">
        <v>143</v>
      </c>
      <c r="J33" s="185" t="s">
        <v>274</v>
      </c>
    </row>
    <row r="34" spans="1:10" ht="19.5" x14ac:dyDescent="0.45">
      <c r="A34" s="185" t="s">
        <v>19</v>
      </c>
      <c r="B34" s="188">
        <v>12273</v>
      </c>
      <c r="C34" s="188" t="s">
        <v>143</v>
      </c>
      <c r="D34" s="188">
        <v>12273</v>
      </c>
      <c r="E34" s="188" t="s">
        <v>143</v>
      </c>
      <c r="F34" s="197">
        <v>4941.2</v>
      </c>
      <c r="G34" s="195" t="s">
        <v>143</v>
      </c>
      <c r="H34" s="193">
        <v>402.60734946630816</v>
      </c>
      <c r="I34" s="200" t="s">
        <v>143</v>
      </c>
      <c r="J34" s="185" t="s">
        <v>273</v>
      </c>
    </row>
    <row r="35" spans="1:10" ht="19.5" x14ac:dyDescent="0.45">
      <c r="A35" s="185" t="s">
        <v>17</v>
      </c>
      <c r="B35" s="188">
        <v>25488</v>
      </c>
      <c r="C35" s="188" t="s">
        <v>143</v>
      </c>
      <c r="D35" s="188">
        <v>15192</v>
      </c>
      <c r="E35" s="188" t="s">
        <v>143</v>
      </c>
      <c r="F35" s="197">
        <v>5548.2</v>
      </c>
      <c r="G35" s="195" t="s">
        <v>143</v>
      </c>
      <c r="H35" s="193">
        <v>365.2053712480253</v>
      </c>
      <c r="I35" s="200" t="s">
        <v>143</v>
      </c>
      <c r="J35" s="185" t="s">
        <v>272</v>
      </c>
    </row>
    <row r="36" spans="1:10" ht="19.5" x14ac:dyDescent="0.45">
      <c r="A36" s="185" t="s">
        <v>15</v>
      </c>
      <c r="B36" s="188">
        <v>115597</v>
      </c>
      <c r="C36" s="188" t="s">
        <v>143</v>
      </c>
      <c r="D36" s="188">
        <v>100093</v>
      </c>
      <c r="E36" s="188" t="s">
        <v>143</v>
      </c>
      <c r="F36" s="197">
        <v>35032.550000000003</v>
      </c>
      <c r="G36" s="195" t="s">
        <v>143</v>
      </c>
      <c r="H36" s="193">
        <v>350</v>
      </c>
      <c r="I36" s="200" t="s">
        <v>143</v>
      </c>
      <c r="J36" s="185" t="s">
        <v>271</v>
      </c>
    </row>
    <row r="37" spans="1:10" ht="19.5" x14ac:dyDescent="0.45">
      <c r="A37" s="185" t="s">
        <v>13</v>
      </c>
      <c r="B37" s="188">
        <v>85260</v>
      </c>
      <c r="C37" s="188" t="s">
        <v>143</v>
      </c>
      <c r="D37" s="188">
        <v>2225</v>
      </c>
      <c r="E37" s="188" t="s">
        <v>143</v>
      </c>
      <c r="F37" s="197">
        <v>556.25</v>
      </c>
      <c r="G37" s="195" t="s">
        <v>143</v>
      </c>
      <c r="H37" s="193">
        <v>250</v>
      </c>
      <c r="I37" s="200" t="s">
        <v>143</v>
      </c>
      <c r="J37" s="185" t="s">
        <v>270</v>
      </c>
    </row>
    <row r="38" spans="1:10" ht="19.5" x14ac:dyDescent="0.45">
      <c r="A38" s="185" t="s">
        <v>11</v>
      </c>
      <c r="B38" s="188">
        <v>77520</v>
      </c>
      <c r="C38" s="188" t="s">
        <v>143</v>
      </c>
      <c r="D38" s="188">
        <v>65368</v>
      </c>
      <c r="E38" s="188" t="s">
        <v>143</v>
      </c>
      <c r="F38" s="197">
        <v>22103.927</v>
      </c>
      <c r="G38" s="195" t="s">
        <v>143</v>
      </c>
      <c r="H38" s="200">
        <v>338.14598886305225</v>
      </c>
      <c r="I38" s="200" t="s">
        <v>143</v>
      </c>
      <c r="J38" s="185" t="s">
        <v>269</v>
      </c>
    </row>
    <row r="39" spans="1:10" ht="19.5" x14ac:dyDescent="0.45">
      <c r="A39" s="185" t="s">
        <v>9</v>
      </c>
      <c r="B39" s="188">
        <v>37596</v>
      </c>
      <c r="C39" s="188">
        <v>20325</v>
      </c>
      <c r="D39" s="188">
        <v>36104</v>
      </c>
      <c r="E39" s="188">
        <v>20314</v>
      </c>
      <c r="F39" s="197">
        <v>14445.2</v>
      </c>
      <c r="G39" s="195">
        <v>8125600</v>
      </c>
      <c r="H39" s="200">
        <v>400.099711943275</v>
      </c>
      <c r="I39" s="200">
        <v>400</v>
      </c>
      <c r="J39" s="185" t="s">
        <v>268</v>
      </c>
    </row>
    <row r="40" spans="1:10" ht="19.5" x14ac:dyDescent="0.45">
      <c r="A40" s="185" t="s">
        <v>7</v>
      </c>
      <c r="B40" s="188">
        <v>69181</v>
      </c>
      <c r="C40" s="188" t="s">
        <v>143</v>
      </c>
      <c r="D40" s="188">
        <v>60139</v>
      </c>
      <c r="E40" s="188" t="s">
        <v>143</v>
      </c>
      <c r="F40" s="197">
        <v>24055.599999999999</v>
      </c>
      <c r="G40" s="195" t="s">
        <v>143</v>
      </c>
      <c r="H40" s="200">
        <v>400</v>
      </c>
      <c r="I40" s="200" t="s">
        <v>143</v>
      </c>
      <c r="J40" s="185" t="s">
        <v>267</v>
      </c>
    </row>
    <row r="41" spans="1:10" ht="19.5" x14ac:dyDescent="0.45">
      <c r="A41" s="186" t="s">
        <v>5</v>
      </c>
      <c r="B41" s="205">
        <v>37742</v>
      </c>
      <c r="C41" s="205" t="s">
        <v>143</v>
      </c>
      <c r="D41" s="205">
        <v>28444.25</v>
      </c>
      <c r="E41" s="205" t="s">
        <v>143</v>
      </c>
      <c r="F41" s="203">
        <v>12057.056199999999</v>
      </c>
      <c r="G41" s="204" t="s">
        <v>143</v>
      </c>
      <c r="H41" s="201">
        <v>423.8837796742751</v>
      </c>
      <c r="I41" s="201" t="s">
        <v>143</v>
      </c>
      <c r="J41" s="186" t="s">
        <v>266</v>
      </c>
    </row>
    <row r="42" spans="1:10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21.75" customHeight="1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B43:D43"/>
    <mergeCell ref="F43:I43"/>
    <mergeCell ref="H5:I5"/>
    <mergeCell ref="A4:A8"/>
    <mergeCell ref="J4:J8"/>
    <mergeCell ref="B4:C4"/>
    <mergeCell ref="D4:E4"/>
    <mergeCell ref="F4:G4"/>
    <mergeCell ref="H4:I4"/>
    <mergeCell ref="B5:C5"/>
    <mergeCell ref="D5:E5"/>
    <mergeCell ref="F5:G5"/>
  </mergeCells>
  <pageMargins left="0.55118110236220474" right="0" top="0.59055118110236227" bottom="0.39370078740157483" header="0.51181102362204722" footer="0.51181102362204722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workbookViewId="0"/>
  </sheetViews>
  <sheetFormatPr defaultRowHeight="14.25" x14ac:dyDescent="0.2"/>
  <cols>
    <col min="1" max="1" width="14" customWidth="1"/>
    <col min="2" max="2" width="11.875" customWidth="1"/>
    <col min="3" max="3" width="11.5" bestFit="1" customWidth="1"/>
    <col min="4" max="4" width="11.875" customWidth="1"/>
    <col min="5" max="5" width="11.5" bestFit="1" customWidth="1"/>
    <col min="6" max="6" width="11.125" bestFit="1" customWidth="1"/>
    <col min="7" max="7" width="11.5" bestFit="1" customWidth="1"/>
    <col min="8" max="8" width="11.125" customWidth="1"/>
    <col min="9" max="9" width="11.5" customWidth="1"/>
    <col min="10" max="10" width="24.125" customWidth="1"/>
    <col min="11" max="11" width="9" customWidth="1"/>
  </cols>
  <sheetData>
    <row r="1" spans="1:10" ht="21.75" x14ac:dyDescent="0.5">
      <c r="A1" s="28" t="s">
        <v>311</v>
      </c>
    </row>
    <row r="2" spans="1:10" ht="21.75" x14ac:dyDescent="0.5">
      <c r="A2" s="28" t="s">
        <v>310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22.5" customHeight="1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1.75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1.75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1.75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19.5" x14ac:dyDescent="0.45">
      <c r="A9" s="184" t="s">
        <v>93</v>
      </c>
      <c r="B9" s="187">
        <v>3517299.63</v>
      </c>
      <c r="C9" s="187">
        <v>69305</v>
      </c>
      <c r="D9" s="187">
        <v>3061481.93</v>
      </c>
      <c r="E9" s="187">
        <v>69645</v>
      </c>
      <c r="F9" s="196">
        <v>1193892.1719200001</v>
      </c>
      <c r="G9" s="194">
        <v>29735.64833</v>
      </c>
      <c r="H9" s="206">
        <v>390</v>
      </c>
      <c r="I9" s="207">
        <v>427</v>
      </c>
      <c r="J9" s="184" t="s">
        <v>92</v>
      </c>
    </row>
    <row r="10" spans="1:10" ht="16.5" customHeight="1" x14ac:dyDescent="0.45">
      <c r="A10" s="185" t="s">
        <v>91</v>
      </c>
      <c r="B10" s="188">
        <v>87473</v>
      </c>
      <c r="C10" s="188" t="s">
        <v>143</v>
      </c>
      <c r="D10" s="188">
        <v>75897</v>
      </c>
      <c r="E10" s="188" t="s">
        <v>143</v>
      </c>
      <c r="F10" s="197">
        <v>31521.599999999999</v>
      </c>
      <c r="G10" s="195" t="s">
        <v>143</v>
      </c>
      <c r="H10" s="193">
        <v>415.3</v>
      </c>
      <c r="I10" s="200" t="s">
        <v>143</v>
      </c>
      <c r="J10" s="185" t="s">
        <v>297</v>
      </c>
    </row>
    <row r="11" spans="1:10" ht="16.5" customHeight="1" x14ac:dyDescent="0.45">
      <c r="A11" s="185" t="s">
        <v>89</v>
      </c>
      <c r="B11" s="188">
        <v>64752</v>
      </c>
      <c r="C11" s="188" t="s">
        <v>143</v>
      </c>
      <c r="D11" s="188">
        <v>64752</v>
      </c>
      <c r="E11" s="188" t="s">
        <v>143</v>
      </c>
      <c r="F11" s="197">
        <v>32376</v>
      </c>
      <c r="G11" s="195" t="s">
        <v>143</v>
      </c>
      <c r="H11" s="193">
        <v>500</v>
      </c>
      <c r="I11" s="200" t="s">
        <v>143</v>
      </c>
      <c r="J11" s="185" t="s">
        <v>296</v>
      </c>
    </row>
    <row r="12" spans="1:10" ht="16.5" customHeight="1" x14ac:dyDescent="0.45">
      <c r="A12" s="185" t="s">
        <v>87</v>
      </c>
      <c r="B12" s="188">
        <v>33706.71</v>
      </c>
      <c r="C12" s="188" t="s">
        <v>143</v>
      </c>
      <c r="D12" s="188">
        <v>33706.71</v>
      </c>
      <c r="E12" s="188" t="s">
        <v>143</v>
      </c>
      <c r="F12" s="197">
        <v>20860.074000000001</v>
      </c>
      <c r="G12" s="195" t="s">
        <v>143</v>
      </c>
      <c r="H12" s="193">
        <v>618.9</v>
      </c>
      <c r="I12" s="200" t="s">
        <v>143</v>
      </c>
      <c r="J12" s="185" t="s">
        <v>295</v>
      </c>
    </row>
    <row r="13" spans="1:10" ht="16.5" customHeight="1" x14ac:dyDescent="0.45">
      <c r="A13" s="185" t="s">
        <v>85</v>
      </c>
      <c r="B13" s="188">
        <v>243657.2</v>
      </c>
      <c r="C13" s="188" t="s">
        <v>143</v>
      </c>
      <c r="D13" s="188">
        <v>214021.2</v>
      </c>
      <c r="E13" s="188" t="s">
        <v>143</v>
      </c>
      <c r="F13" s="197">
        <v>76833.610799999995</v>
      </c>
      <c r="G13" s="195" t="s">
        <v>143</v>
      </c>
      <c r="H13" s="193">
        <v>359</v>
      </c>
      <c r="I13" s="200" t="s">
        <v>143</v>
      </c>
      <c r="J13" s="185" t="s">
        <v>294</v>
      </c>
    </row>
    <row r="14" spans="1:10" ht="16.5" customHeight="1" x14ac:dyDescent="0.45">
      <c r="A14" s="185" t="s">
        <v>83</v>
      </c>
      <c r="B14" s="188">
        <v>51911</v>
      </c>
      <c r="C14" s="188" t="s">
        <v>143</v>
      </c>
      <c r="D14" s="188">
        <v>42335</v>
      </c>
      <c r="E14" s="188" t="s">
        <v>143</v>
      </c>
      <c r="F14" s="197">
        <v>15240.6</v>
      </c>
      <c r="G14" s="195" t="s">
        <v>143</v>
      </c>
      <c r="H14" s="193">
        <v>360</v>
      </c>
      <c r="I14" s="200" t="s">
        <v>143</v>
      </c>
      <c r="J14" s="185" t="s">
        <v>293</v>
      </c>
    </row>
    <row r="15" spans="1:10" ht="16.5" customHeight="1" x14ac:dyDescent="0.45">
      <c r="A15" s="185" t="s">
        <v>81</v>
      </c>
      <c r="B15" s="188">
        <v>96276</v>
      </c>
      <c r="C15" s="188">
        <v>4320</v>
      </c>
      <c r="D15" s="188">
        <v>89250.75</v>
      </c>
      <c r="E15" s="188">
        <v>4320</v>
      </c>
      <c r="F15" s="197">
        <v>35956.406999999999</v>
      </c>
      <c r="G15" s="195">
        <v>1787.5</v>
      </c>
      <c r="H15" s="191">
        <v>402.9</v>
      </c>
      <c r="I15" s="200">
        <v>413.8</v>
      </c>
      <c r="J15" s="185" t="s">
        <v>292</v>
      </c>
    </row>
    <row r="16" spans="1:10" ht="16.5" customHeight="1" x14ac:dyDescent="0.45">
      <c r="A16" s="185" t="s">
        <v>79</v>
      </c>
      <c r="B16" s="188">
        <v>107889</v>
      </c>
      <c r="C16" s="188" t="s">
        <v>143</v>
      </c>
      <c r="D16" s="188">
        <v>49164</v>
      </c>
      <c r="E16" s="188" t="s">
        <v>143</v>
      </c>
      <c r="F16" s="197">
        <v>24021.813999999998</v>
      </c>
      <c r="G16" s="195" t="s">
        <v>143</v>
      </c>
      <c r="H16" s="193">
        <v>488.6</v>
      </c>
      <c r="I16" s="200" t="s">
        <v>143</v>
      </c>
      <c r="J16" s="185" t="s">
        <v>291</v>
      </c>
    </row>
    <row r="17" spans="1:10" ht="16.5" customHeight="1" x14ac:dyDescent="0.45">
      <c r="A17" s="185" t="s">
        <v>77</v>
      </c>
      <c r="B17" s="188">
        <v>210458.95</v>
      </c>
      <c r="C17" s="188" t="s">
        <v>143</v>
      </c>
      <c r="D17" s="188">
        <v>211258.95</v>
      </c>
      <c r="E17" s="188" t="s">
        <v>143</v>
      </c>
      <c r="F17" s="197">
        <v>75187.943499999994</v>
      </c>
      <c r="G17" s="195" t="s">
        <v>143</v>
      </c>
      <c r="H17" s="193">
        <v>355.9</v>
      </c>
      <c r="I17" s="200" t="s">
        <v>143</v>
      </c>
      <c r="J17" s="185" t="s">
        <v>290</v>
      </c>
    </row>
    <row r="18" spans="1:10" ht="16.5" customHeight="1" x14ac:dyDescent="0.45">
      <c r="A18" s="185" t="s">
        <v>75</v>
      </c>
      <c r="B18" s="188">
        <v>169342</v>
      </c>
      <c r="C18" s="188" t="s">
        <v>143</v>
      </c>
      <c r="D18" s="188">
        <v>169342</v>
      </c>
      <c r="E18" s="188" t="s">
        <v>143</v>
      </c>
      <c r="F18" s="197">
        <v>67736.800000000003</v>
      </c>
      <c r="G18" s="195" t="s">
        <v>143</v>
      </c>
      <c r="H18" s="193">
        <v>400</v>
      </c>
      <c r="I18" s="200" t="s">
        <v>143</v>
      </c>
      <c r="J18" s="185" t="s">
        <v>289</v>
      </c>
    </row>
    <row r="19" spans="1:10" ht="16.5" customHeight="1" x14ac:dyDescent="0.45">
      <c r="A19" s="185" t="s">
        <v>73</v>
      </c>
      <c r="B19" s="188">
        <v>305472</v>
      </c>
      <c r="C19" s="188" t="s">
        <v>143</v>
      </c>
      <c r="D19" s="188">
        <v>174235.5</v>
      </c>
      <c r="E19" s="188" t="s">
        <v>143</v>
      </c>
      <c r="F19" s="197">
        <v>67656.777499999997</v>
      </c>
      <c r="G19" s="195" t="s">
        <v>143</v>
      </c>
      <c r="H19" s="193">
        <v>388.3</v>
      </c>
      <c r="I19" s="200" t="s">
        <v>143</v>
      </c>
      <c r="J19" s="185" t="s">
        <v>288</v>
      </c>
    </row>
    <row r="20" spans="1:10" ht="16.5" customHeight="1" x14ac:dyDescent="0.45">
      <c r="A20" s="185" t="s">
        <v>71</v>
      </c>
      <c r="B20" s="188">
        <v>82140</v>
      </c>
      <c r="C20" s="188" t="s">
        <v>143</v>
      </c>
      <c r="D20" s="188">
        <v>80839.5</v>
      </c>
      <c r="E20" s="188" t="s">
        <v>143</v>
      </c>
      <c r="F20" s="197">
        <v>32335.8</v>
      </c>
      <c r="G20" s="195" t="s">
        <v>143</v>
      </c>
      <c r="H20" s="193">
        <v>400</v>
      </c>
      <c r="I20" s="200" t="s">
        <v>143</v>
      </c>
      <c r="J20" s="185" t="s">
        <v>287</v>
      </c>
    </row>
    <row r="21" spans="1:10" ht="16.5" customHeight="1" x14ac:dyDescent="0.45">
      <c r="A21" s="185" t="s">
        <v>69</v>
      </c>
      <c r="B21" s="188">
        <v>190274</v>
      </c>
      <c r="C21" s="188" t="s">
        <v>143</v>
      </c>
      <c r="D21" s="188">
        <v>190274</v>
      </c>
      <c r="E21" s="188" t="s">
        <v>143</v>
      </c>
      <c r="F21" s="197">
        <v>76113.2</v>
      </c>
      <c r="G21" s="195" t="s">
        <v>143</v>
      </c>
      <c r="H21" s="193">
        <v>400</v>
      </c>
      <c r="I21" s="200" t="s">
        <v>143</v>
      </c>
      <c r="J21" s="185" t="s">
        <v>286</v>
      </c>
    </row>
    <row r="22" spans="1:10" ht="16.5" customHeight="1" x14ac:dyDescent="0.45">
      <c r="A22" s="185" t="s">
        <v>67</v>
      </c>
      <c r="B22" s="188">
        <v>238084.31</v>
      </c>
      <c r="C22" s="188">
        <v>10430</v>
      </c>
      <c r="D22" s="188">
        <v>223928.31</v>
      </c>
      <c r="E22" s="188">
        <v>10430</v>
      </c>
      <c r="F22" s="197">
        <v>86105.728620000009</v>
      </c>
      <c r="G22" s="195">
        <v>4036.41</v>
      </c>
      <c r="H22" s="193">
        <v>384.5</v>
      </c>
      <c r="I22" s="200">
        <v>387</v>
      </c>
      <c r="J22" s="185" t="s">
        <v>285</v>
      </c>
    </row>
    <row r="23" spans="1:10" ht="16.5" customHeight="1" x14ac:dyDescent="0.45">
      <c r="A23" s="185" t="s">
        <v>65</v>
      </c>
      <c r="B23" s="188">
        <v>142255</v>
      </c>
      <c r="C23" s="188" t="s">
        <v>143</v>
      </c>
      <c r="D23" s="188">
        <v>138785</v>
      </c>
      <c r="E23" s="188" t="s">
        <v>143</v>
      </c>
      <c r="F23" s="197">
        <v>69386.2</v>
      </c>
      <c r="G23" s="195" t="s">
        <v>143</v>
      </c>
      <c r="H23" s="191">
        <v>500</v>
      </c>
      <c r="I23" s="200" t="s">
        <v>143</v>
      </c>
      <c r="J23" s="185" t="s">
        <v>284</v>
      </c>
    </row>
    <row r="24" spans="1:10" ht="16.5" customHeight="1" x14ac:dyDescent="0.45">
      <c r="A24" s="185" t="s">
        <v>63</v>
      </c>
      <c r="B24" s="188">
        <v>291661</v>
      </c>
      <c r="C24" s="188" t="s">
        <v>143</v>
      </c>
      <c r="D24" s="188">
        <v>218486.5</v>
      </c>
      <c r="E24" s="188" t="s">
        <v>143</v>
      </c>
      <c r="F24" s="197">
        <v>87952.639999999999</v>
      </c>
      <c r="G24" s="195" t="s">
        <v>143</v>
      </c>
      <c r="H24" s="193">
        <v>402.6</v>
      </c>
      <c r="I24" s="200" t="s">
        <v>143</v>
      </c>
      <c r="J24" s="185" t="s">
        <v>283</v>
      </c>
    </row>
    <row r="25" spans="1:10" ht="16.5" customHeight="1" x14ac:dyDescent="0.45">
      <c r="A25" s="185" t="s">
        <v>61</v>
      </c>
      <c r="B25" s="188">
        <v>173210</v>
      </c>
      <c r="C25" s="188" t="s">
        <v>143</v>
      </c>
      <c r="D25" s="188">
        <v>169660.5</v>
      </c>
      <c r="E25" s="188" t="s">
        <v>143</v>
      </c>
      <c r="F25" s="197">
        <v>64470.99</v>
      </c>
      <c r="G25" s="195" t="s">
        <v>143</v>
      </c>
      <c r="H25" s="193">
        <v>380</v>
      </c>
      <c r="I25" s="200" t="s">
        <v>143</v>
      </c>
      <c r="J25" s="185" t="s">
        <v>282</v>
      </c>
    </row>
    <row r="26" spans="1:10" ht="16.5" customHeight="1" x14ac:dyDescent="0.45">
      <c r="A26" s="185" t="s">
        <v>59</v>
      </c>
      <c r="B26" s="188">
        <v>176096</v>
      </c>
      <c r="C26" s="188">
        <v>24296</v>
      </c>
      <c r="D26" s="188">
        <v>152307.79999999999</v>
      </c>
      <c r="E26" s="188">
        <v>24296</v>
      </c>
      <c r="F26" s="197">
        <v>26144.752</v>
      </c>
      <c r="G26" s="195">
        <v>6700.2083300000004</v>
      </c>
      <c r="H26" s="193">
        <v>171.7</v>
      </c>
      <c r="I26" s="200">
        <v>275.8</v>
      </c>
      <c r="J26" s="185" t="s">
        <v>281</v>
      </c>
    </row>
    <row r="27" spans="1:10" ht="16.5" customHeight="1" x14ac:dyDescent="0.45">
      <c r="A27" s="185" t="s">
        <v>57</v>
      </c>
      <c r="B27" s="188">
        <v>79279</v>
      </c>
      <c r="C27" s="188" t="s">
        <v>143</v>
      </c>
      <c r="D27" s="188">
        <v>74661</v>
      </c>
      <c r="E27" s="188" t="s">
        <v>143</v>
      </c>
      <c r="F27" s="197">
        <v>36322.699999999997</v>
      </c>
      <c r="G27" s="195" t="s">
        <v>143</v>
      </c>
      <c r="H27" s="193">
        <v>486.5</v>
      </c>
      <c r="I27" s="200" t="s">
        <v>143</v>
      </c>
      <c r="J27" s="185" t="s">
        <v>280</v>
      </c>
    </row>
    <row r="28" spans="1:10" ht="16.5" customHeight="1" x14ac:dyDescent="0.45">
      <c r="A28" s="185" t="s">
        <v>55</v>
      </c>
      <c r="B28" s="188">
        <v>40148</v>
      </c>
      <c r="C28" s="188" t="s">
        <v>143</v>
      </c>
      <c r="D28" s="188">
        <v>32420</v>
      </c>
      <c r="E28" s="188" t="s">
        <v>143</v>
      </c>
      <c r="F28" s="197">
        <v>13673.552</v>
      </c>
      <c r="G28" s="195" t="s">
        <v>143</v>
      </c>
      <c r="H28" s="193">
        <v>421.8</v>
      </c>
      <c r="I28" s="200" t="s">
        <v>143</v>
      </c>
      <c r="J28" s="185" t="s">
        <v>279</v>
      </c>
    </row>
    <row r="29" spans="1:10" ht="16.5" customHeight="1" x14ac:dyDescent="0.45">
      <c r="A29" s="185" t="s">
        <v>29</v>
      </c>
      <c r="B29" s="188">
        <v>71594</v>
      </c>
      <c r="C29" s="188" t="s">
        <v>143</v>
      </c>
      <c r="D29" s="188">
        <v>69755.5</v>
      </c>
      <c r="E29" s="188" t="s">
        <v>143</v>
      </c>
      <c r="F29" s="197">
        <v>30096.89</v>
      </c>
      <c r="G29" s="195" t="s">
        <v>143</v>
      </c>
      <c r="H29" s="193">
        <v>431.5</v>
      </c>
      <c r="I29" s="200" t="s">
        <v>143</v>
      </c>
      <c r="J29" s="185" t="s">
        <v>278</v>
      </c>
    </row>
    <row r="30" spans="1:10" ht="16.5" customHeight="1" x14ac:dyDescent="0.45">
      <c r="A30" s="185" t="s">
        <v>27</v>
      </c>
      <c r="B30" s="188">
        <v>3232</v>
      </c>
      <c r="C30" s="188" t="s">
        <v>143</v>
      </c>
      <c r="D30" s="188">
        <v>3232</v>
      </c>
      <c r="E30" s="188" t="s">
        <v>143</v>
      </c>
      <c r="F30" s="197">
        <v>1773.55</v>
      </c>
      <c r="G30" s="195" t="s">
        <v>143</v>
      </c>
      <c r="H30" s="193">
        <v>548.70000000000005</v>
      </c>
      <c r="I30" s="200" t="s">
        <v>143</v>
      </c>
      <c r="J30" s="185" t="s">
        <v>277</v>
      </c>
    </row>
    <row r="31" spans="1:10" ht="16.5" customHeight="1" x14ac:dyDescent="0.45">
      <c r="A31" s="185" t="s">
        <v>25</v>
      </c>
      <c r="B31" s="188">
        <v>59837</v>
      </c>
      <c r="C31" s="188" t="s">
        <v>143</v>
      </c>
      <c r="D31" s="188">
        <v>59837</v>
      </c>
      <c r="E31" s="188" t="s">
        <v>143</v>
      </c>
      <c r="F31" s="197">
        <v>29529.1</v>
      </c>
      <c r="G31" s="195" t="s">
        <v>143</v>
      </c>
      <c r="H31" s="193">
        <v>493.5</v>
      </c>
      <c r="I31" s="200" t="s">
        <v>143</v>
      </c>
      <c r="J31" s="185" t="s">
        <v>276</v>
      </c>
    </row>
    <row r="32" spans="1:10" ht="16.5" customHeight="1" x14ac:dyDescent="0.45">
      <c r="A32" s="185" t="s">
        <v>23</v>
      </c>
      <c r="B32" s="188">
        <v>62874</v>
      </c>
      <c r="C32" s="188">
        <v>17333</v>
      </c>
      <c r="D32" s="188">
        <v>52455</v>
      </c>
      <c r="E32" s="188">
        <v>17333</v>
      </c>
      <c r="F32" s="197">
        <v>21506.55</v>
      </c>
      <c r="G32" s="195">
        <v>7688.73</v>
      </c>
      <c r="H32" s="193">
        <v>410</v>
      </c>
      <c r="I32" s="200">
        <v>443.6</v>
      </c>
      <c r="J32" s="185" t="s">
        <v>275</v>
      </c>
    </row>
    <row r="33" spans="1:10" ht="16.5" customHeight="1" x14ac:dyDescent="0.45">
      <c r="A33" s="185" t="s">
        <v>21</v>
      </c>
      <c r="B33" s="188">
        <v>68398</v>
      </c>
      <c r="C33" s="188" t="s">
        <v>143</v>
      </c>
      <c r="D33" s="188">
        <v>41406</v>
      </c>
      <c r="E33" s="188" t="s">
        <v>143</v>
      </c>
      <c r="F33" s="197">
        <v>2575.0100000000002</v>
      </c>
      <c r="G33" s="195" t="s">
        <v>143</v>
      </c>
      <c r="H33" s="193">
        <v>62.2</v>
      </c>
      <c r="I33" s="200" t="s">
        <v>143</v>
      </c>
      <c r="J33" s="185" t="s">
        <v>274</v>
      </c>
    </row>
    <row r="34" spans="1:10" ht="16.5" customHeight="1" x14ac:dyDescent="0.45">
      <c r="A34" s="185" t="s">
        <v>19</v>
      </c>
      <c r="B34" s="188">
        <v>13194</v>
      </c>
      <c r="C34" s="188" t="s">
        <v>143</v>
      </c>
      <c r="D34" s="188">
        <v>13092.75</v>
      </c>
      <c r="E34" s="188" t="s">
        <v>143</v>
      </c>
      <c r="F34" s="197">
        <v>5237.1000000000004</v>
      </c>
      <c r="G34" s="195" t="s">
        <v>143</v>
      </c>
      <c r="H34" s="193">
        <v>400</v>
      </c>
      <c r="I34" s="200" t="s">
        <v>143</v>
      </c>
      <c r="J34" s="185" t="s">
        <v>273</v>
      </c>
    </row>
    <row r="35" spans="1:10" ht="16.5" customHeight="1" x14ac:dyDescent="0.45">
      <c r="A35" s="185" t="s">
        <v>17</v>
      </c>
      <c r="B35" s="188">
        <v>31517</v>
      </c>
      <c r="C35" s="188" t="s">
        <v>143</v>
      </c>
      <c r="D35" s="188">
        <v>30264</v>
      </c>
      <c r="E35" s="188" t="s">
        <v>143</v>
      </c>
      <c r="F35" s="197">
        <v>12105.6</v>
      </c>
      <c r="G35" s="195" t="s">
        <v>143</v>
      </c>
      <c r="H35" s="193">
        <v>400</v>
      </c>
      <c r="I35" s="200" t="s">
        <v>143</v>
      </c>
      <c r="J35" s="185" t="s">
        <v>272</v>
      </c>
    </row>
    <row r="36" spans="1:10" ht="16.5" customHeight="1" x14ac:dyDescent="0.45">
      <c r="A36" s="185" t="s">
        <v>15</v>
      </c>
      <c r="B36" s="188">
        <v>117063</v>
      </c>
      <c r="C36" s="188" t="s">
        <v>143</v>
      </c>
      <c r="D36" s="188">
        <v>94250</v>
      </c>
      <c r="E36" s="188" t="s">
        <v>143</v>
      </c>
      <c r="F36" s="197">
        <v>36418.565000000002</v>
      </c>
      <c r="G36" s="195" t="s">
        <v>143</v>
      </c>
      <c r="H36" s="193">
        <v>386.4</v>
      </c>
      <c r="I36" s="200" t="s">
        <v>143</v>
      </c>
      <c r="J36" s="185" t="s">
        <v>271</v>
      </c>
    </row>
    <row r="37" spans="1:10" ht="16.5" customHeight="1" x14ac:dyDescent="0.45">
      <c r="A37" s="185" t="s">
        <v>13</v>
      </c>
      <c r="B37" s="188">
        <v>87762</v>
      </c>
      <c r="C37" s="188" t="s">
        <v>143</v>
      </c>
      <c r="D37" s="188">
        <v>84273</v>
      </c>
      <c r="E37" s="188" t="s">
        <v>143</v>
      </c>
      <c r="F37" s="197">
        <v>29616.25</v>
      </c>
      <c r="G37" s="195" t="s">
        <v>143</v>
      </c>
      <c r="H37" s="193">
        <v>351.4</v>
      </c>
      <c r="I37" s="200" t="s">
        <v>143</v>
      </c>
      <c r="J37" s="185" t="s">
        <v>270</v>
      </c>
    </row>
    <row r="38" spans="1:10" ht="16.5" customHeight="1" x14ac:dyDescent="0.45">
      <c r="A38" s="185" t="s">
        <v>11</v>
      </c>
      <c r="B38" s="188">
        <v>69151</v>
      </c>
      <c r="C38" s="188">
        <v>2500</v>
      </c>
      <c r="D38" s="188">
        <v>62071.5</v>
      </c>
      <c r="E38" s="188">
        <v>2500</v>
      </c>
      <c r="F38" s="197">
        <v>21909.8675</v>
      </c>
      <c r="G38" s="195">
        <v>910</v>
      </c>
      <c r="H38" s="200">
        <v>353</v>
      </c>
      <c r="I38" s="200">
        <v>364</v>
      </c>
      <c r="J38" s="185" t="s">
        <v>269</v>
      </c>
    </row>
    <row r="39" spans="1:10" ht="16.5" customHeight="1" x14ac:dyDescent="0.45">
      <c r="A39" s="185" t="s">
        <v>9</v>
      </c>
      <c r="B39" s="188">
        <v>47349</v>
      </c>
      <c r="C39" s="188">
        <v>10426</v>
      </c>
      <c r="D39" s="188">
        <v>47412</v>
      </c>
      <c r="E39" s="188">
        <v>10766</v>
      </c>
      <c r="F39" s="197">
        <v>23706</v>
      </c>
      <c r="G39" s="195">
        <v>8612.7999999999993</v>
      </c>
      <c r="H39" s="200">
        <v>500</v>
      </c>
      <c r="I39" s="200">
        <v>800</v>
      </c>
      <c r="J39" s="185" t="s">
        <v>268</v>
      </c>
    </row>
    <row r="40" spans="1:10" ht="16.5" customHeight="1" x14ac:dyDescent="0.45">
      <c r="A40" s="185" t="s">
        <v>7</v>
      </c>
      <c r="B40" s="188">
        <v>67121</v>
      </c>
      <c r="C40" s="188" t="s">
        <v>143</v>
      </c>
      <c r="D40" s="188">
        <v>65559</v>
      </c>
      <c r="E40" s="188" t="s">
        <v>143</v>
      </c>
      <c r="F40" s="197">
        <v>26223.599999999999</v>
      </c>
      <c r="G40" s="195" t="s">
        <v>143</v>
      </c>
      <c r="H40" s="200">
        <v>400</v>
      </c>
      <c r="I40" s="200" t="s">
        <v>143</v>
      </c>
      <c r="J40" s="185" t="s">
        <v>267</v>
      </c>
    </row>
    <row r="41" spans="1:10" ht="19.5" x14ac:dyDescent="0.45">
      <c r="A41" s="186" t="s">
        <v>5</v>
      </c>
      <c r="B41" s="205">
        <v>34122.46</v>
      </c>
      <c r="C41" s="205" t="s">
        <v>143</v>
      </c>
      <c r="D41" s="205">
        <v>32548.46</v>
      </c>
      <c r="E41" s="205" t="s">
        <v>143</v>
      </c>
      <c r="F41" s="203">
        <v>13296.9</v>
      </c>
      <c r="G41" s="204" t="s">
        <v>143</v>
      </c>
      <c r="H41" s="201">
        <v>408.5</v>
      </c>
      <c r="I41" s="201" t="s">
        <v>143</v>
      </c>
      <c r="J41" s="186" t="s">
        <v>266</v>
      </c>
    </row>
    <row r="42" spans="1:10" ht="5.25" customHeight="1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30" customHeight="1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B43:D43"/>
    <mergeCell ref="F43:I43"/>
    <mergeCell ref="A4:A8"/>
    <mergeCell ref="J4:J8"/>
    <mergeCell ref="B4:C4"/>
    <mergeCell ref="D4:E4"/>
    <mergeCell ref="F4:G4"/>
    <mergeCell ref="H4:I4"/>
    <mergeCell ref="B5:C5"/>
    <mergeCell ref="D5:E5"/>
    <mergeCell ref="F5:G5"/>
    <mergeCell ref="H5:I5"/>
  </mergeCells>
  <pageMargins left="0.55118110236220474" right="0" top="0.59055118110236227" bottom="0.59055118110236227" header="0.51181102362204722" footer="0.5118110236220472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zoomScale="110" zoomScaleNormal="110" workbookViewId="0"/>
  </sheetViews>
  <sheetFormatPr defaultRowHeight="14.25" x14ac:dyDescent="0.2"/>
  <cols>
    <col min="1" max="1" width="15.75" customWidth="1"/>
    <col min="2" max="2" width="11.875" customWidth="1"/>
    <col min="3" max="3" width="11.5" customWidth="1"/>
    <col min="4" max="4" width="12.25" customWidth="1"/>
    <col min="5" max="5" width="11.5" customWidth="1"/>
    <col min="6" max="6" width="11.125" customWidth="1"/>
    <col min="7" max="7" width="11.5" customWidth="1"/>
    <col min="8" max="8" width="11.125" customWidth="1"/>
    <col min="9" max="9" width="11.5" customWidth="1"/>
    <col min="10" max="10" width="24.125" customWidth="1"/>
  </cols>
  <sheetData>
    <row r="1" spans="1:10" ht="21.75" x14ac:dyDescent="0.5">
      <c r="A1" s="28" t="s">
        <v>305</v>
      </c>
    </row>
    <row r="2" spans="1:10" ht="21.75" x14ac:dyDescent="0.5">
      <c r="A2" s="28" t="s">
        <v>304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19.5" customHeight="1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7" customHeight="1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7" customHeight="1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7" customHeight="1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24" customHeight="1" x14ac:dyDescent="0.45">
      <c r="A9" s="184" t="s">
        <v>93</v>
      </c>
      <c r="B9" s="187">
        <v>225660.47</v>
      </c>
      <c r="C9" s="187" t="s">
        <v>143</v>
      </c>
      <c r="D9" s="187">
        <v>222685.47</v>
      </c>
      <c r="E9" s="187" t="s">
        <v>143</v>
      </c>
      <c r="F9" s="196">
        <v>119083.171</v>
      </c>
      <c r="G9" s="194" t="s">
        <v>143</v>
      </c>
      <c r="H9" s="206">
        <v>534.76</v>
      </c>
      <c r="I9" s="207" t="s">
        <v>143</v>
      </c>
      <c r="J9" s="184" t="s">
        <v>92</v>
      </c>
    </row>
    <row r="10" spans="1:10" ht="21" customHeight="1" x14ac:dyDescent="0.45">
      <c r="A10" s="185" t="s">
        <v>91</v>
      </c>
      <c r="B10" s="188">
        <v>9917</v>
      </c>
      <c r="C10" s="188" t="s">
        <v>143</v>
      </c>
      <c r="D10" s="188">
        <v>9917</v>
      </c>
      <c r="E10" s="188" t="s">
        <v>143</v>
      </c>
      <c r="F10" s="197">
        <v>5971.4</v>
      </c>
      <c r="G10" s="195" t="s">
        <v>143</v>
      </c>
      <c r="H10" s="193">
        <v>602.14</v>
      </c>
      <c r="I10" s="200" t="s">
        <v>143</v>
      </c>
      <c r="J10" s="185" t="s">
        <v>297</v>
      </c>
    </row>
    <row r="11" spans="1:10" ht="19.5" x14ac:dyDescent="0.45">
      <c r="A11" s="185" t="s">
        <v>89</v>
      </c>
      <c r="B11" s="188">
        <v>46186</v>
      </c>
      <c r="C11" s="188" t="s">
        <v>143</v>
      </c>
      <c r="D11" s="188">
        <v>46186</v>
      </c>
      <c r="E11" s="188" t="s">
        <v>143</v>
      </c>
      <c r="F11" s="197">
        <v>23093</v>
      </c>
      <c r="G11" s="195" t="s">
        <v>143</v>
      </c>
      <c r="H11" s="193">
        <v>500</v>
      </c>
      <c r="I11" s="200" t="s">
        <v>143</v>
      </c>
      <c r="J11" s="185" t="s">
        <v>296</v>
      </c>
    </row>
    <row r="12" spans="1:10" ht="19.5" x14ac:dyDescent="0.45">
      <c r="A12" s="185" t="s">
        <v>87</v>
      </c>
      <c r="B12" s="188">
        <v>10035</v>
      </c>
      <c r="C12" s="188" t="s">
        <v>143</v>
      </c>
      <c r="D12" s="188">
        <v>10035</v>
      </c>
      <c r="E12" s="188" t="s">
        <v>143</v>
      </c>
      <c r="F12" s="197">
        <v>6798</v>
      </c>
      <c r="G12" s="195" t="s">
        <v>143</v>
      </c>
      <c r="H12" s="193">
        <v>677.43</v>
      </c>
      <c r="I12" s="191" t="s">
        <v>143</v>
      </c>
      <c r="J12" s="185" t="s">
        <v>295</v>
      </c>
    </row>
    <row r="13" spans="1:10" ht="19.5" x14ac:dyDescent="0.45">
      <c r="A13" s="185" t="s">
        <v>85</v>
      </c>
      <c r="B13" s="188" t="s">
        <v>143</v>
      </c>
      <c r="C13" s="188" t="s">
        <v>143</v>
      </c>
      <c r="D13" s="188" t="s">
        <v>143</v>
      </c>
      <c r="E13" s="188" t="s">
        <v>143</v>
      </c>
      <c r="F13" s="197" t="s">
        <v>143</v>
      </c>
      <c r="G13" s="195" t="s">
        <v>143</v>
      </c>
      <c r="H13" s="193" t="s">
        <v>143</v>
      </c>
      <c r="I13" s="191" t="s">
        <v>143</v>
      </c>
      <c r="J13" s="185" t="s">
        <v>294</v>
      </c>
    </row>
    <row r="14" spans="1:10" ht="19.5" x14ac:dyDescent="0.45">
      <c r="A14" s="185" t="s">
        <v>83</v>
      </c>
      <c r="B14" s="188" t="s">
        <v>143</v>
      </c>
      <c r="C14" s="188" t="s">
        <v>143</v>
      </c>
      <c r="D14" s="188" t="s">
        <v>143</v>
      </c>
      <c r="E14" s="188" t="s">
        <v>143</v>
      </c>
      <c r="F14" s="197" t="s">
        <v>143</v>
      </c>
      <c r="G14" s="195" t="s">
        <v>143</v>
      </c>
      <c r="H14" s="193" t="s">
        <v>143</v>
      </c>
      <c r="I14" s="191" t="s">
        <v>143</v>
      </c>
      <c r="J14" s="185" t="s">
        <v>293</v>
      </c>
    </row>
    <row r="15" spans="1:10" ht="19.5" x14ac:dyDescent="0.45">
      <c r="A15" s="185" t="s">
        <v>81</v>
      </c>
      <c r="B15" s="188">
        <v>306</v>
      </c>
      <c r="C15" s="188" t="s">
        <v>143</v>
      </c>
      <c r="D15" s="188">
        <v>306</v>
      </c>
      <c r="E15" s="188" t="s">
        <v>143</v>
      </c>
      <c r="F15" s="197">
        <v>140.12</v>
      </c>
      <c r="G15" s="195" t="s">
        <v>143</v>
      </c>
      <c r="H15" s="200">
        <v>457.91</v>
      </c>
      <c r="I15" s="191" t="s">
        <v>143</v>
      </c>
      <c r="J15" s="185" t="s">
        <v>292</v>
      </c>
    </row>
    <row r="16" spans="1:10" ht="19.5" x14ac:dyDescent="0.45">
      <c r="A16" s="185" t="s">
        <v>79</v>
      </c>
      <c r="B16" s="188">
        <v>19444</v>
      </c>
      <c r="C16" s="188" t="s">
        <v>143</v>
      </c>
      <c r="D16" s="188">
        <v>19444</v>
      </c>
      <c r="E16" s="188" t="s">
        <v>143</v>
      </c>
      <c r="F16" s="197">
        <v>10106.252</v>
      </c>
      <c r="G16" s="195" t="s">
        <v>143</v>
      </c>
      <c r="H16" s="193">
        <v>519.76</v>
      </c>
      <c r="I16" s="191" t="s">
        <v>143</v>
      </c>
      <c r="J16" s="185" t="s">
        <v>291</v>
      </c>
    </row>
    <row r="17" spans="1:10" ht="19.5" x14ac:dyDescent="0.45">
      <c r="A17" s="185" t="s">
        <v>77</v>
      </c>
      <c r="B17" s="188">
        <v>90</v>
      </c>
      <c r="C17" s="188" t="s">
        <v>143</v>
      </c>
      <c r="D17" s="188">
        <v>90</v>
      </c>
      <c r="E17" s="188" t="s">
        <v>143</v>
      </c>
      <c r="F17" s="197">
        <v>54</v>
      </c>
      <c r="G17" s="195" t="s">
        <v>143</v>
      </c>
      <c r="H17" s="193">
        <v>600</v>
      </c>
      <c r="I17" s="191" t="s">
        <v>143</v>
      </c>
      <c r="J17" s="185" t="s">
        <v>290</v>
      </c>
    </row>
    <row r="18" spans="1:10" ht="19.5" x14ac:dyDescent="0.45">
      <c r="A18" s="185" t="s">
        <v>75</v>
      </c>
      <c r="B18" s="188">
        <v>437</v>
      </c>
      <c r="C18" s="188" t="s">
        <v>143</v>
      </c>
      <c r="D18" s="188">
        <v>437</v>
      </c>
      <c r="E18" s="188" t="s">
        <v>143</v>
      </c>
      <c r="F18" s="197">
        <v>174.8</v>
      </c>
      <c r="G18" s="195" t="s">
        <v>143</v>
      </c>
      <c r="H18" s="193">
        <v>400</v>
      </c>
      <c r="I18" s="191" t="s">
        <v>143</v>
      </c>
      <c r="J18" s="185" t="s">
        <v>289</v>
      </c>
    </row>
    <row r="19" spans="1:10" ht="19.5" x14ac:dyDescent="0.45">
      <c r="A19" s="185" t="s">
        <v>73</v>
      </c>
      <c r="B19" s="188">
        <v>542</v>
      </c>
      <c r="C19" s="188" t="s">
        <v>143</v>
      </c>
      <c r="D19" s="188">
        <v>542</v>
      </c>
      <c r="E19" s="188" t="s">
        <v>143</v>
      </c>
      <c r="F19" s="197">
        <v>325.99</v>
      </c>
      <c r="G19" s="195" t="s">
        <v>143</v>
      </c>
      <c r="H19" s="193">
        <v>601.46</v>
      </c>
      <c r="I19" s="191" t="s">
        <v>143</v>
      </c>
      <c r="J19" s="185" t="s">
        <v>288</v>
      </c>
    </row>
    <row r="20" spans="1:10" ht="19.5" x14ac:dyDescent="0.45">
      <c r="A20" s="185" t="s">
        <v>71</v>
      </c>
      <c r="B20" s="188" t="s">
        <v>143</v>
      </c>
      <c r="C20" s="188" t="s">
        <v>143</v>
      </c>
      <c r="D20" s="188" t="s">
        <v>143</v>
      </c>
      <c r="E20" s="188" t="s">
        <v>143</v>
      </c>
      <c r="F20" s="197" t="s">
        <v>143</v>
      </c>
      <c r="G20" s="195" t="s">
        <v>143</v>
      </c>
      <c r="H20" s="193" t="s">
        <v>143</v>
      </c>
      <c r="I20" s="200" t="s">
        <v>143</v>
      </c>
      <c r="J20" s="185" t="s">
        <v>287</v>
      </c>
    </row>
    <row r="21" spans="1:10" ht="19.5" x14ac:dyDescent="0.45">
      <c r="A21" s="185" t="s">
        <v>69</v>
      </c>
      <c r="B21" s="188" t="s">
        <v>143</v>
      </c>
      <c r="C21" s="188" t="s">
        <v>143</v>
      </c>
      <c r="D21" s="188" t="s">
        <v>143</v>
      </c>
      <c r="E21" s="188" t="s">
        <v>143</v>
      </c>
      <c r="F21" s="197" t="s">
        <v>143</v>
      </c>
      <c r="G21" s="195" t="s">
        <v>143</v>
      </c>
      <c r="H21" s="193" t="s">
        <v>143</v>
      </c>
      <c r="I21" s="191" t="s">
        <v>143</v>
      </c>
      <c r="J21" s="185" t="s">
        <v>286</v>
      </c>
    </row>
    <row r="22" spans="1:10" ht="19.5" x14ac:dyDescent="0.45">
      <c r="A22" s="185" t="s">
        <v>67</v>
      </c>
      <c r="B22" s="188">
        <v>55</v>
      </c>
      <c r="C22" s="188" t="s">
        <v>143</v>
      </c>
      <c r="D22" s="188">
        <v>55</v>
      </c>
      <c r="E22" s="188" t="s">
        <v>143</v>
      </c>
      <c r="F22" s="197">
        <v>33</v>
      </c>
      <c r="G22" s="195" t="s">
        <v>143</v>
      </c>
      <c r="H22" s="193">
        <v>600</v>
      </c>
      <c r="I22" s="200" t="s">
        <v>143</v>
      </c>
      <c r="J22" s="185" t="s">
        <v>285</v>
      </c>
    </row>
    <row r="23" spans="1:10" ht="19.5" x14ac:dyDescent="0.45">
      <c r="A23" s="185" t="s">
        <v>65</v>
      </c>
      <c r="B23" s="188">
        <v>60270</v>
      </c>
      <c r="C23" s="188" t="s">
        <v>143</v>
      </c>
      <c r="D23" s="188">
        <v>60270</v>
      </c>
      <c r="E23" s="188" t="s">
        <v>143</v>
      </c>
      <c r="F23" s="197">
        <v>30135</v>
      </c>
      <c r="G23" s="195" t="s">
        <v>143</v>
      </c>
      <c r="H23" s="191">
        <v>500</v>
      </c>
      <c r="I23" s="191" t="s">
        <v>143</v>
      </c>
      <c r="J23" s="185" t="s">
        <v>284</v>
      </c>
    </row>
    <row r="24" spans="1:10" ht="19.5" x14ac:dyDescent="0.45">
      <c r="A24" s="185" t="s">
        <v>63</v>
      </c>
      <c r="B24" s="188">
        <v>13588</v>
      </c>
      <c r="C24" s="188" t="s">
        <v>143</v>
      </c>
      <c r="D24" s="188">
        <v>13588</v>
      </c>
      <c r="E24" s="188" t="s">
        <v>143</v>
      </c>
      <c r="F24" s="197">
        <v>8496.35</v>
      </c>
      <c r="G24" s="195" t="s">
        <v>143</v>
      </c>
      <c r="H24" s="193">
        <v>625.28</v>
      </c>
      <c r="I24" s="191" t="s">
        <v>143</v>
      </c>
      <c r="J24" s="185" t="s">
        <v>283</v>
      </c>
    </row>
    <row r="25" spans="1:10" ht="19.5" x14ac:dyDescent="0.45">
      <c r="A25" s="185" t="s">
        <v>61</v>
      </c>
      <c r="B25" s="188" t="s">
        <v>143</v>
      </c>
      <c r="C25" s="188" t="s">
        <v>143</v>
      </c>
      <c r="D25" s="188" t="s">
        <v>143</v>
      </c>
      <c r="E25" s="188" t="s">
        <v>143</v>
      </c>
      <c r="F25" s="197" t="s">
        <v>143</v>
      </c>
      <c r="G25" s="195" t="s">
        <v>143</v>
      </c>
      <c r="H25" s="193" t="s">
        <v>143</v>
      </c>
      <c r="I25" s="191" t="s">
        <v>143</v>
      </c>
      <c r="J25" s="185" t="s">
        <v>282</v>
      </c>
    </row>
    <row r="26" spans="1:10" ht="19.5" x14ac:dyDescent="0.45">
      <c r="A26" s="185" t="s">
        <v>59</v>
      </c>
      <c r="B26" s="188">
        <v>3626</v>
      </c>
      <c r="C26" s="188" t="s">
        <v>143</v>
      </c>
      <c r="D26" s="188">
        <v>3611</v>
      </c>
      <c r="E26" s="188" t="s">
        <v>143</v>
      </c>
      <c r="F26" s="197">
        <v>2623</v>
      </c>
      <c r="G26" s="195" t="s">
        <v>143</v>
      </c>
      <c r="H26" s="193">
        <v>726.39</v>
      </c>
      <c r="I26" s="200" t="s">
        <v>143</v>
      </c>
      <c r="J26" s="185" t="s">
        <v>281</v>
      </c>
    </row>
    <row r="27" spans="1:10" ht="19.5" x14ac:dyDescent="0.45">
      <c r="A27" s="185" t="s">
        <v>57</v>
      </c>
      <c r="B27" s="188">
        <v>26650.25</v>
      </c>
      <c r="C27" s="188" t="s">
        <v>143</v>
      </c>
      <c r="D27" s="188">
        <v>26650.25</v>
      </c>
      <c r="E27" s="188" t="s">
        <v>143</v>
      </c>
      <c r="F27" s="197">
        <v>16161.15</v>
      </c>
      <c r="G27" s="195" t="s">
        <v>143</v>
      </c>
      <c r="H27" s="193">
        <v>606.41999999999996</v>
      </c>
      <c r="I27" s="191" t="s">
        <v>143</v>
      </c>
      <c r="J27" s="185" t="s">
        <v>280</v>
      </c>
    </row>
    <row r="28" spans="1:10" ht="19.5" x14ac:dyDescent="0.45">
      <c r="A28" s="185" t="s">
        <v>55</v>
      </c>
      <c r="B28" s="188">
        <v>8052</v>
      </c>
      <c r="C28" s="188" t="s">
        <v>143</v>
      </c>
      <c r="D28" s="188">
        <v>8052</v>
      </c>
      <c r="E28" s="188" t="s">
        <v>143</v>
      </c>
      <c r="F28" s="197">
        <v>4026</v>
      </c>
      <c r="G28" s="195" t="s">
        <v>143</v>
      </c>
      <c r="H28" s="193">
        <v>500</v>
      </c>
      <c r="I28" s="191" t="s">
        <v>143</v>
      </c>
      <c r="J28" s="185" t="s">
        <v>279</v>
      </c>
    </row>
    <row r="29" spans="1:10" ht="19.5" x14ac:dyDescent="0.45">
      <c r="A29" s="185" t="s">
        <v>29</v>
      </c>
      <c r="B29" s="188">
        <v>12261</v>
      </c>
      <c r="C29" s="188" t="s">
        <v>143</v>
      </c>
      <c r="D29" s="188">
        <v>12261</v>
      </c>
      <c r="E29" s="188" t="s">
        <v>143</v>
      </c>
      <c r="F29" s="197">
        <v>5517.45</v>
      </c>
      <c r="G29" s="195" t="s">
        <v>143</v>
      </c>
      <c r="H29" s="193">
        <v>450</v>
      </c>
      <c r="I29" s="200" t="s">
        <v>143</v>
      </c>
      <c r="J29" s="185" t="s">
        <v>278</v>
      </c>
    </row>
    <row r="30" spans="1:10" ht="19.5" x14ac:dyDescent="0.45">
      <c r="A30" s="185" t="s">
        <v>27</v>
      </c>
      <c r="B30" s="188">
        <v>217</v>
      </c>
      <c r="C30" s="188" t="s">
        <v>143</v>
      </c>
      <c r="D30" s="188">
        <v>217</v>
      </c>
      <c r="E30" s="188" t="s">
        <v>143</v>
      </c>
      <c r="F30" s="197">
        <v>86.8</v>
      </c>
      <c r="G30" s="195" t="s">
        <v>143</v>
      </c>
      <c r="H30" s="193">
        <v>400</v>
      </c>
      <c r="I30" s="191" t="s">
        <v>143</v>
      </c>
      <c r="J30" s="185" t="s">
        <v>277</v>
      </c>
    </row>
    <row r="31" spans="1:10" ht="19.5" x14ac:dyDescent="0.45">
      <c r="A31" s="185" t="s">
        <v>25</v>
      </c>
      <c r="B31" s="188" t="s">
        <v>143</v>
      </c>
      <c r="C31" s="188" t="s">
        <v>143</v>
      </c>
      <c r="D31" s="188" t="s">
        <v>143</v>
      </c>
      <c r="E31" s="188" t="s">
        <v>143</v>
      </c>
      <c r="F31" s="197" t="s">
        <v>143</v>
      </c>
      <c r="G31" s="195" t="s">
        <v>143</v>
      </c>
      <c r="H31" s="193" t="s">
        <v>143</v>
      </c>
      <c r="I31" s="191" t="s">
        <v>143</v>
      </c>
      <c r="J31" s="185" t="s">
        <v>276</v>
      </c>
    </row>
    <row r="32" spans="1:10" ht="19.5" x14ac:dyDescent="0.45">
      <c r="A32" s="185" t="s">
        <v>23</v>
      </c>
      <c r="B32" s="188">
        <v>129</v>
      </c>
      <c r="C32" s="188" t="s">
        <v>143</v>
      </c>
      <c r="D32" s="188">
        <v>129</v>
      </c>
      <c r="E32" s="188" t="s">
        <v>143</v>
      </c>
      <c r="F32" s="197">
        <v>53.148000000000003</v>
      </c>
      <c r="G32" s="195" t="s">
        <v>143</v>
      </c>
      <c r="H32" s="193">
        <v>412</v>
      </c>
      <c r="I32" s="200" t="s">
        <v>143</v>
      </c>
      <c r="J32" s="185" t="s">
        <v>275</v>
      </c>
    </row>
    <row r="33" spans="1:10" ht="19.5" x14ac:dyDescent="0.45">
      <c r="A33" s="185" t="s">
        <v>21</v>
      </c>
      <c r="B33" s="188" t="s">
        <v>143</v>
      </c>
      <c r="C33" s="188" t="s">
        <v>143</v>
      </c>
      <c r="D33" s="188" t="s">
        <v>143</v>
      </c>
      <c r="E33" s="188" t="s">
        <v>143</v>
      </c>
      <c r="F33" s="197" t="s">
        <v>143</v>
      </c>
      <c r="G33" s="195" t="s">
        <v>143</v>
      </c>
      <c r="H33" s="193" t="s">
        <v>143</v>
      </c>
      <c r="I33" s="191" t="s">
        <v>143</v>
      </c>
      <c r="J33" s="185" t="s">
        <v>274</v>
      </c>
    </row>
    <row r="34" spans="1:10" ht="19.5" x14ac:dyDescent="0.45">
      <c r="A34" s="185" t="s">
        <v>19</v>
      </c>
      <c r="B34" s="188">
        <v>6670</v>
      </c>
      <c r="C34" s="188" t="s">
        <v>143</v>
      </c>
      <c r="D34" s="188">
        <v>3710</v>
      </c>
      <c r="E34" s="188" t="s">
        <v>143</v>
      </c>
      <c r="F34" s="197">
        <v>1852</v>
      </c>
      <c r="G34" s="195" t="s">
        <v>143</v>
      </c>
      <c r="H34" s="193">
        <v>499.19</v>
      </c>
      <c r="I34" s="191" t="s">
        <v>143</v>
      </c>
      <c r="J34" s="185" t="s">
        <v>273</v>
      </c>
    </row>
    <row r="35" spans="1:10" ht="19.5" x14ac:dyDescent="0.45">
      <c r="A35" s="185" t="s">
        <v>17</v>
      </c>
      <c r="B35" s="188" t="s">
        <v>143</v>
      </c>
      <c r="C35" s="188" t="s">
        <v>143</v>
      </c>
      <c r="D35" s="188" t="s">
        <v>143</v>
      </c>
      <c r="E35" s="188" t="s">
        <v>143</v>
      </c>
      <c r="F35" s="197" t="s">
        <v>143</v>
      </c>
      <c r="G35" s="195" t="s">
        <v>143</v>
      </c>
      <c r="H35" s="193" t="s">
        <v>143</v>
      </c>
      <c r="I35" s="191" t="s">
        <v>143</v>
      </c>
      <c r="J35" s="185" t="s">
        <v>272</v>
      </c>
    </row>
    <row r="36" spans="1:10" ht="19.5" x14ac:dyDescent="0.45">
      <c r="A36" s="185" t="s">
        <v>15</v>
      </c>
      <c r="B36" s="188">
        <v>1241</v>
      </c>
      <c r="C36" s="188" t="s">
        <v>143</v>
      </c>
      <c r="D36" s="188">
        <v>1241</v>
      </c>
      <c r="E36" s="188" t="s">
        <v>143</v>
      </c>
      <c r="F36" s="197">
        <v>416.5</v>
      </c>
      <c r="G36" s="195" t="s">
        <v>143</v>
      </c>
      <c r="H36" s="193">
        <v>335.62</v>
      </c>
      <c r="I36" s="200" t="s">
        <v>143</v>
      </c>
      <c r="J36" s="185" t="s">
        <v>271</v>
      </c>
    </row>
    <row r="37" spans="1:10" ht="19.5" x14ac:dyDescent="0.45">
      <c r="A37" s="185" t="s">
        <v>13</v>
      </c>
      <c r="B37" s="188" t="s">
        <v>143</v>
      </c>
      <c r="C37" s="188" t="s">
        <v>143</v>
      </c>
      <c r="D37" s="188" t="s">
        <v>143</v>
      </c>
      <c r="E37" s="188" t="s">
        <v>143</v>
      </c>
      <c r="F37" s="197" t="s">
        <v>143</v>
      </c>
      <c r="G37" s="195" t="s">
        <v>143</v>
      </c>
      <c r="H37" s="193" t="s">
        <v>143</v>
      </c>
      <c r="I37" s="191" t="s">
        <v>143</v>
      </c>
      <c r="J37" s="185" t="s">
        <v>270</v>
      </c>
    </row>
    <row r="38" spans="1:10" ht="19.5" x14ac:dyDescent="0.45">
      <c r="A38" s="185" t="s">
        <v>11</v>
      </c>
      <c r="B38" s="188">
        <v>670</v>
      </c>
      <c r="C38" s="188" t="s">
        <v>143</v>
      </c>
      <c r="D38" s="188">
        <v>670</v>
      </c>
      <c r="E38" s="188" t="s">
        <v>143</v>
      </c>
      <c r="F38" s="197">
        <v>525.95000000000005</v>
      </c>
      <c r="G38" s="195" t="s">
        <v>143</v>
      </c>
      <c r="H38" s="200">
        <v>785</v>
      </c>
      <c r="I38" s="200" t="s">
        <v>143</v>
      </c>
      <c r="J38" s="185" t="s">
        <v>269</v>
      </c>
    </row>
    <row r="39" spans="1:10" ht="19.5" x14ac:dyDescent="0.45">
      <c r="A39" s="185" t="s">
        <v>9</v>
      </c>
      <c r="B39" s="188" t="s">
        <v>143</v>
      </c>
      <c r="C39" s="188" t="s">
        <v>143</v>
      </c>
      <c r="D39" s="188" t="s">
        <v>143</v>
      </c>
      <c r="E39" s="188" t="s">
        <v>143</v>
      </c>
      <c r="F39" s="197" t="s">
        <v>143</v>
      </c>
      <c r="G39" s="195" t="s">
        <v>143</v>
      </c>
      <c r="H39" s="191" t="s">
        <v>143</v>
      </c>
      <c r="I39" s="191" t="s">
        <v>143</v>
      </c>
      <c r="J39" s="185" t="s">
        <v>268</v>
      </c>
    </row>
    <row r="40" spans="1:10" ht="19.5" x14ac:dyDescent="0.45">
      <c r="A40" s="185" t="s">
        <v>7</v>
      </c>
      <c r="B40" s="188" t="s">
        <v>143</v>
      </c>
      <c r="C40" s="188" t="s">
        <v>143</v>
      </c>
      <c r="D40" s="188" t="s">
        <v>143</v>
      </c>
      <c r="E40" s="188" t="s">
        <v>143</v>
      </c>
      <c r="F40" s="197" t="s">
        <v>143</v>
      </c>
      <c r="G40" s="195" t="s">
        <v>143</v>
      </c>
      <c r="H40" s="191" t="s">
        <v>143</v>
      </c>
      <c r="I40" s="191" t="s">
        <v>143</v>
      </c>
      <c r="J40" s="185" t="s">
        <v>267</v>
      </c>
    </row>
    <row r="41" spans="1:10" ht="19.5" x14ac:dyDescent="0.45">
      <c r="A41" s="186" t="s">
        <v>5</v>
      </c>
      <c r="B41" s="205">
        <v>5274.22</v>
      </c>
      <c r="C41" s="205" t="s">
        <v>143</v>
      </c>
      <c r="D41" s="205">
        <v>5274.22</v>
      </c>
      <c r="E41" s="205" t="s">
        <v>143</v>
      </c>
      <c r="F41" s="203">
        <v>2493.261</v>
      </c>
      <c r="G41" s="204" t="s">
        <v>143</v>
      </c>
      <c r="H41" s="201">
        <v>472.73</v>
      </c>
      <c r="I41" s="192" t="s">
        <v>143</v>
      </c>
      <c r="J41" s="186" t="s">
        <v>266</v>
      </c>
    </row>
    <row r="42" spans="1:10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21.75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B43:D43"/>
    <mergeCell ref="F43:I43"/>
    <mergeCell ref="A4:A8"/>
    <mergeCell ref="J4:J8"/>
    <mergeCell ref="B4:C4"/>
    <mergeCell ref="D4:E4"/>
    <mergeCell ref="F4:G4"/>
    <mergeCell ref="H4:I4"/>
    <mergeCell ref="B5:C5"/>
    <mergeCell ref="D5:E5"/>
    <mergeCell ref="F5:G5"/>
    <mergeCell ref="H5:I5"/>
  </mergeCells>
  <pageMargins left="0.55118110236220474" right="0" top="0.39370078740157483" bottom="0.39370078740157483" header="0.51181102362204722" footer="0.51181102362204722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zoomScale="110" zoomScaleNormal="110" workbookViewId="0"/>
  </sheetViews>
  <sheetFormatPr defaultRowHeight="14.25" x14ac:dyDescent="0.2"/>
  <cols>
    <col min="1" max="1" width="15.75" customWidth="1"/>
    <col min="2" max="2" width="11.875" customWidth="1"/>
    <col min="3" max="3" width="11.5" customWidth="1"/>
    <col min="4" max="4" width="12.25" customWidth="1"/>
    <col min="5" max="5" width="11.5" customWidth="1"/>
    <col min="6" max="6" width="11.125" customWidth="1"/>
    <col min="7" max="7" width="11.5" customWidth="1"/>
    <col min="8" max="8" width="11.125" customWidth="1"/>
    <col min="9" max="9" width="11.5" customWidth="1"/>
    <col min="10" max="10" width="24.125" customWidth="1"/>
  </cols>
  <sheetData>
    <row r="1" spans="1:10" ht="21.75" x14ac:dyDescent="0.5">
      <c r="A1" s="28" t="s">
        <v>307</v>
      </c>
    </row>
    <row r="2" spans="1:10" ht="21.75" x14ac:dyDescent="0.5">
      <c r="A2" s="28" t="s">
        <v>306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19.5" customHeight="1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7" customHeight="1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7" customHeight="1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7" customHeight="1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24" customHeight="1" x14ac:dyDescent="0.45">
      <c r="A9" s="184" t="s">
        <v>93</v>
      </c>
      <c r="B9" s="187">
        <v>127408.75</v>
      </c>
      <c r="C9" s="187">
        <v>66</v>
      </c>
      <c r="D9" s="187">
        <v>54196.5</v>
      </c>
      <c r="E9" s="187">
        <v>3</v>
      </c>
      <c r="F9" s="196">
        <v>35610.239999999998</v>
      </c>
      <c r="G9" s="194">
        <v>1200</v>
      </c>
      <c r="H9" s="206">
        <v>657.05792809498769</v>
      </c>
      <c r="I9" s="207">
        <v>400</v>
      </c>
      <c r="J9" s="184" t="s">
        <v>92</v>
      </c>
    </row>
    <row r="10" spans="1:10" ht="21" customHeight="1" x14ac:dyDescent="0.45">
      <c r="A10" s="185" t="s">
        <v>91</v>
      </c>
      <c r="B10" s="188">
        <v>5143</v>
      </c>
      <c r="C10" s="188" t="s">
        <v>143</v>
      </c>
      <c r="D10" s="188">
        <v>5143</v>
      </c>
      <c r="E10" s="188" t="s">
        <v>143</v>
      </c>
      <c r="F10" s="197">
        <v>2570.5</v>
      </c>
      <c r="G10" s="195" t="s">
        <v>143</v>
      </c>
      <c r="H10" s="193">
        <v>499.80556095664008</v>
      </c>
      <c r="I10" s="200" t="s">
        <v>143</v>
      </c>
      <c r="J10" s="185" t="s">
        <v>297</v>
      </c>
    </row>
    <row r="11" spans="1:10" ht="19.5" x14ac:dyDescent="0.45">
      <c r="A11" s="185" t="s">
        <v>89</v>
      </c>
      <c r="B11" s="188">
        <v>36621</v>
      </c>
      <c r="C11" s="188" t="s">
        <v>143</v>
      </c>
      <c r="D11" s="188" t="s">
        <v>143</v>
      </c>
      <c r="E11" s="188" t="s">
        <v>143</v>
      </c>
      <c r="F11" s="197" t="s">
        <v>143</v>
      </c>
      <c r="G11" s="195" t="s">
        <v>143</v>
      </c>
      <c r="H11" s="193" t="s">
        <v>143</v>
      </c>
      <c r="I11" s="200" t="s">
        <v>143</v>
      </c>
      <c r="J11" s="185" t="s">
        <v>296</v>
      </c>
    </row>
    <row r="12" spans="1:10" ht="19.5" x14ac:dyDescent="0.45">
      <c r="A12" s="185" t="s">
        <v>87</v>
      </c>
      <c r="B12" s="188" t="s">
        <v>143</v>
      </c>
      <c r="C12" s="188" t="s">
        <v>143</v>
      </c>
      <c r="D12" s="188" t="s">
        <v>143</v>
      </c>
      <c r="E12" s="188" t="s">
        <v>143</v>
      </c>
      <c r="F12" s="197" t="s">
        <v>143</v>
      </c>
      <c r="G12" s="195" t="s">
        <v>143</v>
      </c>
      <c r="H12" s="193" t="s">
        <v>143</v>
      </c>
      <c r="I12" s="191" t="s">
        <v>143</v>
      </c>
      <c r="J12" s="185" t="s">
        <v>295</v>
      </c>
    </row>
    <row r="13" spans="1:10" ht="19.5" x14ac:dyDescent="0.45">
      <c r="A13" s="185" t="s">
        <v>85</v>
      </c>
      <c r="B13" s="188">
        <v>8816</v>
      </c>
      <c r="C13" s="188" t="s">
        <v>143</v>
      </c>
      <c r="D13" s="188" t="s">
        <v>143</v>
      </c>
      <c r="E13" s="188" t="s">
        <v>143</v>
      </c>
      <c r="F13" s="197" t="s">
        <v>143</v>
      </c>
      <c r="G13" s="195" t="s">
        <v>143</v>
      </c>
      <c r="H13" s="193" t="s">
        <v>143</v>
      </c>
      <c r="I13" s="191" t="s">
        <v>143</v>
      </c>
      <c r="J13" s="185" t="s">
        <v>294</v>
      </c>
    </row>
    <row r="14" spans="1:10" ht="19.5" x14ac:dyDescent="0.45">
      <c r="A14" s="185" t="s">
        <v>83</v>
      </c>
      <c r="B14" s="188" t="s">
        <v>143</v>
      </c>
      <c r="C14" s="188" t="s">
        <v>143</v>
      </c>
      <c r="D14" s="188" t="s">
        <v>143</v>
      </c>
      <c r="E14" s="188" t="s">
        <v>143</v>
      </c>
      <c r="F14" s="197" t="s">
        <v>143</v>
      </c>
      <c r="G14" s="195" t="s">
        <v>143</v>
      </c>
      <c r="H14" s="193" t="s">
        <v>143</v>
      </c>
      <c r="I14" s="191" t="s">
        <v>143</v>
      </c>
      <c r="J14" s="185" t="s">
        <v>293</v>
      </c>
    </row>
    <row r="15" spans="1:10" ht="19.5" x14ac:dyDescent="0.45">
      <c r="A15" s="185" t="s">
        <v>81</v>
      </c>
      <c r="B15" s="188" t="s">
        <v>143</v>
      </c>
      <c r="C15" s="188" t="s">
        <v>143</v>
      </c>
      <c r="D15" s="188" t="s">
        <v>143</v>
      </c>
      <c r="E15" s="188" t="s">
        <v>143</v>
      </c>
      <c r="F15" s="197" t="s">
        <v>143</v>
      </c>
      <c r="G15" s="195" t="s">
        <v>143</v>
      </c>
      <c r="H15" s="191" t="s">
        <v>143</v>
      </c>
      <c r="I15" s="191" t="s">
        <v>143</v>
      </c>
      <c r="J15" s="185" t="s">
        <v>292</v>
      </c>
    </row>
    <row r="16" spans="1:10" ht="19.5" x14ac:dyDescent="0.45">
      <c r="A16" s="185" t="s">
        <v>79</v>
      </c>
      <c r="B16" s="188">
        <v>18358.25</v>
      </c>
      <c r="C16" s="188" t="s">
        <v>143</v>
      </c>
      <c r="D16" s="188" t="s">
        <v>143</v>
      </c>
      <c r="E16" s="188" t="s">
        <v>143</v>
      </c>
      <c r="F16" s="197" t="s">
        <v>143</v>
      </c>
      <c r="G16" s="195" t="s">
        <v>143</v>
      </c>
      <c r="H16" s="193" t="s">
        <v>143</v>
      </c>
      <c r="I16" s="191" t="s">
        <v>143</v>
      </c>
      <c r="J16" s="185" t="s">
        <v>291</v>
      </c>
    </row>
    <row r="17" spans="1:10" ht="19.5" x14ac:dyDescent="0.45">
      <c r="A17" s="185" t="s">
        <v>77</v>
      </c>
      <c r="B17" s="188">
        <v>50</v>
      </c>
      <c r="C17" s="188" t="s">
        <v>143</v>
      </c>
      <c r="D17" s="188">
        <v>50</v>
      </c>
      <c r="E17" s="188" t="s">
        <v>143</v>
      </c>
      <c r="F17" s="197">
        <v>20</v>
      </c>
      <c r="G17" s="195" t="s">
        <v>143</v>
      </c>
      <c r="H17" s="193">
        <v>400</v>
      </c>
      <c r="I17" s="191" t="s">
        <v>143</v>
      </c>
      <c r="J17" s="185" t="s">
        <v>290</v>
      </c>
    </row>
    <row r="18" spans="1:10" ht="19.5" x14ac:dyDescent="0.45">
      <c r="A18" s="185" t="s">
        <v>75</v>
      </c>
      <c r="B18" s="188" t="s">
        <v>143</v>
      </c>
      <c r="C18" s="188" t="s">
        <v>143</v>
      </c>
      <c r="D18" s="188" t="s">
        <v>143</v>
      </c>
      <c r="E18" s="188" t="s">
        <v>143</v>
      </c>
      <c r="F18" s="197" t="s">
        <v>143</v>
      </c>
      <c r="G18" s="195" t="s">
        <v>143</v>
      </c>
      <c r="H18" s="193" t="s">
        <v>143</v>
      </c>
      <c r="I18" s="191" t="s">
        <v>143</v>
      </c>
      <c r="J18" s="185" t="s">
        <v>289</v>
      </c>
    </row>
    <row r="19" spans="1:10" ht="19.5" x14ac:dyDescent="0.45">
      <c r="A19" s="185" t="s">
        <v>73</v>
      </c>
      <c r="B19" s="188">
        <v>517</v>
      </c>
      <c r="C19" s="188" t="s">
        <v>143</v>
      </c>
      <c r="D19" s="188">
        <v>517</v>
      </c>
      <c r="E19" s="188" t="s">
        <v>143</v>
      </c>
      <c r="F19" s="197">
        <v>588.4</v>
      </c>
      <c r="G19" s="195" t="s">
        <v>143</v>
      </c>
      <c r="H19" s="193">
        <v>1138.1044487427466</v>
      </c>
      <c r="I19" s="191" t="s">
        <v>143</v>
      </c>
      <c r="J19" s="185" t="s">
        <v>288</v>
      </c>
    </row>
    <row r="20" spans="1:10" ht="19.5" x14ac:dyDescent="0.45">
      <c r="A20" s="185" t="s">
        <v>71</v>
      </c>
      <c r="B20" s="188">
        <v>3</v>
      </c>
      <c r="C20" s="188">
        <v>3</v>
      </c>
      <c r="D20" s="188">
        <v>3</v>
      </c>
      <c r="E20" s="188">
        <v>3</v>
      </c>
      <c r="F20" s="197">
        <v>1.2</v>
      </c>
      <c r="G20" s="195">
        <v>1200</v>
      </c>
      <c r="H20" s="193">
        <v>400</v>
      </c>
      <c r="I20" s="200">
        <v>400</v>
      </c>
      <c r="J20" s="185" t="s">
        <v>287</v>
      </c>
    </row>
    <row r="21" spans="1:10" ht="19.5" x14ac:dyDescent="0.45">
      <c r="A21" s="185" t="s">
        <v>69</v>
      </c>
      <c r="B21" s="188" t="s">
        <v>143</v>
      </c>
      <c r="C21" s="188" t="s">
        <v>143</v>
      </c>
      <c r="D21" s="188" t="s">
        <v>143</v>
      </c>
      <c r="E21" s="188" t="s">
        <v>143</v>
      </c>
      <c r="F21" s="197" t="s">
        <v>143</v>
      </c>
      <c r="G21" s="195" t="s">
        <v>143</v>
      </c>
      <c r="H21" s="193" t="s">
        <v>143</v>
      </c>
      <c r="I21" s="191" t="s">
        <v>143</v>
      </c>
      <c r="J21" s="185" t="s">
        <v>286</v>
      </c>
    </row>
    <row r="22" spans="1:10" ht="19.5" x14ac:dyDescent="0.45">
      <c r="A22" s="185" t="s">
        <v>67</v>
      </c>
      <c r="B22" s="188">
        <v>103</v>
      </c>
      <c r="C22" s="188" t="s">
        <v>143</v>
      </c>
      <c r="D22" s="188">
        <v>30</v>
      </c>
      <c r="E22" s="188" t="s">
        <v>143</v>
      </c>
      <c r="F22" s="197">
        <v>12</v>
      </c>
      <c r="G22" s="195" t="s">
        <v>143</v>
      </c>
      <c r="H22" s="193">
        <v>400</v>
      </c>
      <c r="I22" s="200" t="s">
        <v>143</v>
      </c>
      <c r="J22" s="185" t="s">
        <v>285</v>
      </c>
    </row>
    <row r="23" spans="1:10" ht="19.5" x14ac:dyDescent="0.45">
      <c r="A23" s="185" t="s">
        <v>65</v>
      </c>
      <c r="B23" s="188">
        <v>1843</v>
      </c>
      <c r="C23" s="188" t="s">
        <v>143</v>
      </c>
      <c r="D23" s="188" t="s">
        <v>143</v>
      </c>
      <c r="E23" s="188" t="s">
        <v>143</v>
      </c>
      <c r="F23" s="197" t="s">
        <v>143</v>
      </c>
      <c r="G23" s="195" t="s">
        <v>143</v>
      </c>
      <c r="H23" s="191" t="s">
        <v>143</v>
      </c>
      <c r="I23" s="191" t="s">
        <v>143</v>
      </c>
      <c r="J23" s="185" t="s">
        <v>284</v>
      </c>
    </row>
    <row r="24" spans="1:10" ht="19.5" x14ac:dyDescent="0.45">
      <c r="A24" s="185" t="s">
        <v>63</v>
      </c>
      <c r="B24" s="188">
        <v>10605.5</v>
      </c>
      <c r="C24" s="188" t="s">
        <v>143</v>
      </c>
      <c r="D24" s="188">
        <v>10605.5</v>
      </c>
      <c r="E24" s="188" t="s">
        <v>143</v>
      </c>
      <c r="F24" s="197">
        <v>4903.5</v>
      </c>
      <c r="G24" s="195" t="s">
        <v>143</v>
      </c>
      <c r="H24" s="193">
        <v>462.35443873461884</v>
      </c>
      <c r="I24" s="191" t="s">
        <v>143</v>
      </c>
      <c r="J24" s="185" t="s">
        <v>283</v>
      </c>
    </row>
    <row r="25" spans="1:10" ht="19.5" x14ac:dyDescent="0.45">
      <c r="A25" s="185" t="s">
        <v>61</v>
      </c>
      <c r="B25" s="188" t="s">
        <v>143</v>
      </c>
      <c r="C25" s="188" t="s">
        <v>143</v>
      </c>
      <c r="D25" s="188" t="s">
        <v>143</v>
      </c>
      <c r="E25" s="188" t="s">
        <v>143</v>
      </c>
      <c r="F25" s="197" t="s">
        <v>143</v>
      </c>
      <c r="G25" s="195" t="s">
        <v>143</v>
      </c>
      <c r="H25" s="193" t="s">
        <v>143</v>
      </c>
      <c r="I25" s="191" t="s">
        <v>143</v>
      </c>
      <c r="J25" s="185" t="s">
        <v>282</v>
      </c>
    </row>
    <row r="26" spans="1:10" ht="19.5" x14ac:dyDescent="0.45">
      <c r="A26" s="185" t="s">
        <v>59</v>
      </c>
      <c r="B26" s="188">
        <v>5207</v>
      </c>
      <c r="C26" s="188" t="s">
        <v>143</v>
      </c>
      <c r="D26" s="188">
        <v>5207</v>
      </c>
      <c r="E26" s="188" t="s">
        <v>143</v>
      </c>
      <c r="F26" s="197">
        <v>2980.25</v>
      </c>
      <c r="G26" s="195" t="s">
        <v>143</v>
      </c>
      <c r="H26" s="193">
        <v>572.35452275782598</v>
      </c>
      <c r="I26" s="200" t="s">
        <v>143</v>
      </c>
      <c r="J26" s="185" t="s">
        <v>281</v>
      </c>
    </row>
    <row r="27" spans="1:10" ht="19.5" x14ac:dyDescent="0.45">
      <c r="A27" s="185" t="s">
        <v>57</v>
      </c>
      <c r="B27" s="188">
        <v>23755</v>
      </c>
      <c r="C27" s="188" t="s">
        <v>143</v>
      </c>
      <c r="D27" s="188">
        <v>22182</v>
      </c>
      <c r="E27" s="188" t="s">
        <v>143</v>
      </c>
      <c r="F27" s="197">
        <v>16977.169999999998</v>
      </c>
      <c r="G27" s="195" t="s">
        <v>143</v>
      </c>
      <c r="H27" s="193">
        <v>765.35794788567307</v>
      </c>
      <c r="I27" s="191" t="s">
        <v>143</v>
      </c>
      <c r="J27" s="185" t="s">
        <v>280</v>
      </c>
    </row>
    <row r="28" spans="1:10" ht="19.5" x14ac:dyDescent="0.45">
      <c r="A28" s="185" t="s">
        <v>55</v>
      </c>
      <c r="B28" s="188" t="s">
        <v>143</v>
      </c>
      <c r="C28" s="188" t="s">
        <v>143</v>
      </c>
      <c r="D28" s="188" t="s">
        <v>143</v>
      </c>
      <c r="E28" s="188" t="s">
        <v>143</v>
      </c>
      <c r="F28" s="197" t="s">
        <v>143</v>
      </c>
      <c r="G28" s="195" t="s">
        <v>143</v>
      </c>
      <c r="H28" s="193" t="s">
        <v>143</v>
      </c>
      <c r="I28" s="191" t="s">
        <v>143</v>
      </c>
      <c r="J28" s="185" t="s">
        <v>279</v>
      </c>
    </row>
    <row r="29" spans="1:10" ht="19.5" x14ac:dyDescent="0.45">
      <c r="A29" s="185" t="s">
        <v>29</v>
      </c>
      <c r="B29" s="188">
        <v>10459</v>
      </c>
      <c r="C29" s="188" t="s">
        <v>143</v>
      </c>
      <c r="D29" s="188">
        <v>10459</v>
      </c>
      <c r="E29" s="188" t="s">
        <v>143</v>
      </c>
      <c r="F29" s="197">
        <v>7557.22</v>
      </c>
      <c r="G29" s="195" t="s">
        <v>143</v>
      </c>
      <c r="H29" s="193">
        <v>722.55664977531308</v>
      </c>
      <c r="I29" s="200" t="s">
        <v>143</v>
      </c>
      <c r="J29" s="185" t="s">
        <v>278</v>
      </c>
    </row>
    <row r="30" spans="1:10" ht="19.5" x14ac:dyDescent="0.45">
      <c r="A30" s="185" t="s">
        <v>27</v>
      </c>
      <c r="B30" s="188" t="s">
        <v>143</v>
      </c>
      <c r="C30" s="188" t="s">
        <v>143</v>
      </c>
      <c r="D30" s="188" t="s">
        <v>143</v>
      </c>
      <c r="E30" s="188" t="s">
        <v>143</v>
      </c>
      <c r="F30" s="197" t="s">
        <v>143</v>
      </c>
      <c r="G30" s="195" t="s">
        <v>143</v>
      </c>
      <c r="H30" s="193" t="s">
        <v>143</v>
      </c>
      <c r="I30" s="191" t="s">
        <v>143</v>
      </c>
      <c r="J30" s="185" t="s">
        <v>277</v>
      </c>
    </row>
    <row r="31" spans="1:10" ht="19.5" x14ac:dyDescent="0.45">
      <c r="A31" s="185" t="s">
        <v>25</v>
      </c>
      <c r="B31" s="188" t="s">
        <v>143</v>
      </c>
      <c r="C31" s="188" t="s">
        <v>143</v>
      </c>
      <c r="D31" s="188" t="s">
        <v>143</v>
      </c>
      <c r="E31" s="188" t="s">
        <v>143</v>
      </c>
      <c r="F31" s="197" t="s">
        <v>143</v>
      </c>
      <c r="G31" s="195" t="s">
        <v>143</v>
      </c>
      <c r="H31" s="193" t="s">
        <v>143</v>
      </c>
      <c r="I31" s="191" t="s">
        <v>143</v>
      </c>
      <c r="J31" s="185" t="s">
        <v>276</v>
      </c>
    </row>
    <row r="32" spans="1:10" ht="19.5" x14ac:dyDescent="0.45">
      <c r="A32" s="185" t="s">
        <v>23</v>
      </c>
      <c r="B32" s="188" t="s">
        <v>143</v>
      </c>
      <c r="C32" s="188" t="s">
        <v>143</v>
      </c>
      <c r="D32" s="188" t="s">
        <v>143</v>
      </c>
      <c r="E32" s="188" t="s">
        <v>143</v>
      </c>
      <c r="F32" s="197" t="s">
        <v>143</v>
      </c>
      <c r="G32" s="195" t="s">
        <v>143</v>
      </c>
      <c r="H32" s="193" t="s">
        <v>143</v>
      </c>
      <c r="I32" s="200" t="s">
        <v>143</v>
      </c>
      <c r="J32" s="185" t="s">
        <v>275</v>
      </c>
    </row>
    <row r="33" spans="1:10" ht="19.5" x14ac:dyDescent="0.45">
      <c r="A33" s="185" t="s">
        <v>21</v>
      </c>
      <c r="B33" s="188" t="s">
        <v>143</v>
      </c>
      <c r="C33" s="188" t="s">
        <v>143</v>
      </c>
      <c r="D33" s="188" t="s">
        <v>143</v>
      </c>
      <c r="E33" s="188" t="s">
        <v>143</v>
      </c>
      <c r="F33" s="197" t="s">
        <v>143</v>
      </c>
      <c r="G33" s="195" t="s">
        <v>143</v>
      </c>
      <c r="H33" s="193" t="s">
        <v>143</v>
      </c>
      <c r="I33" s="191" t="s">
        <v>143</v>
      </c>
      <c r="J33" s="185" t="s">
        <v>274</v>
      </c>
    </row>
    <row r="34" spans="1:10" ht="19.5" x14ac:dyDescent="0.45">
      <c r="A34" s="185" t="s">
        <v>19</v>
      </c>
      <c r="B34" s="188">
        <v>4048</v>
      </c>
      <c r="C34" s="188" t="s">
        <v>143</v>
      </c>
      <c r="D34" s="188" t="s">
        <v>143</v>
      </c>
      <c r="E34" s="188" t="s">
        <v>143</v>
      </c>
      <c r="F34" s="197" t="s">
        <v>143</v>
      </c>
      <c r="G34" s="195" t="s">
        <v>143</v>
      </c>
      <c r="H34" s="193" t="s">
        <v>143</v>
      </c>
      <c r="I34" s="191" t="s">
        <v>143</v>
      </c>
      <c r="J34" s="185" t="s">
        <v>273</v>
      </c>
    </row>
    <row r="35" spans="1:10" ht="19.5" x14ac:dyDescent="0.45">
      <c r="A35" s="185" t="s">
        <v>17</v>
      </c>
      <c r="B35" s="188" t="s">
        <v>143</v>
      </c>
      <c r="C35" s="188" t="s">
        <v>143</v>
      </c>
      <c r="D35" s="188" t="s">
        <v>143</v>
      </c>
      <c r="E35" s="188" t="s">
        <v>143</v>
      </c>
      <c r="F35" s="197" t="s">
        <v>143</v>
      </c>
      <c r="G35" s="195" t="s">
        <v>143</v>
      </c>
      <c r="H35" s="193" t="s">
        <v>143</v>
      </c>
      <c r="I35" s="191" t="s">
        <v>143</v>
      </c>
      <c r="J35" s="185" t="s">
        <v>272</v>
      </c>
    </row>
    <row r="36" spans="1:10" ht="19.5" x14ac:dyDescent="0.45">
      <c r="A36" s="185" t="s">
        <v>15</v>
      </c>
      <c r="B36" s="188">
        <v>1645</v>
      </c>
      <c r="C36" s="188">
        <v>63</v>
      </c>
      <c r="D36" s="188" t="s">
        <v>143</v>
      </c>
      <c r="E36" s="188" t="s">
        <v>143</v>
      </c>
      <c r="F36" s="197" t="s">
        <v>143</v>
      </c>
      <c r="G36" s="195" t="s">
        <v>143</v>
      </c>
      <c r="H36" s="193" t="s">
        <v>143</v>
      </c>
      <c r="I36" s="200" t="s">
        <v>143</v>
      </c>
      <c r="J36" s="185" t="s">
        <v>271</v>
      </c>
    </row>
    <row r="37" spans="1:10" ht="19.5" x14ac:dyDescent="0.45">
      <c r="A37" s="185" t="s">
        <v>13</v>
      </c>
      <c r="B37" s="188" t="s">
        <v>143</v>
      </c>
      <c r="C37" s="188" t="s">
        <v>143</v>
      </c>
      <c r="D37" s="188" t="s">
        <v>143</v>
      </c>
      <c r="E37" s="188" t="s">
        <v>143</v>
      </c>
      <c r="F37" s="197" t="s">
        <v>143</v>
      </c>
      <c r="G37" s="195" t="s">
        <v>143</v>
      </c>
      <c r="H37" s="193" t="s">
        <v>143</v>
      </c>
      <c r="I37" s="191" t="s">
        <v>143</v>
      </c>
      <c r="J37" s="185" t="s">
        <v>270</v>
      </c>
    </row>
    <row r="38" spans="1:10" ht="19.5" x14ac:dyDescent="0.45">
      <c r="A38" s="185" t="s">
        <v>11</v>
      </c>
      <c r="B38" s="188" t="s">
        <v>143</v>
      </c>
      <c r="C38" s="188" t="s">
        <v>143</v>
      </c>
      <c r="D38" s="188" t="s">
        <v>143</v>
      </c>
      <c r="E38" s="188" t="s">
        <v>143</v>
      </c>
      <c r="F38" s="197" t="s">
        <v>143</v>
      </c>
      <c r="G38" s="195" t="s">
        <v>143</v>
      </c>
      <c r="H38" s="200" t="s">
        <v>143</v>
      </c>
      <c r="I38" s="200" t="s">
        <v>143</v>
      </c>
      <c r="J38" s="185" t="s">
        <v>269</v>
      </c>
    </row>
    <row r="39" spans="1:10" ht="19.5" x14ac:dyDescent="0.45">
      <c r="A39" s="185" t="s">
        <v>9</v>
      </c>
      <c r="B39" s="188" t="s">
        <v>143</v>
      </c>
      <c r="C39" s="188" t="s">
        <v>143</v>
      </c>
      <c r="D39" s="188" t="s">
        <v>143</v>
      </c>
      <c r="E39" s="188" t="s">
        <v>143</v>
      </c>
      <c r="F39" s="197" t="s">
        <v>143</v>
      </c>
      <c r="G39" s="195" t="s">
        <v>143</v>
      </c>
      <c r="H39" s="191" t="s">
        <v>143</v>
      </c>
      <c r="I39" s="191" t="s">
        <v>143</v>
      </c>
      <c r="J39" s="185" t="s">
        <v>268</v>
      </c>
    </row>
    <row r="40" spans="1:10" ht="19.5" x14ac:dyDescent="0.45">
      <c r="A40" s="185" t="s">
        <v>7</v>
      </c>
      <c r="B40" s="188" t="s">
        <v>143</v>
      </c>
      <c r="C40" s="188" t="s">
        <v>143</v>
      </c>
      <c r="D40" s="188" t="s">
        <v>143</v>
      </c>
      <c r="E40" s="188" t="s">
        <v>143</v>
      </c>
      <c r="F40" s="197" t="s">
        <v>143</v>
      </c>
      <c r="G40" s="195" t="s">
        <v>143</v>
      </c>
      <c r="H40" s="191" t="s">
        <v>143</v>
      </c>
      <c r="I40" s="191" t="s">
        <v>143</v>
      </c>
      <c r="J40" s="185" t="s">
        <v>267</v>
      </c>
    </row>
    <row r="41" spans="1:10" ht="19.5" x14ac:dyDescent="0.45">
      <c r="A41" s="186" t="s">
        <v>5</v>
      </c>
      <c r="B41" s="205">
        <v>235</v>
      </c>
      <c r="C41" s="205" t="s">
        <v>143</v>
      </c>
      <c r="D41" s="205" t="s">
        <v>143</v>
      </c>
      <c r="E41" s="205" t="s">
        <v>143</v>
      </c>
      <c r="F41" s="203" t="s">
        <v>143</v>
      </c>
      <c r="G41" s="204" t="s">
        <v>143</v>
      </c>
      <c r="H41" s="192" t="s">
        <v>143</v>
      </c>
      <c r="I41" s="192" t="s">
        <v>143</v>
      </c>
      <c r="J41" s="186" t="s">
        <v>266</v>
      </c>
    </row>
    <row r="42" spans="1:10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21.75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B43:D43"/>
    <mergeCell ref="F43:I43"/>
    <mergeCell ref="A4:A8"/>
    <mergeCell ref="J4:J8"/>
    <mergeCell ref="B4:C4"/>
    <mergeCell ref="D4:E4"/>
    <mergeCell ref="F4:G4"/>
    <mergeCell ref="H4:I4"/>
    <mergeCell ref="B5:C5"/>
    <mergeCell ref="D5:E5"/>
    <mergeCell ref="F5:G5"/>
    <mergeCell ref="H5:I5"/>
  </mergeCells>
  <pageMargins left="0.55118110236220474" right="0" top="0.39370078740157483" bottom="0.39370078740157483" header="0.51181102362204722" footer="0.51181102362204722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zoomScaleNormal="100" workbookViewId="0"/>
  </sheetViews>
  <sheetFormatPr defaultRowHeight="14.25" x14ac:dyDescent="0.2"/>
  <cols>
    <col min="1" max="1" width="20" customWidth="1"/>
    <col min="2" max="2" width="14.125" customWidth="1"/>
    <col min="3" max="3" width="11.5" bestFit="1" customWidth="1"/>
    <col min="4" max="4" width="12.25" customWidth="1"/>
    <col min="5" max="5" width="11.5" bestFit="1" customWidth="1"/>
    <col min="6" max="6" width="11.125" bestFit="1" customWidth="1"/>
    <col min="7" max="7" width="11.5" bestFit="1" customWidth="1"/>
    <col min="8" max="8" width="11.125" bestFit="1" customWidth="1"/>
    <col min="9" max="9" width="11.5" bestFit="1" customWidth="1"/>
    <col min="10" max="10" width="24.125" bestFit="1" customWidth="1"/>
    <col min="12" max="12" width="12.25" customWidth="1"/>
    <col min="13" max="18" width="9" customWidth="1"/>
    <col min="20" max="20" width="14" customWidth="1"/>
  </cols>
  <sheetData>
    <row r="1" spans="1:10" ht="21.75" x14ac:dyDescent="0.5">
      <c r="A1" s="28" t="s">
        <v>309</v>
      </c>
    </row>
    <row r="2" spans="1:10" ht="21.75" x14ac:dyDescent="0.5">
      <c r="A2" s="28" t="s">
        <v>308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22.5" customHeight="1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1.75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1.75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1.75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24" customHeight="1" x14ac:dyDescent="0.45">
      <c r="A9" s="184" t="s">
        <v>93</v>
      </c>
      <c r="B9" s="187">
        <v>8699</v>
      </c>
      <c r="C9" s="187">
        <v>478</v>
      </c>
      <c r="D9" s="187">
        <v>8699</v>
      </c>
      <c r="E9" s="187">
        <v>478</v>
      </c>
      <c r="F9" s="196">
        <v>4947.76</v>
      </c>
      <c r="G9" s="194">
        <v>98600</v>
      </c>
      <c r="H9" s="206">
        <v>568.77342223244057</v>
      </c>
      <c r="I9" s="207">
        <v>206.28</v>
      </c>
      <c r="J9" s="184" t="s">
        <v>92</v>
      </c>
    </row>
    <row r="10" spans="1:10" ht="21" customHeight="1" x14ac:dyDescent="0.45">
      <c r="A10" s="185" t="s">
        <v>91</v>
      </c>
      <c r="B10" s="188">
        <v>2942</v>
      </c>
      <c r="C10" s="188" t="s">
        <v>143</v>
      </c>
      <c r="D10" s="188">
        <v>2942</v>
      </c>
      <c r="E10" s="188" t="s">
        <v>143</v>
      </c>
      <c r="F10" s="197">
        <v>1245.5999999999999</v>
      </c>
      <c r="G10" s="195" t="s">
        <v>143</v>
      </c>
      <c r="H10" s="193">
        <v>423.38545207341946</v>
      </c>
      <c r="I10" s="200">
        <v>423.38545207341946</v>
      </c>
      <c r="J10" s="185" t="s">
        <v>297</v>
      </c>
    </row>
    <row r="11" spans="1:10" ht="19.5" x14ac:dyDescent="0.45">
      <c r="A11" s="185" t="s">
        <v>89</v>
      </c>
      <c r="B11" s="188">
        <v>90</v>
      </c>
      <c r="C11" s="188" t="s">
        <v>143</v>
      </c>
      <c r="D11" s="188">
        <v>90</v>
      </c>
      <c r="E11" s="188" t="s">
        <v>143</v>
      </c>
      <c r="F11" s="197">
        <v>45</v>
      </c>
      <c r="G11" s="195" t="s">
        <v>143</v>
      </c>
      <c r="H11" s="193">
        <v>500</v>
      </c>
      <c r="I11" s="200">
        <v>500</v>
      </c>
      <c r="J11" s="185" t="s">
        <v>296</v>
      </c>
    </row>
    <row r="12" spans="1:10" ht="19.5" x14ac:dyDescent="0.45">
      <c r="A12" s="185" t="s">
        <v>87</v>
      </c>
      <c r="B12" s="188" t="s">
        <v>143</v>
      </c>
      <c r="C12" s="188" t="s">
        <v>143</v>
      </c>
      <c r="D12" s="188" t="s">
        <v>143</v>
      </c>
      <c r="E12" s="188" t="s">
        <v>143</v>
      </c>
      <c r="F12" s="197" t="s">
        <v>143</v>
      </c>
      <c r="G12" s="195" t="s">
        <v>143</v>
      </c>
      <c r="H12" s="193" t="s">
        <v>143</v>
      </c>
      <c r="I12" s="191" t="s">
        <v>143</v>
      </c>
      <c r="J12" s="185" t="s">
        <v>295</v>
      </c>
    </row>
    <row r="13" spans="1:10" ht="19.5" x14ac:dyDescent="0.45">
      <c r="A13" s="185" t="s">
        <v>85</v>
      </c>
      <c r="B13" s="188" t="s">
        <v>143</v>
      </c>
      <c r="C13" s="188" t="s">
        <v>143</v>
      </c>
      <c r="D13" s="188" t="s">
        <v>143</v>
      </c>
      <c r="E13" s="188" t="s">
        <v>143</v>
      </c>
      <c r="F13" s="197" t="s">
        <v>143</v>
      </c>
      <c r="G13" s="195" t="s">
        <v>143</v>
      </c>
      <c r="H13" s="193" t="s">
        <v>143</v>
      </c>
      <c r="I13" s="191" t="s">
        <v>143</v>
      </c>
      <c r="J13" s="185" t="s">
        <v>294</v>
      </c>
    </row>
    <row r="14" spans="1:10" ht="19.5" x14ac:dyDescent="0.45">
      <c r="A14" s="185" t="s">
        <v>83</v>
      </c>
      <c r="B14" s="188" t="s">
        <v>143</v>
      </c>
      <c r="C14" s="188" t="s">
        <v>143</v>
      </c>
      <c r="D14" s="188" t="s">
        <v>143</v>
      </c>
      <c r="E14" s="188" t="s">
        <v>143</v>
      </c>
      <c r="F14" s="197" t="s">
        <v>143</v>
      </c>
      <c r="G14" s="195" t="s">
        <v>143</v>
      </c>
      <c r="H14" s="193" t="s">
        <v>143</v>
      </c>
      <c r="I14" s="191" t="s">
        <v>143</v>
      </c>
      <c r="J14" s="185" t="s">
        <v>293</v>
      </c>
    </row>
    <row r="15" spans="1:10" ht="19.5" x14ac:dyDescent="0.45">
      <c r="A15" s="185" t="s">
        <v>81</v>
      </c>
      <c r="B15" s="188" t="s">
        <v>143</v>
      </c>
      <c r="C15" s="188" t="s">
        <v>143</v>
      </c>
      <c r="D15" s="188" t="s">
        <v>143</v>
      </c>
      <c r="E15" s="188" t="s">
        <v>143</v>
      </c>
      <c r="F15" s="197" t="s">
        <v>143</v>
      </c>
      <c r="G15" s="195" t="s">
        <v>143</v>
      </c>
      <c r="H15" s="191" t="s">
        <v>143</v>
      </c>
      <c r="I15" s="191" t="s">
        <v>143</v>
      </c>
      <c r="J15" s="185" t="s">
        <v>292</v>
      </c>
    </row>
    <row r="16" spans="1:10" ht="19.5" x14ac:dyDescent="0.45">
      <c r="A16" s="185" t="s">
        <v>79</v>
      </c>
      <c r="B16" s="188" t="s">
        <v>143</v>
      </c>
      <c r="C16" s="188" t="s">
        <v>143</v>
      </c>
      <c r="D16" s="188" t="s">
        <v>143</v>
      </c>
      <c r="E16" s="188" t="s">
        <v>143</v>
      </c>
      <c r="F16" s="197" t="s">
        <v>143</v>
      </c>
      <c r="G16" s="195" t="s">
        <v>143</v>
      </c>
      <c r="H16" s="193" t="s">
        <v>143</v>
      </c>
      <c r="I16" s="191" t="s">
        <v>143</v>
      </c>
      <c r="J16" s="185" t="s">
        <v>291</v>
      </c>
    </row>
    <row r="17" spans="1:10" ht="19.5" x14ac:dyDescent="0.45">
      <c r="A17" s="185" t="s">
        <v>77</v>
      </c>
      <c r="B17" s="188" t="s">
        <v>143</v>
      </c>
      <c r="C17" s="188" t="s">
        <v>143</v>
      </c>
      <c r="D17" s="188" t="s">
        <v>143</v>
      </c>
      <c r="E17" s="188" t="s">
        <v>143</v>
      </c>
      <c r="F17" s="197" t="s">
        <v>143</v>
      </c>
      <c r="G17" s="195" t="s">
        <v>143</v>
      </c>
      <c r="H17" s="193" t="s">
        <v>143</v>
      </c>
      <c r="I17" s="191" t="s">
        <v>143</v>
      </c>
      <c r="J17" s="185" t="s">
        <v>290</v>
      </c>
    </row>
    <row r="18" spans="1:10" ht="19.5" x14ac:dyDescent="0.45">
      <c r="A18" s="185" t="s">
        <v>75</v>
      </c>
      <c r="B18" s="188" t="s">
        <v>143</v>
      </c>
      <c r="C18" s="188" t="s">
        <v>143</v>
      </c>
      <c r="D18" s="188" t="s">
        <v>143</v>
      </c>
      <c r="E18" s="188" t="s">
        <v>143</v>
      </c>
      <c r="F18" s="197" t="s">
        <v>143</v>
      </c>
      <c r="G18" s="195" t="s">
        <v>143</v>
      </c>
      <c r="H18" s="193" t="s">
        <v>143</v>
      </c>
      <c r="I18" s="191" t="s">
        <v>143</v>
      </c>
      <c r="J18" s="185" t="s">
        <v>289</v>
      </c>
    </row>
    <row r="19" spans="1:10" ht="19.5" x14ac:dyDescent="0.45">
      <c r="A19" s="185" t="s">
        <v>73</v>
      </c>
      <c r="B19" s="188">
        <v>215</v>
      </c>
      <c r="C19" s="188" t="s">
        <v>143</v>
      </c>
      <c r="D19" s="188">
        <v>215</v>
      </c>
      <c r="E19" s="188" t="s">
        <v>143</v>
      </c>
      <c r="F19" s="197">
        <v>114</v>
      </c>
      <c r="G19" s="195" t="s">
        <v>143</v>
      </c>
      <c r="H19" s="193">
        <v>530.23255813953483</v>
      </c>
      <c r="I19" s="191" t="s">
        <v>143</v>
      </c>
      <c r="J19" s="185" t="s">
        <v>288</v>
      </c>
    </row>
    <row r="20" spans="1:10" ht="19.5" x14ac:dyDescent="0.45">
      <c r="A20" s="185" t="s">
        <v>71</v>
      </c>
      <c r="B20" s="188" t="s">
        <v>143</v>
      </c>
      <c r="C20" s="188" t="s">
        <v>143</v>
      </c>
      <c r="D20" s="188" t="s">
        <v>143</v>
      </c>
      <c r="E20" s="188" t="s">
        <v>143</v>
      </c>
      <c r="F20" s="197" t="s">
        <v>143</v>
      </c>
      <c r="G20" s="195" t="s">
        <v>143</v>
      </c>
      <c r="H20" s="193" t="s">
        <v>143</v>
      </c>
      <c r="I20" s="191" t="s">
        <v>143</v>
      </c>
      <c r="J20" s="185" t="s">
        <v>287</v>
      </c>
    </row>
    <row r="21" spans="1:10" ht="19.5" x14ac:dyDescent="0.45">
      <c r="A21" s="185" t="s">
        <v>69</v>
      </c>
      <c r="B21" s="188" t="s">
        <v>143</v>
      </c>
      <c r="C21" s="188" t="s">
        <v>143</v>
      </c>
      <c r="D21" s="188" t="s">
        <v>143</v>
      </c>
      <c r="E21" s="188" t="s">
        <v>143</v>
      </c>
      <c r="F21" s="197" t="s">
        <v>143</v>
      </c>
      <c r="G21" s="195" t="s">
        <v>143</v>
      </c>
      <c r="H21" s="193" t="s">
        <v>143</v>
      </c>
      <c r="I21" s="191" t="s">
        <v>143</v>
      </c>
      <c r="J21" s="185" t="s">
        <v>286</v>
      </c>
    </row>
    <row r="22" spans="1:10" ht="19.5" x14ac:dyDescent="0.45">
      <c r="A22" s="185" t="s">
        <v>67</v>
      </c>
      <c r="B22" s="188">
        <v>83</v>
      </c>
      <c r="C22" s="188" t="s">
        <v>143</v>
      </c>
      <c r="D22" s="188">
        <v>83</v>
      </c>
      <c r="E22" s="188" t="s">
        <v>143</v>
      </c>
      <c r="F22" s="197">
        <v>41.5</v>
      </c>
      <c r="G22" s="195" t="s">
        <v>143</v>
      </c>
      <c r="H22" s="193">
        <v>500</v>
      </c>
      <c r="I22" s="200" t="s">
        <v>143</v>
      </c>
      <c r="J22" s="185" t="s">
        <v>285</v>
      </c>
    </row>
    <row r="23" spans="1:10" ht="19.5" x14ac:dyDescent="0.45">
      <c r="A23" s="185" t="s">
        <v>65</v>
      </c>
      <c r="B23" s="188" t="s">
        <v>143</v>
      </c>
      <c r="C23" s="188" t="s">
        <v>143</v>
      </c>
      <c r="D23" s="188" t="s">
        <v>143</v>
      </c>
      <c r="E23" s="188" t="s">
        <v>143</v>
      </c>
      <c r="F23" s="197" t="s">
        <v>143</v>
      </c>
      <c r="G23" s="195" t="s">
        <v>143</v>
      </c>
      <c r="H23" s="191" t="s">
        <v>143</v>
      </c>
      <c r="I23" s="191" t="s">
        <v>143</v>
      </c>
      <c r="J23" s="185" t="s">
        <v>284</v>
      </c>
    </row>
    <row r="24" spans="1:10" ht="19.5" x14ac:dyDescent="0.45">
      <c r="A24" s="185" t="s">
        <v>63</v>
      </c>
      <c r="B24" s="188">
        <v>719</v>
      </c>
      <c r="C24" s="188" t="s">
        <v>143</v>
      </c>
      <c r="D24" s="188">
        <v>719</v>
      </c>
      <c r="E24" s="188" t="s">
        <v>143</v>
      </c>
      <c r="F24" s="197">
        <v>431.4</v>
      </c>
      <c r="G24" s="195" t="s">
        <v>143</v>
      </c>
      <c r="H24" s="193">
        <v>600</v>
      </c>
      <c r="I24" s="191" t="s">
        <v>143</v>
      </c>
      <c r="J24" s="185" t="s">
        <v>283</v>
      </c>
    </row>
    <row r="25" spans="1:10" ht="19.5" x14ac:dyDescent="0.45">
      <c r="A25" s="185" t="s">
        <v>61</v>
      </c>
      <c r="B25" s="188" t="s">
        <v>143</v>
      </c>
      <c r="C25" s="188" t="s">
        <v>143</v>
      </c>
      <c r="D25" s="188" t="s">
        <v>143</v>
      </c>
      <c r="E25" s="188" t="s">
        <v>143</v>
      </c>
      <c r="F25" s="197" t="s">
        <v>143</v>
      </c>
      <c r="G25" s="195" t="s">
        <v>143</v>
      </c>
      <c r="H25" s="193" t="s">
        <v>143</v>
      </c>
      <c r="I25" s="191" t="s">
        <v>143</v>
      </c>
      <c r="J25" s="185" t="s">
        <v>282</v>
      </c>
    </row>
    <row r="26" spans="1:10" ht="19.5" x14ac:dyDescent="0.45">
      <c r="A26" s="185" t="s">
        <v>59</v>
      </c>
      <c r="B26" s="188">
        <v>70</v>
      </c>
      <c r="C26" s="188" t="s">
        <v>143</v>
      </c>
      <c r="D26" s="188">
        <v>70</v>
      </c>
      <c r="E26" s="188" t="s">
        <v>143</v>
      </c>
      <c r="F26" s="197">
        <v>50.7</v>
      </c>
      <c r="G26" s="195" t="s">
        <v>143</v>
      </c>
      <c r="H26" s="193">
        <v>724.28571428571433</v>
      </c>
      <c r="I26" s="200" t="s">
        <v>143</v>
      </c>
      <c r="J26" s="185" t="s">
        <v>281</v>
      </c>
    </row>
    <row r="27" spans="1:10" ht="19.5" x14ac:dyDescent="0.45">
      <c r="A27" s="185" t="s">
        <v>57</v>
      </c>
      <c r="B27" s="188">
        <v>712</v>
      </c>
      <c r="C27" s="188" t="s">
        <v>143</v>
      </c>
      <c r="D27" s="188">
        <v>712</v>
      </c>
      <c r="E27" s="188" t="s">
        <v>143</v>
      </c>
      <c r="F27" s="197">
        <v>356</v>
      </c>
      <c r="G27" s="195" t="s">
        <v>143</v>
      </c>
      <c r="H27" s="193">
        <v>500</v>
      </c>
      <c r="I27" s="191" t="s">
        <v>143</v>
      </c>
      <c r="J27" s="185" t="s">
        <v>280</v>
      </c>
    </row>
    <row r="28" spans="1:10" ht="19.5" x14ac:dyDescent="0.45">
      <c r="A28" s="185" t="s">
        <v>55</v>
      </c>
      <c r="B28" s="188">
        <v>150</v>
      </c>
      <c r="C28" s="188" t="s">
        <v>143</v>
      </c>
      <c r="D28" s="188">
        <v>150</v>
      </c>
      <c r="E28" s="188" t="s">
        <v>143</v>
      </c>
      <c r="F28" s="197">
        <v>120</v>
      </c>
      <c r="G28" s="195" t="s">
        <v>143</v>
      </c>
      <c r="H28" s="193">
        <v>800</v>
      </c>
      <c r="I28" s="191" t="s">
        <v>143</v>
      </c>
      <c r="J28" s="185" t="s">
        <v>279</v>
      </c>
    </row>
    <row r="29" spans="1:10" ht="19.5" x14ac:dyDescent="0.45">
      <c r="A29" s="185" t="s">
        <v>29</v>
      </c>
      <c r="B29" s="188">
        <v>3414</v>
      </c>
      <c r="C29" s="188" t="s">
        <v>143</v>
      </c>
      <c r="D29" s="188">
        <v>3414</v>
      </c>
      <c r="E29" s="188" t="s">
        <v>143</v>
      </c>
      <c r="F29" s="197">
        <v>2392.36</v>
      </c>
      <c r="G29" s="195" t="s">
        <v>143</v>
      </c>
      <c r="H29" s="193">
        <v>700.74985354422961</v>
      </c>
      <c r="I29" s="200" t="s">
        <v>143</v>
      </c>
      <c r="J29" s="185" t="s">
        <v>278</v>
      </c>
    </row>
    <row r="30" spans="1:10" ht="19.5" x14ac:dyDescent="0.45">
      <c r="A30" s="185" t="s">
        <v>27</v>
      </c>
      <c r="B30" s="188" t="s">
        <v>143</v>
      </c>
      <c r="C30" s="188" t="s">
        <v>143</v>
      </c>
      <c r="D30" s="188" t="s">
        <v>143</v>
      </c>
      <c r="E30" s="188" t="s">
        <v>143</v>
      </c>
      <c r="F30" s="197" t="s">
        <v>143</v>
      </c>
      <c r="G30" s="195" t="s">
        <v>143</v>
      </c>
      <c r="H30" s="193" t="s">
        <v>143</v>
      </c>
      <c r="I30" s="191" t="s">
        <v>143</v>
      </c>
      <c r="J30" s="185" t="s">
        <v>277</v>
      </c>
    </row>
    <row r="31" spans="1:10" ht="19.5" x14ac:dyDescent="0.45">
      <c r="A31" s="185" t="s">
        <v>25</v>
      </c>
      <c r="B31" s="188" t="s">
        <v>143</v>
      </c>
      <c r="C31" s="188" t="s">
        <v>143</v>
      </c>
      <c r="D31" s="188" t="s">
        <v>143</v>
      </c>
      <c r="E31" s="188" t="s">
        <v>143</v>
      </c>
      <c r="F31" s="197" t="s">
        <v>143</v>
      </c>
      <c r="G31" s="195" t="s">
        <v>143</v>
      </c>
      <c r="H31" s="193" t="s">
        <v>143</v>
      </c>
      <c r="I31" s="191" t="s">
        <v>143</v>
      </c>
      <c r="J31" s="185" t="s">
        <v>276</v>
      </c>
    </row>
    <row r="32" spans="1:10" ht="19.5" x14ac:dyDescent="0.45">
      <c r="A32" s="185" t="s">
        <v>23</v>
      </c>
      <c r="B32" s="188" t="s">
        <v>143</v>
      </c>
      <c r="C32" s="188" t="s">
        <v>143</v>
      </c>
      <c r="D32" s="188" t="s">
        <v>143</v>
      </c>
      <c r="E32" s="188" t="s">
        <v>143</v>
      </c>
      <c r="F32" s="197" t="s">
        <v>143</v>
      </c>
      <c r="G32" s="195" t="s">
        <v>143</v>
      </c>
      <c r="H32" s="193" t="s">
        <v>143</v>
      </c>
      <c r="I32" s="200" t="s">
        <v>143</v>
      </c>
      <c r="J32" s="185" t="s">
        <v>275</v>
      </c>
    </row>
    <row r="33" spans="1:10" ht="19.5" x14ac:dyDescent="0.45">
      <c r="A33" s="185" t="s">
        <v>21</v>
      </c>
      <c r="B33" s="188" t="s">
        <v>143</v>
      </c>
      <c r="C33" s="188" t="s">
        <v>143</v>
      </c>
      <c r="D33" s="188" t="s">
        <v>143</v>
      </c>
      <c r="E33" s="188" t="s">
        <v>143</v>
      </c>
      <c r="F33" s="197" t="s">
        <v>143</v>
      </c>
      <c r="G33" s="195" t="s">
        <v>143</v>
      </c>
      <c r="H33" s="193" t="s">
        <v>143</v>
      </c>
      <c r="I33" s="191" t="s">
        <v>143</v>
      </c>
      <c r="J33" s="185" t="s">
        <v>274</v>
      </c>
    </row>
    <row r="34" spans="1:10" ht="19.5" x14ac:dyDescent="0.45">
      <c r="A34" s="185" t="s">
        <v>19</v>
      </c>
      <c r="B34" s="188" t="s">
        <v>143</v>
      </c>
      <c r="C34" s="188" t="s">
        <v>143</v>
      </c>
      <c r="D34" s="188" t="s">
        <v>143</v>
      </c>
      <c r="E34" s="188" t="s">
        <v>143</v>
      </c>
      <c r="F34" s="197" t="s">
        <v>143</v>
      </c>
      <c r="G34" s="195" t="s">
        <v>143</v>
      </c>
      <c r="H34" s="193" t="s">
        <v>143</v>
      </c>
      <c r="I34" s="191" t="s">
        <v>143</v>
      </c>
      <c r="J34" s="185" t="s">
        <v>273</v>
      </c>
    </row>
    <row r="35" spans="1:10" ht="19.5" x14ac:dyDescent="0.45">
      <c r="A35" s="185" t="s">
        <v>17</v>
      </c>
      <c r="B35" s="188" t="s">
        <v>143</v>
      </c>
      <c r="C35" s="188" t="s">
        <v>143</v>
      </c>
      <c r="D35" s="188" t="s">
        <v>143</v>
      </c>
      <c r="E35" s="188" t="s">
        <v>143</v>
      </c>
      <c r="F35" s="197" t="s">
        <v>143</v>
      </c>
      <c r="G35" s="195" t="s">
        <v>143</v>
      </c>
      <c r="H35" s="193" t="s">
        <v>143</v>
      </c>
      <c r="I35" s="191" t="s">
        <v>143</v>
      </c>
      <c r="J35" s="185" t="s">
        <v>272</v>
      </c>
    </row>
    <row r="36" spans="1:10" ht="19.5" x14ac:dyDescent="0.45">
      <c r="A36" s="185" t="s">
        <v>15</v>
      </c>
      <c r="B36" s="188" t="s">
        <v>143</v>
      </c>
      <c r="C36" s="188">
        <v>448</v>
      </c>
      <c r="D36" s="188" t="s">
        <v>143</v>
      </c>
      <c r="E36" s="188">
        <v>448</v>
      </c>
      <c r="F36" s="197" t="s">
        <v>143</v>
      </c>
      <c r="G36" s="195">
        <v>89600</v>
      </c>
      <c r="H36" s="193" t="s">
        <v>143</v>
      </c>
      <c r="I36" s="200">
        <v>200</v>
      </c>
      <c r="J36" s="185" t="s">
        <v>271</v>
      </c>
    </row>
    <row r="37" spans="1:10" ht="19.5" x14ac:dyDescent="0.45">
      <c r="A37" s="185" t="s">
        <v>13</v>
      </c>
      <c r="B37" s="188" t="s">
        <v>143</v>
      </c>
      <c r="C37" s="188" t="s">
        <v>143</v>
      </c>
      <c r="D37" s="188" t="s">
        <v>143</v>
      </c>
      <c r="E37" s="188" t="s">
        <v>143</v>
      </c>
      <c r="F37" s="197" t="s">
        <v>143</v>
      </c>
      <c r="G37" s="195" t="s">
        <v>143</v>
      </c>
      <c r="H37" s="193" t="s">
        <v>143</v>
      </c>
      <c r="I37" s="191" t="s">
        <v>143</v>
      </c>
      <c r="J37" s="185" t="s">
        <v>270</v>
      </c>
    </row>
    <row r="38" spans="1:10" ht="19.5" x14ac:dyDescent="0.45">
      <c r="A38" s="185" t="s">
        <v>11</v>
      </c>
      <c r="B38" s="188">
        <v>54</v>
      </c>
      <c r="C38" s="188">
        <v>30</v>
      </c>
      <c r="D38" s="188">
        <v>54</v>
      </c>
      <c r="E38" s="188">
        <v>30</v>
      </c>
      <c r="F38" s="197">
        <v>21.6</v>
      </c>
      <c r="G38" s="195">
        <v>9000</v>
      </c>
      <c r="H38" s="200">
        <v>400</v>
      </c>
      <c r="I38" s="200">
        <v>300</v>
      </c>
      <c r="J38" s="185" t="s">
        <v>269</v>
      </c>
    </row>
    <row r="39" spans="1:10" ht="19.5" x14ac:dyDescent="0.45">
      <c r="A39" s="185" t="s">
        <v>9</v>
      </c>
      <c r="B39" s="188" t="s">
        <v>143</v>
      </c>
      <c r="C39" s="188" t="s">
        <v>143</v>
      </c>
      <c r="D39" s="188" t="s">
        <v>143</v>
      </c>
      <c r="E39" s="188" t="s">
        <v>143</v>
      </c>
      <c r="F39" s="197" t="s">
        <v>143</v>
      </c>
      <c r="G39" s="195" t="s">
        <v>143</v>
      </c>
      <c r="H39" s="191" t="s">
        <v>143</v>
      </c>
      <c r="I39" s="191" t="s">
        <v>143</v>
      </c>
      <c r="J39" s="185" t="s">
        <v>268</v>
      </c>
    </row>
    <row r="40" spans="1:10" ht="19.5" x14ac:dyDescent="0.45">
      <c r="A40" s="185" t="s">
        <v>7</v>
      </c>
      <c r="B40" s="188" t="s">
        <v>143</v>
      </c>
      <c r="C40" s="188" t="s">
        <v>143</v>
      </c>
      <c r="D40" s="188" t="s">
        <v>143</v>
      </c>
      <c r="E40" s="188" t="s">
        <v>143</v>
      </c>
      <c r="F40" s="197" t="s">
        <v>143</v>
      </c>
      <c r="G40" s="195" t="s">
        <v>143</v>
      </c>
      <c r="H40" s="191" t="s">
        <v>143</v>
      </c>
      <c r="I40" s="191" t="s">
        <v>143</v>
      </c>
      <c r="J40" s="185" t="s">
        <v>267</v>
      </c>
    </row>
    <row r="41" spans="1:10" ht="19.5" x14ac:dyDescent="0.45">
      <c r="A41" s="186" t="s">
        <v>5</v>
      </c>
      <c r="B41" s="205">
        <v>250</v>
      </c>
      <c r="C41" s="205" t="s">
        <v>143</v>
      </c>
      <c r="D41" s="205">
        <v>250</v>
      </c>
      <c r="E41" s="205" t="s">
        <v>143</v>
      </c>
      <c r="F41" s="203">
        <v>129.6</v>
      </c>
      <c r="G41" s="204" t="s">
        <v>143</v>
      </c>
      <c r="H41" s="192">
        <v>518.4</v>
      </c>
      <c r="I41" s="192" t="s">
        <v>143</v>
      </c>
      <c r="J41" s="186" t="s">
        <v>266</v>
      </c>
    </row>
    <row r="42" spans="1:10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21.75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B43:D43"/>
    <mergeCell ref="F43:I43"/>
    <mergeCell ref="H5:I5"/>
    <mergeCell ref="A4:A8"/>
    <mergeCell ref="J4:J8"/>
    <mergeCell ref="B4:C4"/>
    <mergeCell ref="D4:E4"/>
    <mergeCell ref="F4:G4"/>
    <mergeCell ref="H4:I4"/>
    <mergeCell ref="B5:C5"/>
    <mergeCell ref="D5:E5"/>
    <mergeCell ref="F5:G5"/>
  </mergeCells>
  <pageMargins left="0.55118110236220474" right="0" top="0.59055118110236227" bottom="0.39370078740157483" header="0.51181102362204722" footer="0.51181102362204722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22</vt:i4>
      </vt:variant>
      <vt:variant>
        <vt:lpstr>ช่วงที่มีชื่อ</vt:lpstr>
      </vt:variant>
      <vt:variant>
        <vt:i4>7</vt:i4>
      </vt:variant>
    </vt:vector>
  </HeadingPairs>
  <TitlesOfParts>
    <vt:vector size="29" baseType="lpstr">
      <vt:lpstr>T-1 2565 </vt:lpstr>
      <vt:lpstr>T-2 2565</vt:lpstr>
      <vt:lpstr>nkrat_O-src-10_2564_000_0000010</vt:lpstr>
      <vt:lpstr>T-3ข้าวนาปี 2563</vt:lpstr>
      <vt:lpstr>T-3ข้าวนาปี 2562</vt:lpstr>
      <vt:lpstr>T-3ข้าวนาปี 2564</vt:lpstr>
      <vt:lpstr>T-4 2564</vt:lpstr>
      <vt:lpstr>T-4 2563</vt:lpstr>
      <vt:lpstr>T-4 2562</vt:lpstr>
      <vt:lpstr>T-  6 2564  </vt:lpstr>
      <vt:lpstr>T-  6 2563</vt:lpstr>
      <vt:lpstr>T-  6 2562</vt:lpstr>
      <vt:lpstr>T-7 2564</vt:lpstr>
      <vt:lpstr>T-7 2563</vt:lpstr>
      <vt:lpstr>T-7 2562</vt:lpstr>
      <vt:lpstr>T - 8 2564</vt:lpstr>
      <vt:lpstr>T - 8 2563</vt:lpstr>
      <vt:lpstr>T- 8 2562</vt:lpstr>
      <vt:lpstr>T-9  2564</vt:lpstr>
      <vt:lpstr>T-11. 9 2563 </vt:lpstr>
      <vt:lpstr>T-11. 10 2561 </vt:lpstr>
      <vt:lpstr>T-11. 11 2561 </vt:lpstr>
      <vt:lpstr>'T-11. 11 2561 '!Print_Titles</vt:lpstr>
      <vt:lpstr>'T-3ข้าวนาปี 2562'!Print_Titles</vt:lpstr>
      <vt:lpstr>'T-3ข้าวนาปี 2563'!Print_Titles</vt:lpstr>
      <vt:lpstr>'T-3ข้าวนาปี 2564'!Print_Titles</vt:lpstr>
      <vt:lpstr>'T-4 2562'!Print_Titles</vt:lpstr>
      <vt:lpstr>'T-4 2563'!Print_Titles</vt:lpstr>
      <vt:lpstr>'T-4 2564'!Print_Titles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cp:lastPrinted>2022-11-16T05:50:19Z</cp:lastPrinted>
  <dcterms:created xsi:type="dcterms:W3CDTF">2022-11-14T05:38:46Z</dcterms:created>
  <dcterms:modified xsi:type="dcterms:W3CDTF">2022-11-16T05:54:20Z</dcterms:modified>
</cp:coreProperties>
</file>