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11\"/>
    </mc:Choice>
  </mc:AlternateContent>
  <bookViews>
    <workbookView xWindow="120" yWindow="75" windowWidth="19095" windowHeight="11760"/>
  </bookViews>
  <sheets>
    <sheet name="T11" sheetId="1" r:id="rId1"/>
    <sheet name="Sheet1" sheetId="2" r:id="rId2"/>
  </sheets>
  <definedNames>
    <definedName name="_xlnm.Print_Area" localSheetId="0">'T11'!$A$1:$U$24</definedName>
  </definedNames>
  <calcPr calcId="162913"/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K18" i="1"/>
  <c r="J18" i="1"/>
  <c r="I18" i="1"/>
  <c r="H18" i="1"/>
  <c r="Q17" i="1"/>
  <c r="O17" i="1"/>
  <c r="N17" i="1"/>
  <c r="M17" i="1"/>
  <c r="L17" i="1"/>
  <c r="K17" i="1"/>
  <c r="J17" i="1"/>
  <c r="I17" i="1"/>
  <c r="H17" i="1"/>
  <c r="G17" i="1"/>
  <c r="Q16" i="1"/>
  <c r="P16" i="1"/>
  <c r="O16" i="1"/>
  <c r="K16" i="1"/>
  <c r="J16" i="1"/>
  <c r="I16" i="1"/>
  <c r="H16" i="1"/>
  <c r="G16" i="1"/>
  <c r="Q15" i="1"/>
  <c r="P15" i="1"/>
  <c r="O15" i="1"/>
  <c r="M15" i="1"/>
  <c r="L15" i="1"/>
  <c r="M16" i="1"/>
  <c r="L16" i="1"/>
  <c r="K15" i="1"/>
  <c r="J15" i="1"/>
  <c r="I15" i="1"/>
  <c r="H15" i="1"/>
  <c r="G15" i="1"/>
  <c r="Q14" i="1"/>
  <c r="P14" i="1"/>
  <c r="O14" i="1"/>
  <c r="M14" i="1"/>
  <c r="L14" i="1"/>
  <c r="K14" i="1"/>
  <c r="J14" i="1"/>
  <c r="I14" i="1"/>
  <c r="H14" i="1"/>
  <c r="G14" i="1"/>
  <c r="Q13" i="1"/>
  <c r="P13" i="1"/>
  <c r="O13" i="1"/>
  <c r="N13" i="1"/>
  <c r="M13" i="1"/>
  <c r="L13" i="1"/>
  <c r="K13" i="1"/>
  <c r="J13" i="1"/>
  <c r="I13" i="1"/>
  <c r="H13" i="1"/>
  <c r="G13" i="1"/>
  <c r="Q12" i="1"/>
  <c r="P12" i="1"/>
  <c r="O12" i="1"/>
  <c r="N12" i="1"/>
  <c r="M12" i="1"/>
  <c r="K12" i="1"/>
  <c r="J12" i="1"/>
  <c r="I12" i="1"/>
  <c r="H12" i="1"/>
  <c r="G12" i="1"/>
  <c r="Q11" i="1"/>
  <c r="P11" i="1"/>
  <c r="O11" i="1"/>
  <c r="N11" i="1"/>
  <c r="M11" i="1"/>
  <c r="L11" i="1"/>
  <c r="K11" i="1"/>
  <c r="J11" i="1"/>
  <c r="H11" i="1"/>
  <c r="G11" i="1"/>
  <c r="Q10" i="1"/>
  <c r="P10" i="1"/>
  <c r="O10" i="1"/>
  <c r="N10" i="1"/>
  <c r="M10" i="1"/>
  <c r="L10" i="1"/>
  <c r="K10" i="1"/>
  <c r="J10" i="1"/>
  <c r="I10" i="1"/>
  <c r="H10" i="1"/>
  <c r="G10" i="1"/>
  <c r="F18" i="1" l="1"/>
  <c r="K9" i="1"/>
  <c r="F17" i="1"/>
  <c r="Q9" i="1"/>
  <c r="F16" i="1"/>
  <c r="L9" i="1"/>
  <c r="F15" i="1"/>
  <c r="F14" i="1"/>
  <c r="O9" i="1"/>
  <c r="M9" i="1"/>
  <c r="I9" i="1"/>
  <c r="F13" i="1"/>
  <c r="H9" i="1"/>
  <c r="P9" i="1"/>
  <c r="F12" i="1"/>
  <c r="N9" i="1"/>
  <c r="F11" i="1"/>
  <c r="J9" i="1"/>
  <c r="F10" i="1"/>
  <c r="G9" i="1"/>
  <c r="F9" i="1" l="1"/>
</calcChain>
</file>

<file path=xl/sharedStrings.xml><?xml version="1.0" encoding="utf-8"?>
<sst xmlns="http://schemas.openxmlformats.org/spreadsheetml/2006/main" count="76" uniqueCount="66">
  <si>
    <t>Source:  Phitsanulok Provincial Fishery Office</t>
  </si>
  <si>
    <t xml:space="preserve">    ที่มา:   สำนักงานประมงจังหวัดพิษณุโลก</t>
  </si>
  <si>
    <t xml:space="preserve">   Noen Maprang</t>
  </si>
  <si>
    <t>เนินมะปราง</t>
  </si>
  <si>
    <t xml:space="preserve">   Wang Thong</t>
  </si>
  <si>
    <t>วังทอง</t>
  </si>
  <si>
    <t xml:space="preserve">   Wat Bot</t>
  </si>
  <si>
    <t>วัดโบสถ์</t>
  </si>
  <si>
    <t xml:space="preserve">   Phrom Phiram</t>
  </si>
  <si>
    <t>พรหมพิราม</t>
  </si>
  <si>
    <t xml:space="preserve">   Bang Krathum</t>
  </si>
  <si>
    <t>บางกระทุ่ม</t>
  </si>
  <si>
    <t xml:space="preserve">   Bang Rakam</t>
  </si>
  <si>
    <t>บางระกำ</t>
  </si>
  <si>
    <t xml:space="preserve">   Chat Trakan</t>
  </si>
  <si>
    <t>ชาติตระการ</t>
  </si>
  <si>
    <t xml:space="preserve">   Nakhon Thai</t>
  </si>
  <si>
    <t>นครไทย</t>
  </si>
  <si>
    <t xml:space="preserve">   Mueang Phitsanulok</t>
  </si>
  <si>
    <t>เมืองพิษณุโลก</t>
  </si>
  <si>
    <t>Total</t>
  </si>
  <si>
    <t>รวมยอด</t>
  </si>
  <si>
    <t>Others</t>
  </si>
  <si>
    <t>perch</t>
  </si>
  <si>
    <t xml:space="preserve">catfish </t>
  </si>
  <si>
    <t>fish</t>
  </si>
  <si>
    <t>barb</t>
  </si>
  <si>
    <t>Nile</t>
  </si>
  <si>
    <t xml:space="preserve">climbing </t>
  </si>
  <si>
    <t>Walking</t>
  </si>
  <si>
    <t>snakes-head</t>
  </si>
  <si>
    <t>silver</t>
  </si>
  <si>
    <t>ปลานิล</t>
  </si>
  <si>
    <t>Common</t>
  </si>
  <si>
    <t>ปลาดุก</t>
  </si>
  <si>
    <t>Striped</t>
  </si>
  <si>
    <t>รวม</t>
  </si>
  <si>
    <t>District</t>
  </si>
  <si>
    <t>ปลาหมอ</t>
  </si>
  <si>
    <t>ปลาช่อน</t>
  </si>
  <si>
    <t>ปลาตะเพียน</t>
  </si>
  <si>
    <t>อำเภอ</t>
  </si>
  <si>
    <t>11.11</t>
  </si>
  <si>
    <t>Table</t>
  </si>
  <si>
    <t>ตาราง</t>
  </si>
  <si>
    <t>สัตว์น้ำจืดที่จับได้ จำแนกตามชนิดสัตว์น้ำจืด เป็นรายอำเภอ พ.ศ. 2559</t>
  </si>
  <si>
    <t>Catch of Freshwater by Species and District: 2016</t>
  </si>
  <si>
    <t xml:space="preserve"> tilapia</t>
  </si>
  <si>
    <t>(ตัน Ton)</t>
  </si>
  <si>
    <t>-</t>
  </si>
  <si>
    <t xml:space="preserve"> </t>
  </si>
  <si>
    <t>ปลาสร้อย</t>
  </si>
  <si>
    <t>Henicorhy</t>
  </si>
  <si>
    <t>nchus</t>
  </si>
  <si>
    <t>siamensis</t>
  </si>
  <si>
    <t>ปลาแขยง</t>
  </si>
  <si>
    <t>ปลาสวาย</t>
  </si>
  <si>
    <t>ปลากระดี่</t>
  </si>
  <si>
    <t>ปลากดเหลือง</t>
  </si>
  <si>
    <t>อื่น ๆ</t>
  </si>
  <si>
    <t xml:space="preserve">Twospot </t>
  </si>
  <si>
    <t>catfish</t>
  </si>
  <si>
    <t>Iridescent</t>
  </si>
  <si>
    <t>shark</t>
  </si>
  <si>
    <t>Gouramis</t>
  </si>
  <si>
    <t>Hemibagrus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</si>
</sst>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_ ;\-#,##0\ "/>
    <numFmt numFmtId="190" formatCode="#,##0.0"/>
  </numFmts>
  <fonts count="7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rgb="FF22222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/>
    <xf numFmtId="0" fontId="3" fillId="0" borderId="0" xfId="0" applyFont="1" applyBorder="1"/>
    <xf numFmtId="187" fontId="3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3" fillId="0" borderId="0" xfId="0" applyNumberFormat="1" applyFont="1" applyFill="1" applyBorder="1" applyAlignment="1">
      <alignment horizontal="right"/>
    </xf>
    <xf numFmtId="187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/>
    <xf numFmtId="0" fontId="3" fillId="0" borderId="0" xfId="0" applyFont="1" applyFill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43" fontId="3" fillId="0" borderId="2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3" fillId="0" borderId="5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2" fontId="6" fillId="0" borderId="0" xfId="0" applyNumberFormat="1" applyFont="1" applyAlignment="1">
      <alignment horizontal="center"/>
    </xf>
    <xf numFmtId="0" fontId="6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3" fontId="3" fillId="0" borderId="9" xfId="1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3" fillId="0" borderId="6" xfId="1" applyFont="1" applyFill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11" xfId="1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90" fontId="3" fillId="0" borderId="5" xfId="0" applyNumberFormat="1" applyFont="1" applyBorder="1" applyAlignment="1"/>
    <xf numFmtId="190" fontId="3" fillId="0" borderId="5" xfId="0" quotePrefix="1" applyNumberFormat="1" applyFont="1" applyBorder="1" applyAlignment="1">
      <alignment horizontal="right"/>
    </xf>
    <xf numFmtId="190" fontId="4" fillId="0" borderId="7" xfId="0" applyNumberFormat="1" applyFont="1" applyBorder="1" applyAlignment="1">
      <alignment horizontal="right"/>
    </xf>
    <xf numFmtId="190" fontId="3" fillId="0" borderId="7" xfId="0" applyNumberFormat="1" applyFont="1" applyBorder="1" applyAlignment="1">
      <alignment horizontal="right"/>
    </xf>
    <xf numFmtId="190" fontId="3" fillId="0" borderId="7" xfId="0" quotePrefix="1" applyNumberFormat="1" applyFont="1" applyBorder="1" applyAlignment="1">
      <alignment horizontal="right"/>
    </xf>
  </cellXfs>
  <cellStyles count="17">
    <cellStyle name="Normal 2" xfId="2"/>
    <cellStyle name="เครื่องหมายจุลภาค 2" xfId="3"/>
    <cellStyle name="เครื่องหมายจุลภาค 2 10" xfId="4"/>
    <cellStyle name="เครื่องหมายจุลภาค 2 11" xfId="5"/>
    <cellStyle name="เครื่องหมายจุลภาค 2 12" xfId="6"/>
    <cellStyle name="เครื่องหมายจุลภาค 2 13" xfId="7"/>
    <cellStyle name="เครื่องหมายจุลภาค 2 14" xfId="8"/>
    <cellStyle name="เครื่องหมายจุลภาค 2 2" xfId="9"/>
    <cellStyle name="เครื่องหมายจุลภาค 2 3" xfId="10"/>
    <cellStyle name="เครื่องหมายจุลภาค 2 4" xfId="11"/>
    <cellStyle name="เครื่องหมายจุลภาค 2 5" xfId="12"/>
    <cellStyle name="เครื่องหมายจุลภาค 2 6" xfId="13"/>
    <cellStyle name="เครื่องหมายจุลภาค 2 7" xfId="14"/>
    <cellStyle name="เครื่องหมายจุลภาค 2 8" xfId="15"/>
    <cellStyle name="เครื่องหมายจุลภาค 2 9" xfId="16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55326</xdr:colOff>
      <xdr:row>0</xdr:row>
      <xdr:rowOff>9525</xdr:rowOff>
    </xdr:from>
    <xdr:to>
      <xdr:col>20</xdr:col>
      <xdr:colOff>379176</xdr:colOff>
      <xdr:row>23</xdr:row>
      <xdr:rowOff>0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10428051" y="9525"/>
          <a:ext cx="476250" cy="6886575"/>
          <a:chOff x="995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tabSelected="1" view="pageBreakPreview" topLeftCell="A2" zoomScaleSheetLayoutView="100" workbookViewId="0">
      <selection activeCell="F9" sqref="F9"/>
    </sheetView>
  </sheetViews>
  <sheetFormatPr defaultRowHeight="18.75" x14ac:dyDescent="0.3"/>
  <cols>
    <col min="1" max="1" width="1.85546875" style="2" customWidth="1"/>
    <col min="2" max="2" width="6.5703125" style="2" customWidth="1"/>
    <col min="3" max="3" width="4.42578125" style="2" customWidth="1"/>
    <col min="4" max="4" width="1.5703125" style="2" customWidth="1"/>
    <col min="5" max="5" width="2.140625" style="2" customWidth="1"/>
    <col min="6" max="6" width="11" style="2" customWidth="1"/>
    <col min="7" max="7" width="11.140625" style="2" customWidth="1"/>
    <col min="8" max="9" width="11" style="2" customWidth="1"/>
    <col min="10" max="10" width="10.140625" style="2" bestFit="1" customWidth="1"/>
    <col min="11" max="11" width="9.28515625" style="2" customWidth="1"/>
    <col min="12" max="12" width="10.28515625" style="2" bestFit="1" customWidth="1"/>
    <col min="13" max="14" width="10.140625" style="2" bestFit="1" customWidth="1"/>
    <col min="15" max="15" width="10.5703125" style="2" customWidth="1"/>
    <col min="16" max="16" width="9.28515625" style="2" customWidth="1"/>
    <col min="17" max="17" width="7.85546875" style="2" bestFit="1" customWidth="1"/>
    <col min="18" max="18" width="11" style="1" customWidth="1"/>
    <col min="19" max="19" width="6.140625" style="1" customWidth="1"/>
    <col min="20" max="20" width="2.28515625" style="1" customWidth="1"/>
    <col min="21" max="21" width="5.85546875" style="1" customWidth="1"/>
    <col min="22" max="16384" width="9.140625" style="1"/>
  </cols>
  <sheetData>
    <row r="1" spans="1:19" s="43" customFormat="1" x14ac:dyDescent="0.3">
      <c r="A1" s="41"/>
      <c r="B1" s="41" t="s">
        <v>44</v>
      </c>
      <c r="C1" s="42" t="s">
        <v>42</v>
      </c>
      <c r="D1" s="41" t="s">
        <v>45</v>
      </c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s="38" customFormat="1" x14ac:dyDescent="0.3">
      <c r="A2" s="39"/>
      <c r="B2" s="41" t="s">
        <v>43</v>
      </c>
      <c r="C2" s="42" t="s">
        <v>42</v>
      </c>
      <c r="D2" s="41" t="s">
        <v>46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9" s="38" customFormat="1" x14ac:dyDescent="0.3">
      <c r="A3" s="39"/>
      <c r="B3" s="39"/>
      <c r="C3" s="40"/>
      <c r="D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7" t="s">
        <v>48</v>
      </c>
      <c r="S3" s="57"/>
    </row>
    <row r="4" spans="1:19" s="11" customFormat="1" ht="25.5" customHeight="1" x14ac:dyDescent="0.5">
      <c r="A4" s="49" t="s">
        <v>41</v>
      </c>
      <c r="B4" s="49"/>
      <c r="C4" s="49"/>
      <c r="D4" s="49"/>
      <c r="E4" s="50"/>
      <c r="F4" s="37"/>
      <c r="G4" s="44" t="s">
        <v>51</v>
      </c>
      <c r="H4" s="71" t="s">
        <v>40</v>
      </c>
      <c r="I4" s="45" t="s">
        <v>39</v>
      </c>
      <c r="J4" s="44" t="s">
        <v>55</v>
      </c>
      <c r="K4" s="44" t="s">
        <v>34</v>
      </c>
      <c r="L4" s="44" t="s">
        <v>56</v>
      </c>
      <c r="M4" s="36" t="s">
        <v>38</v>
      </c>
      <c r="N4" s="69" t="s">
        <v>32</v>
      </c>
      <c r="O4" s="44" t="s">
        <v>57</v>
      </c>
      <c r="P4" s="44" t="s">
        <v>58</v>
      </c>
      <c r="Q4" s="44" t="s">
        <v>59</v>
      </c>
      <c r="R4" s="58" t="s">
        <v>37</v>
      </c>
      <c r="S4" s="59"/>
    </row>
    <row r="5" spans="1:19" s="11" customFormat="1" ht="25.5" customHeight="1" x14ac:dyDescent="0.5">
      <c r="A5" s="51"/>
      <c r="B5" s="51"/>
      <c r="C5" s="51"/>
      <c r="D5" s="51"/>
      <c r="E5" s="52"/>
      <c r="F5" s="46" t="s">
        <v>36</v>
      </c>
      <c r="G5" s="35" t="s">
        <v>52</v>
      </c>
      <c r="H5" s="64" t="s">
        <v>33</v>
      </c>
      <c r="I5" s="67" t="s">
        <v>35</v>
      </c>
      <c r="J5" s="35" t="s">
        <v>60</v>
      </c>
      <c r="K5" s="32" t="s">
        <v>29</v>
      </c>
      <c r="L5" s="33" t="s">
        <v>62</v>
      </c>
      <c r="M5" s="32" t="s">
        <v>33</v>
      </c>
      <c r="N5" s="32" t="s">
        <v>27</v>
      </c>
      <c r="O5" s="32" t="s">
        <v>64</v>
      </c>
      <c r="P5" s="32" t="s">
        <v>65</v>
      </c>
      <c r="Q5" s="32" t="s">
        <v>22</v>
      </c>
      <c r="R5" s="60"/>
      <c r="S5" s="61"/>
    </row>
    <row r="6" spans="1:19" s="11" customFormat="1" ht="25.5" customHeight="1" x14ac:dyDescent="0.3">
      <c r="A6" s="51"/>
      <c r="B6" s="51"/>
      <c r="C6" s="51"/>
      <c r="D6" s="51"/>
      <c r="E6" s="52"/>
      <c r="F6" s="46" t="s">
        <v>20</v>
      </c>
      <c r="G6" s="35" t="s">
        <v>53</v>
      </c>
      <c r="H6" s="34" t="s">
        <v>31</v>
      </c>
      <c r="I6" s="70" t="s">
        <v>30</v>
      </c>
      <c r="J6" s="35" t="s">
        <v>61</v>
      </c>
      <c r="K6" s="35" t="s">
        <v>24</v>
      </c>
      <c r="L6" s="32" t="s">
        <v>63</v>
      </c>
      <c r="M6" s="32" t="s">
        <v>28</v>
      </c>
      <c r="N6" s="32" t="s">
        <v>47</v>
      </c>
      <c r="O6" s="33"/>
      <c r="P6" s="33"/>
      <c r="Q6" s="32"/>
      <c r="R6" s="60"/>
      <c r="S6" s="61"/>
    </row>
    <row r="7" spans="1:19" s="30" customFormat="1" ht="25.5" customHeight="1" x14ac:dyDescent="0.5">
      <c r="A7" s="53"/>
      <c r="B7" s="53"/>
      <c r="C7" s="53"/>
      <c r="D7" s="53"/>
      <c r="E7" s="54"/>
      <c r="F7" s="47"/>
      <c r="G7" s="66" t="s">
        <v>54</v>
      </c>
      <c r="H7" s="65" t="s">
        <v>26</v>
      </c>
      <c r="I7" s="68" t="s">
        <v>25</v>
      </c>
      <c r="J7" s="66"/>
      <c r="K7" s="66"/>
      <c r="L7" s="31"/>
      <c r="M7" s="31" t="s">
        <v>23</v>
      </c>
      <c r="N7" s="31" t="s">
        <v>50</v>
      </c>
      <c r="O7" s="31"/>
      <c r="P7" s="31"/>
      <c r="Q7" s="31"/>
      <c r="R7" s="62"/>
      <c r="S7" s="63"/>
    </row>
    <row r="8" spans="1:19" s="9" customFormat="1" ht="3" customHeight="1" x14ac:dyDescent="0.3">
      <c r="A8" s="29"/>
      <c r="B8" s="28"/>
      <c r="C8" s="28"/>
      <c r="D8" s="28"/>
      <c r="E8" s="27"/>
      <c r="F8" s="26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</row>
    <row r="9" spans="1:19" s="9" customFormat="1" ht="33" customHeight="1" x14ac:dyDescent="0.3">
      <c r="A9" s="48" t="s">
        <v>21</v>
      </c>
      <c r="B9" s="48"/>
      <c r="C9" s="48"/>
      <c r="D9" s="48"/>
      <c r="E9" s="55"/>
      <c r="F9" s="74">
        <f>SUM(F10:F18)</f>
        <v>600935.08677000005</v>
      </c>
      <c r="G9" s="74">
        <f t="shared" ref="G9:Q9" si="0">SUM(G10:G18)</f>
        <v>304318.77139999997</v>
      </c>
      <c r="H9" s="74">
        <f t="shared" si="0"/>
        <v>213406.08236000003</v>
      </c>
      <c r="I9" s="74">
        <f t="shared" si="0"/>
        <v>163051.08746000001</v>
      </c>
      <c r="J9" s="74">
        <f t="shared" si="0"/>
        <v>66077.450870000001</v>
      </c>
      <c r="K9" s="74">
        <f t="shared" si="0"/>
        <v>51143.025530000014</v>
      </c>
      <c r="L9" s="74">
        <f t="shared" si="0"/>
        <v>40381.785190000002</v>
      </c>
      <c r="M9" s="74">
        <f t="shared" si="0"/>
        <v>34071.812020000005</v>
      </c>
      <c r="N9" s="74">
        <f t="shared" si="0"/>
        <v>19511.386020000002</v>
      </c>
      <c r="O9" s="74">
        <f t="shared" si="0"/>
        <v>12573.927610000001</v>
      </c>
      <c r="P9" s="74">
        <f t="shared" si="0"/>
        <v>617.47370999999998</v>
      </c>
      <c r="Q9" s="74">
        <f t="shared" si="0"/>
        <v>101.05599999999998</v>
      </c>
      <c r="R9" s="56" t="s">
        <v>20</v>
      </c>
      <c r="S9" s="48"/>
    </row>
    <row r="10" spans="1:19" s="3" customFormat="1" ht="33" customHeight="1" x14ac:dyDescent="0.3">
      <c r="A10" s="21"/>
      <c r="B10" s="13" t="s">
        <v>19</v>
      </c>
      <c r="C10" s="25"/>
      <c r="D10" s="25"/>
      <c r="E10" s="24"/>
      <c r="F10" s="75">
        <f>SUM(H10:Q10)</f>
        <v>72896.004440000004</v>
      </c>
      <c r="G10" s="72">
        <f>123965851.88/1000</f>
        <v>123965.85188</v>
      </c>
      <c r="H10" s="75">
        <f>14847195.8/1000</f>
        <v>14847.195800000001</v>
      </c>
      <c r="I10" s="75">
        <f>25093931.93/1000</f>
        <v>25093.931929999999</v>
      </c>
      <c r="J10" s="72">
        <f>5613795.81/1000</f>
        <v>5613.7958099999996</v>
      </c>
      <c r="K10" s="75">
        <f>1656999.21/1000</f>
        <v>1656.9992099999999</v>
      </c>
      <c r="L10" s="75">
        <f>13257287.43/1000</f>
        <v>13257.28743</v>
      </c>
      <c r="M10" s="75">
        <f>6235044.56/1000</f>
        <v>6235.0445599999994</v>
      </c>
      <c r="N10" s="75">
        <f>4676759.5/1000</f>
        <v>4676.7595000000001</v>
      </c>
      <c r="O10" s="75">
        <f>1503191.43/1000</f>
        <v>1503.1914299999999</v>
      </c>
      <c r="P10" s="75">
        <f>1677.77/1000</f>
        <v>1.67777</v>
      </c>
      <c r="Q10" s="75">
        <f>10121/1000</f>
        <v>10.121</v>
      </c>
      <c r="R10" s="13" t="s">
        <v>18</v>
      </c>
    </row>
    <row r="11" spans="1:19" s="3" customFormat="1" ht="33" customHeight="1" x14ac:dyDescent="0.3">
      <c r="A11" s="21"/>
      <c r="B11" s="23" t="s">
        <v>17</v>
      </c>
      <c r="E11" s="20"/>
      <c r="F11" s="75">
        <f>SUM(H11:Q11)</f>
        <v>91929.910650000005</v>
      </c>
      <c r="G11" s="72">
        <f>10051.07/1000</f>
        <v>10.051069999999999</v>
      </c>
      <c r="H11" s="75">
        <f>75759421.98/1000</f>
        <v>75759.421979999999</v>
      </c>
      <c r="I11" s="76" t="s">
        <v>49</v>
      </c>
      <c r="J11" s="72">
        <f>131898.31/1000</f>
        <v>131.89831000000001</v>
      </c>
      <c r="K11" s="75">
        <f>1431292.54/1000</f>
        <v>1431.2925400000001</v>
      </c>
      <c r="L11" s="75">
        <f>3061637.86/1000</f>
        <v>3061.6378599999998</v>
      </c>
      <c r="M11" s="75">
        <f>5286499.58/1000</f>
        <v>5286.4995799999997</v>
      </c>
      <c r="N11" s="75">
        <f>4777359.65/1000</f>
        <v>4777.3596500000003</v>
      </c>
      <c r="O11" s="75">
        <f>1158899.52/1000</f>
        <v>1158.8995199999999</v>
      </c>
      <c r="P11" s="75">
        <f>313780.21/1000</f>
        <v>313.78021000000001</v>
      </c>
      <c r="Q11" s="75">
        <f>9121/1000</f>
        <v>9.1210000000000004</v>
      </c>
      <c r="R11" s="13" t="s">
        <v>16</v>
      </c>
    </row>
    <row r="12" spans="1:19" s="3" customFormat="1" ht="33" customHeight="1" x14ac:dyDescent="0.3">
      <c r="A12" s="21"/>
      <c r="B12" s="23" t="s">
        <v>15</v>
      </c>
      <c r="E12" s="20"/>
      <c r="F12" s="75">
        <f>SUM(H12:Q12)</f>
        <v>48814.945399999997</v>
      </c>
      <c r="G12" s="72">
        <f>87596773.77/1000</f>
        <v>87596.77377</v>
      </c>
      <c r="H12" s="75">
        <f>4081637.86/1000</f>
        <v>4081.6378599999998</v>
      </c>
      <c r="I12" s="75">
        <f>15585657.4/1000</f>
        <v>15585.6574</v>
      </c>
      <c r="J12" s="72">
        <f>174576.13/1000</f>
        <v>174.57613000000001</v>
      </c>
      <c r="K12" s="75">
        <f>19178323.1/1000</f>
        <v>19178.323100000001</v>
      </c>
      <c r="L12" s="76" t="s">
        <v>49</v>
      </c>
      <c r="M12" s="75">
        <f>8055808.02/1000</f>
        <v>8055.8080199999995</v>
      </c>
      <c r="N12" s="75">
        <f>1089391.93/1000</f>
        <v>1089.39193</v>
      </c>
      <c r="O12" s="75">
        <f>500244.32/1000</f>
        <v>500.24432000000002</v>
      </c>
      <c r="P12" s="75">
        <f>146090.64/1000</f>
        <v>146.09064000000001</v>
      </c>
      <c r="Q12" s="75">
        <f>3216/1000</f>
        <v>3.2160000000000002</v>
      </c>
      <c r="R12" s="13" t="s">
        <v>14</v>
      </c>
    </row>
    <row r="13" spans="1:19" s="3" customFormat="1" ht="33" customHeight="1" x14ac:dyDescent="0.3">
      <c r="A13" s="21"/>
      <c r="B13" s="23" t="s">
        <v>13</v>
      </c>
      <c r="E13" s="20"/>
      <c r="F13" s="75">
        <f>SUM(H13:Q13)</f>
        <v>115061.30922000002</v>
      </c>
      <c r="G13" s="72">
        <f>699841.6/1000</f>
        <v>699.84159999999997</v>
      </c>
      <c r="H13" s="75">
        <f>26471393.87/1000</f>
        <v>26471.39387</v>
      </c>
      <c r="I13" s="75">
        <f>40375339.49/1000</f>
        <v>40375.339489999998</v>
      </c>
      <c r="J13" s="72">
        <f>20889044.27/1000</f>
        <v>20889.044269999999</v>
      </c>
      <c r="K13" s="75">
        <f>14924020.39/1000</f>
        <v>14924.020390000001</v>
      </c>
      <c r="L13" s="75">
        <f>74290.42/1000</f>
        <v>74.290419999999997</v>
      </c>
      <c r="M13" s="75">
        <f>4918949.98/1000</f>
        <v>4918.9499800000003</v>
      </c>
      <c r="N13" s="75">
        <f>4608881.42/1000</f>
        <v>4608.8814199999997</v>
      </c>
      <c r="O13" s="75">
        <f>2694929.43/1000</f>
        <v>2694.9294300000001</v>
      </c>
      <c r="P13" s="75">
        <f>83049.95/1000</f>
        <v>83.049949999999995</v>
      </c>
      <c r="Q13" s="75">
        <f>21410/1000</f>
        <v>21.41</v>
      </c>
      <c r="R13" s="13" t="s">
        <v>12</v>
      </c>
    </row>
    <row r="14" spans="1:19" s="3" customFormat="1" ht="33" customHeight="1" x14ac:dyDescent="0.3">
      <c r="A14" s="21"/>
      <c r="B14" s="23" t="s">
        <v>11</v>
      </c>
      <c r="E14" s="20"/>
      <c r="F14" s="75">
        <f>SUM(H14:Q14)</f>
        <v>27547.829350000004</v>
      </c>
      <c r="G14" s="72">
        <f>91424674.8/1000</f>
        <v>91424.674799999993</v>
      </c>
      <c r="H14" s="75">
        <f>1201254.52/1000</f>
        <v>1201.25452</v>
      </c>
      <c r="I14" s="75">
        <f>4144391.44/1000</f>
        <v>4144.3914400000003</v>
      </c>
      <c r="J14" s="72">
        <f>676137.92/1000</f>
        <v>676.13792000000001</v>
      </c>
      <c r="K14" s="75">
        <f>370396.67/1000</f>
        <v>370.39666999999997</v>
      </c>
      <c r="L14" s="75">
        <f>15708567.12/1000</f>
        <v>15708.56712</v>
      </c>
      <c r="M14" s="75">
        <f>1924083.6/1000</f>
        <v>1924.0836000000002</v>
      </c>
      <c r="N14" s="76" t="s">
        <v>49</v>
      </c>
      <c r="O14" s="75">
        <f>3489128.85/1000</f>
        <v>3489.1288500000001</v>
      </c>
      <c r="P14" s="75">
        <f>2662.23/1000</f>
        <v>2.6622300000000001</v>
      </c>
      <c r="Q14" s="75">
        <f>31207/1000</f>
        <v>31.207000000000001</v>
      </c>
      <c r="R14" s="13" t="s">
        <v>10</v>
      </c>
    </row>
    <row r="15" spans="1:19" s="3" customFormat="1" ht="33" customHeight="1" x14ac:dyDescent="0.3">
      <c r="A15" s="21"/>
      <c r="B15" s="22" t="s">
        <v>9</v>
      </c>
      <c r="E15" s="20"/>
      <c r="F15" s="75">
        <f>SUM(H15:Q15)</f>
        <v>58522.66805</v>
      </c>
      <c r="G15" s="72">
        <f>452857.82/1000</f>
        <v>452.85782</v>
      </c>
      <c r="H15" s="75">
        <f>18534864.52/1000</f>
        <v>18534.864519999999</v>
      </c>
      <c r="I15" s="75">
        <f>22859664.45/1000</f>
        <v>22859.66445</v>
      </c>
      <c r="J15" s="72">
        <f>5531766.05/1000</f>
        <v>5531.7660500000002</v>
      </c>
      <c r="K15" s="75">
        <f>1901765.72/1000</f>
        <v>1901.7657199999999</v>
      </c>
      <c r="L15" s="75">
        <f>2634832.49/1000</f>
        <v>2634.8324900000002</v>
      </c>
      <c r="M15" s="75">
        <f>5414374.13/1000</f>
        <v>5414.3741300000002</v>
      </c>
      <c r="N15" s="76" t="s">
        <v>49</v>
      </c>
      <c r="O15" s="75">
        <f>1630847.35/1000</f>
        <v>1630.84735</v>
      </c>
      <c r="P15" s="75">
        <f>1965.34/1000</f>
        <v>1.9653399999999999</v>
      </c>
      <c r="Q15" s="75">
        <f>12588/1000</f>
        <v>12.587999999999999</v>
      </c>
      <c r="R15" s="13" t="s">
        <v>8</v>
      </c>
    </row>
    <row r="16" spans="1:19" s="3" customFormat="1" ht="33" customHeight="1" x14ac:dyDescent="0.3">
      <c r="A16" s="21"/>
      <c r="B16" s="22" t="s">
        <v>7</v>
      </c>
      <c r="E16" s="20"/>
      <c r="F16" s="75">
        <f>SUM(H16:Q16)</f>
        <v>56334.626730000004</v>
      </c>
      <c r="G16" s="72">
        <f>163847.22/1000</f>
        <v>163.84721999999999</v>
      </c>
      <c r="H16" s="75">
        <f>35319649.88/1000</f>
        <v>35319.649880000004</v>
      </c>
      <c r="I16" s="75">
        <f>16577262.77/1000</f>
        <v>16577.262770000001</v>
      </c>
      <c r="J16" s="72">
        <f>988883.86/1000</f>
        <v>988.88386000000003</v>
      </c>
      <c r="K16" s="75">
        <f>1987345.56/1000</f>
        <v>1987.34556</v>
      </c>
      <c r="L16" s="75">
        <f>114729.87/1000</f>
        <v>114.72986999999999</v>
      </c>
      <c r="M16" s="75">
        <f>836322.68/1000</f>
        <v>836.3226800000001</v>
      </c>
      <c r="N16" s="76" t="s">
        <v>49</v>
      </c>
      <c r="O16" s="75">
        <f>464507.86/1000</f>
        <v>464.50785999999999</v>
      </c>
      <c r="P16" s="75">
        <f>42809.25/1000</f>
        <v>42.809249999999999</v>
      </c>
      <c r="Q16" s="75">
        <f>3115/1000</f>
        <v>3.1150000000000002</v>
      </c>
      <c r="R16" s="13" t="s">
        <v>6</v>
      </c>
    </row>
    <row r="17" spans="1:19" s="3" customFormat="1" ht="33" customHeight="1" x14ac:dyDescent="0.3">
      <c r="A17" s="21"/>
      <c r="B17" s="22" t="s">
        <v>5</v>
      </c>
      <c r="E17" s="20"/>
      <c r="F17" s="75">
        <f>SUM(H17:Q17)</f>
        <v>69806.99523</v>
      </c>
      <c r="G17" s="72">
        <f>4873.24/1000</f>
        <v>4.87324</v>
      </c>
      <c r="H17" s="75">
        <f>22904917.37/1000</f>
        <v>22904.917370000003</v>
      </c>
      <c r="I17" s="75">
        <f>6095657.23/1000</f>
        <v>6095.6572300000007</v>
      </c>
      <c r="J17" s="72">
        <f>28417599.44/1000</f>
        <v>28417.599440000002</v>
      </c>
      <c r="K17" s="75">
        <f>2972803.44/1000</f>
        <v>2972.8034400000001</v>
      </c>
      <c r="L17" s="75">
        <f>5530440/1000</f>
        <v>5530.44</v>
      </c>
      <c r="M17" s="75">
        <f>76144.44/1000</f>
        <v>76.144440000000003</v>
      </c>
      <c r="N17" s="75">
        <f>3785874.74/1000</f>
        <v>3785.8747400000002</v>
      </c>
      <c r="O17" s="75">
        <f>23434.57/1000</f>
        <v>23.434570000000001</v>
      </c>
      <c r="P17" s="76" t="s">
        <v>49</v>
      </c>
      <c r="Q17" s="75">
        <f>124/1000</f>
        <v>0.124</v>
      </c>
      <c r="R17" s="13" t="s">
        <v>4</v>
      </c>
    </row>
    <row r="18" spans="1:19" s="3" customFormat="1" ht="33" customHeight="1" x14ac:dyDescent="0.3">
      <c r="A18" s="21"/>
      <c r="B18" s="13" t="s">
        <v>3</v>
      </c>
      <c r="E18" s="20"/>
      <c r="F18" s="75">
        <f>SUM(H18:Q18)</f>
        <v>60020.797700000003</v>
      </c>
      <c r="G18" s="73" t="s">
        <v>49</v>
      </c>
      <c r="H18" s="75">
        <f>14285746.56/1000</f>
        <v>14285.746560000001</v>
      </c>
      <c r="I18" s="75">
        <f>32319182.75/1000</f>
        <v>32319.18275</v>
      </c>
      <c r="J18" s="72">
        <f>3653749.08/1000</f>
        <v>3653.74908</v>
      </c>
      <c r="K18" s="75">
        <f>6720078.9/1000</f>
        <v>6720.0789000000004</v>
      </c>
      <c r="L18" s="76" t="s">
        <v>49</v>
      </c>
      <c r="M18" s="75">
        <f>1324585.03/1000</f>
        <v>1324.58503</v>
      </c>
      <c r="N18" s="75">
        <f>573118.78/1000</f>
        <v>573.11878000000002</v>
      </c>
      <c r="O18" s="75">
        <f>1108744.28/1000</f>
        <v>1108.7442800000001</v>
      </c>
      <c r="P18" s="75">
        <f>25438.32/1000</f>
        <v>25.438320000000001</v>
      </c>
      <c r="Q18" s="75">
        <f>10154/1000</f>
        <v>10.154</v>
      </c>
      <c r="R18" s="13" t="s">
        <v>2</v>
      </c>
    </row>
    <row r="19" spans="1:19" s="3" customFormat="1" ht="3" customHeight="1" x14ac:dyDescent="0.3">
      <c r="A19" s="21"/>
      <c r="E19" s="20"/>
      <c r="F19" s="20"/>
      <c r="G19" s="18"/>
      <c r="H19" s="18"/>
      <c r="I19" s="19"/>
      <c r="J19" s="18"/>
      <c r="K19" s="18"/>
      <c r="L19" s="18"/>
      <c r="M19" s="18"/>
      <c r="N19" s="18"/>
      <c r="O19" s="18"/>
      <c r="P19" s="18"/>
      <c r="Q19" s="18"/>
    </row>
    <row r="20" spans="1:19" s="3" customFormat="1" ht="4.5" customHeight="1" x14ac:dyDescent="0.3">
      <c r="A20" s="14"/>
      <c r="B20" s="14"/>
      <c r="C20" s="14"/>
      <c r="D20" s="14"/>
      <c r="E20" s="17"/>
      <c r="F20" s="17"/>
      <c r="G20" s="15"/>
      <c r="H20" s="15"/>
      <c r="I20" s="16"/>
      <c r="J20" s="15"/>
      <c r="K20" s="15"/>
      <c r="L20" s="15"/>
      <c r="M20" s="15"/>
      <c r="N20" s="15"/>
      <c r="O20" s="15"/>
      <c r="P20" s="15"/>
      <c r="Q20" s="15"/>
      <c r="R20" s="14"/>
      <c r="S20" s="14"/>
    </row>
    <row r="21" spans="1:19" s="3" customFormat="1" ht="9.9499999999999993" customHeight="1" x14ac:dyDescent="0.3"/>
    <row r="22" spans="1:19" s="11" customFormat="1" ht="17.25" x14ac:dyDescent="0.5">
      <c r="A22" s="12"/>
      <c r="B22" s="12" t="s">
        <v>1</v>
      </c>
      <c r="C22" s="12"/>
      <c r="D22" s="12"/>
      <c r="E22" s="12"/>
      <c r="F22" s="12"/>
      <c r="J22" s="12"/>
      <c r="K22" s="12"/>
      <c r="L22" s="12"/>
      <c r="M22" s="12"/>
      <c r="N22" s="12"/>
      <c r="O22" s="12"/>
      <c r="P22" s="12"/>
      <c r="Q22" s="12"/>
    </row>
    <row r="23" spans="1:19" s="11" customFormat="1" ht="17.25" x14ac:dyDescent="0.3">
      <c r="A23" s="12"/>
      <c r="B23" s="12" t="s">
        <v>0</v>
      </c>
      <c r="C23" s="4"/>
      <c r="D23" s="4"/>
      <c r="E23" s="4"/>
      <c r="F23" s="4"/>
      <c r="G23" s="13"/>
      <c r="J23" s="12"/>
      <c r="K23" s="12"/>
      <c r="L23" s="12"/>
      <c r="M23" s="12"/>
      <c r="N23" s="12"/>
      <c r="O23" s="12"/>
      <c r="P23" s="12"/>
      <c r="Q23" s="12"/>
    </row>
    <row r="24" spans="1:19" s="11" customFormat="1" ht="126.75" hidden="1" customHeight="1" x14ac:dyDescent="0.5">
      <c r="A24" s="12"/>
      <c r="B24" s="12"/>
      <c r="C24" s="12"/>
      <c r="D24" s="12"/>
      <c r="E24" s="12"/>
      <c r="F24" s="12"/>
      <c r="J24" s="12"/>
      <c r="K24" s="12"/>
      <c r="L24" s="12"/>
      <c r="M24" s="12"/>
      <c r="N24" s="12"/>
      <c r="O24" s="12"/>
      <c r="P24" s="12"/>
      <c r="Q24" s="12"/>
    </row>
    <row r="25" spans="1:19" x14ac:dyDescent="0.3">
      <c r="F25" s="6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9"/>
      <c r="S25" s="9"/>
    </row>
    <row r="26" spans="1:19" x14ac:dyDescent="0.3">
      <c r="F26" s="6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48"/>
      <c r="S26" s="48"/>
    </row>
    <row r="27" spans="1:19" x14ac:dyDescent="0.3">
      <c r="F27" s="6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4"/>
      <c r="S27" s="3"/>
    </row>
    <row r="28" spans="1:19" x14ac:dyDescent="0.3">
      <c r="F28" s="6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4"/>
      <c r="S28" s="3"/>
    </row>
    <row r="29" spans="1:19" x14ac:dyDescent="0.3">
      <c r="F29" s="6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4"/>
      <c r="S29" s="3"/>
    </row>
    <row r="30" spans="1:19" x14ac:dyDescent="0.3">
      <c r="F30" s="6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4"/>
      <c r="S30" s="3"/>
    </row>
    <row r="31" spans="1:19" x14ac:dyDescent="0.3">
      <c r="F31" s="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4"/>
      <c r="S31" s="3"/>
    </row>
    <row r="32" spans="1:19" x14ac:dyDescent="0.3">
      <c r="A32" s="1"/>
      <c r="B32" s="1"/>
      <c r="C32" s="1"/>
      <c r="D32" s="1"/>
      <c r="E32" s="1"/>
      <c r="F32" s="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4"/>
      <c r="S32" s="3"/>
    </row>
    <row r="33" spans="1:19" x14ac:dyDescent="0.3">
      <c r="A33" s="1"/>
      <c r="B33" s="1"/>
      <c r="C33" s="1"/>
      <c r="D33" s="1"/>
      <c r="E33" s="1"/>
      <c r="F33" s="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4"/>
      <c r="S33" s="3"/>
    </row>
    <row r="34" spans="1:19" x14ac:dyDescent="0.3">
      <c r="A34" s="1"/>
      <c r="B34" s="1"/>
      <c r="C34" s="1"/>
      <c r="D34" s="1"/>
      <c r="E34" s="1"/>
      <c r="F34" s="6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4"/>
      <c r="S34" s="3"/>
    </row>
    <row r="35" spans="1:19" x14ac:dyDescent="0.3">
      <c r="A35" s="1"/>
      <c r="B35" s="1"/>
      <c r="C35" s="1"/>
      <c r="D35" s="1"/>
      <c r="E35" s="1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4"/>
      <c r="S35" s="3"/>
    </row>
    <row r="36" spans="1:19" x14ac:dyDescent="0.3">
      <c r="A36" s="1"/>
      <c r="B36" s="1"/>
      <c r="C36" s="1"/>
      <c r="D36" s="1"/>
      <c r="E36" s="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</sheetData>
  <mergeCells count="6">
    <mergeCell ref="R26:S26"/>
    <mergeCell ref="A4:E7"/>
    <mergeCell ref="A9:E9"/>
    <mergeCell ref="R9:S9"/>
    <mergeCell ref="R3:S3"/>
    <mergeCell ref="R4:S7"/>
  </mergeCells>
  <pageMargins left="0.55118110236220474" right="0.18" top="0.78740157480314965" bottom="0.59055118110236227" header="0.51181102362204722" footer="0.51181102362204722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K1"/>
    </sheetView>
  </sheetViews>
  <sheetFormatPr defaultRowHeight="21.75" x14ac:dyDescent="0.5"/>
  <cols>
    <col min="1" max="1" width="9.140625" customWidth="1"/>
    <col min="11" max="12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T11</vt:lpstr>
      <vt:lpstr>Sheet1</vt:lpstr>
      <vt:lpstr>'T11'!Print_Area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cp:lastPrinted>2017-03-31T09:38:43Z</cp:lastPrinted>
  <dcterms:created xsi:type="dcterms:W3CDTF">2016-10-05T06:29:15Z</dcterms:created>
  <dcterms:modified xsi:type="dcterms:W3CDTF">2017-03-31T09:41:02Z</dcterms:modified>
</cp:coreProperties>
</file>