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75" yWindow="-195" windowWidth="11595" windowHeight="7980" tabRatio="944"/>
  </bookViews>
  <sheets>
    <sheet name="T-3.5" sheetId="13" r:id="rId1"/>
  </sheets>
  <definedNames>
    <definedName name="_xlnm.Print_Area" localSheetId="0">'T-3.5'!$A$1:$W$39</definedName>
  </definedNames>
  <calcPr calcId="125725"/>
</workbook>
</file>

<file path=xl/calcChain.xml><?xml version="1.0" encoding="utf-8"?>
<calcChain xmlns="http://schemas.openxmlformats.org/spreadsheetml/2006/main">
  <c r="L13" i="13"/>
  <c r="K13"/>
  <c r="J22"/>
  <c r="J33" l="1"/>
  <c r="J32"/>
  <c r="J31"/>
  <c r="I31"/>
  <c r="I33"/>
  <c r="I32"/>
  <c r="J29"/>
  <c r="J28"/>
  <c r="J27"/>
  <c r="I29"/>
  <c r="I28"/>
  <c r="I27"/>
  <c r="J25"/>
  <c r="J24"/>
  <c r="J23"/>
  <c r="J21"/>
  <c r="J20"/>
  <c r="J16"/>
  <c r="J15"/>
  <c r="I25"/>
  <c r="I24"/>
  <c r="I23"/>
  <c r="I22"/>
  <c r="I21"/>
  <c r="I20"/>
  <c r="I16"/>
  <c r="I15"/>
  <c r="H20"/>
  <c r="H16"/>
  <c r="H31"/>
  <c r="H33"/>
  <c r="H32"/>
  <c r="H29"/>
  <c r="H28"/>
  <c r="H27"/>
  <c r="H21"/>
  <c r="H22"/>
  <c r="H23"/>
  <c r="H24"/>
  <c r="H25"/>
  <c r="J19"/>
  <c r="I14"/>
  <c r="H15"/>
  <c r="J14"/>
  <c r="I26"/>
  <c r="J26"/>
  <c r="I30"/>
  <c r="J30"/>
  <c r="F15"/>
  <c r="J13" l="1"/>
  <c r="H30"/>
  <c r="H26"/>
  <c r="I19"/>
  <c r="I13" s="1"/>
  <c r="H19"/>
  <c r="H14"/>
  <c r="E16"/>
  <c r="G26"/>
  <c r="G15"/>
  <c r="E25"/>
  <c r="E24"/>
  <c r="F22"/>
  <c r="E15"/>
  <c r="P18"/>
  <c r="N18"/>
  <c r="P20"/>
  <c r="P32"/>
  <c r="P33"/>
  <c r="G33"/>
  <c r="P29"/>
  <c r="P28"/>
  <c r="P27"/>
  <c r="P25"/>
  <c r="P24"/>
  <c r="G24"/>
  <c r="P23"/>
  <c r="P22"/>
  <c r="P21"/>
  <c r="N21"/>
  <c r="P17"/>
  <c r="P16"/>
  <c r="P15"/>
  <c r="P31"/>
  <c r="O20"/>
  <c r="O17"/>
  <c r="O16"/>
  <c r="O15"/>
  <c r="O33"/>
  <c r="O32"/>
  <c r="O30"/>
  <c r="O31"/>
  <c r="O29"/>
  <c r="O28"/>
  <c r="O27"/>
  <c r="O25"/>
  <c r="O24"/>
  <c r="O23"/>
  <c r="O22"/>
  <c r="N22"/>
  <c r="O21"/>
  <c r="F21"/>
  <c r="O14"/>
  <c r="Q19"/>
  <c r="Q14"/>
  <c r="Q13"/>
  <c r="N31"/>
  <c r="N33"/>
  <c r="N29"/>
  <c r="P26"/>
  <c r="N25"/>
  <c r="N24"/>
  <c r="N23"/>
  <c r="N20"/>
  <c r="P14"/>
  <c r="N16"/>
  <c r="N17"/>
  <c r="N15"/>
  <c r="N14"/>
  <c r="F25"/>
  <c r="F24"/>
  <c r="F23"/>
  <c r="F18"/>
  <c r="F17"/>
  <c r="F27"/>
  <c r="G32"/>
  <c r="F29"/>
  <c r="F31"/>
  <c r="F33"/>
  <c r="E33"/>
  <c r="G31"/>
  <c r="G29"/>
  <c r="G28"/>
  <c r="G27"/>
  <c r="G25"/>
  <c r="E23"/>
  <c r="G23"/>
  <c r="G22"/>
  <c r="G21"/>
  <c r="G18"/>
  <c r="E18"/>
  <c r="E17"/>
  <c r="G17"/>
  <c r="G16"/>
  <c r="E26"/>
  <c r="E31"/>
  <c r="E30"/>
  <c r="N19"/>
  <c r="E28"/>
  <c r="E29"/>
  <c r="P19"/>
  <c r="E21"/>
  <c r="F26"/>
  <c r="F14"/>
  <c r="N32"/>
  <c r="N30"/>
  <c r="E22"/>
  <c r="G20"/>
  <c r="F30"/>
  <c r="F32"/>
  <c r="F16"/>
  <c r="P30"/>
  <c r="G30"/>
  <c r="O19"/>
  <c r="O26"/>
  <c r="N27"/>
  <c r="N28"/>
  <c r="F28"/>
  <c r="F20"/>
  <c r="E20"/>
  <c r="F19"/>
  <c r="N13"/>
  <c r="N26"/>
  <c r="E32"/>
  <c r="O13"/>
  <c r="P13"/>
  <c r="G19"/>
  <c r="E27"/>
  <c r="E19" l="1"/>
  <c r="H13"/>
  <c r="G14"/>
  <c r="G13" s="1"/>
  <c r="F13"/>
  <c r="M13" l="1"/>
  <c r="E14"/>
  <c r="E13" s="1"/>
</calcChain>
</file>

<file path=xl/sharedStrings.xml><?xml version="1.0" encoding="utf-8"?>
<sst xmlns="http://schemas.openxmlformats.org/spreadsheetml/2006/main" count="172" uniqueCount="80">
  <si>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</si>
  <si>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</si>
  <si>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</si>
  <si>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</si>
  <si>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</si>
  <si>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</si>
  <si>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</si>
  <si>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</si>
  <si>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</si>
  <si>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</si>
  <si>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</si>
  <si>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</si>
  <si>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</si>
  <si>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</si>
  <si>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</si>
  <si>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</si>
  <si>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</si>
  <si>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</si>
  <si>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</si>
  <si>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</si>
  <si>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>ชั้นเรียน</t>
  </si>
  <si>
    <t>Grade</t>
  </si>
  <si>
    <t>สังกัด  Jurisdiction</t>
  </si>
  <si>
    <t xml:space="preserve">ตาราง     </t>
  </si>
  <si>
    <t>เด็กเล็ก</t>
  </si>
  <si>
    <t>ประถม 1</t>
  </si>
  <si>
    <t>ประถม 2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</si>
  <si>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</si>
  <si>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</si>
  <si>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</si>
  <si>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</si>
  <si>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</si>
  <si>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</si>
  <si>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</si>
  <si>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 xml:space="preserve">Department of Local </t>
  </si>
  <si>
    <t>Administration</t>
  </si>
  <si>
    <t>กรมส่งเสริม</t>
  </si>
  <si>
    <t>มัธยม 1</t>
  </si>
  <si>
    <t>มัธยม 2</t>
  </si>
  <si>
    <t>มัธยม 3</t>
  </si>
  <si>
    <t>ประถม 3</t>
  </si>
  <si>
    <t>ประถม 4</t>
  </si>
  <si>
    <t>ประถม 5</t>
  </si>
  <si>
    <t>ประถม 6</t>
  </si>
  <si>
    <t>มัธยม 4</t>
  </si>
  <si>
    <t>มัธยม 5</t>
  </si>
  <si>
    <t>มัธยม 6</t>
  </si>
  <si>
    <t>Matayom 1</t>
  </si>
  <si>
    <t>Matayom 4</t>
  </si>
  <si>
    <t>มัธยมต้น</t>
  </si>
  <si>
    <t>มัธยมปลาย</t>
  </si>
  <si>
    <t>การปกครองท้องถิ่น</t>
  </si>
  <si>
    <t>Pratom 3</t>
  </si>
  <si>
    <t>Pratom 4</t>
  </si>
  <si>
    <t>Pratom 5</t>
  </si>
  <si>
    <t>Pratom 6</t>
  </si>
  <si>
    <t>Matayom 2</t>
  </si>
  <si>
    <t>Matayom 3</t>
  </si>
  <si>
    <t>Matayom 5</t>
  </si>
  <si>
    <t>Matayom 6</t>
  </si>
  <si>
    <t>อนุบาล 1</t>
  </si>
  <si>
    <t>อนุบาล 2</t>
  </si>
  <si>
    <t>อนุบาล 3</t>
  </si>
  <si>
    <t xml:space="preserve">Table </t>
  </si>
  <si>
    <t xml:space="preserve">            3. กรมส่งเสริมการปกครองส่วนท้องถิ่น</t>
  </si>
  <si>
    <t xml:space="preserve">            3. Department of Local Administration</t>
  </si>
  <si>
    <t xml:space="preserve">     ที่มา:  1. สำนักงานเขตพื้นที่การศึกษาประถมศึกษานครศรีธรรมราช เขต1 - 4</t>
  </si>
  <si>
    <t xml:space="preserve">            2. สำนักงานเขตพื้นที่การศึกษามัธยมศึกษาเขต12 นครศรีธรรมราช</t>
  </si>
  <si>
    <t xml:space="preserve">Source:  1.Nakhon Si Thammarat Primary Educational Service Area Office, Area1 - 4 </t>
  </si>
  <si>
    <t xml:space="preserve">            2.Nakhon Si Thammarat Secondary Educational Service Area Office, Area12</t>
  </si>
  <si>
    <t>หมายเหตุ: ไม่นับนักเรียนระดับ ปวช. และ ปวส. (สถานศึกษาเอกชน)</t>
  </si>
  <si>
    <t>Note:  Do not count students in vocational certificate and vocational .(Private School)</t>
  </si>
  <si>
    <t>ตระเวนชายแดน</t>
  </si>
  <si>
    <t xml:space="preserve">Including school </t>
  </si>
  <si>
    <t>Police Patrol</t>
  </si>
  <si>
    <t>โรงเรียนเรียนตำรวจ</t>
  </si>
  <si>
    <t>นักเรียน จำแนกตามสังกัด เพศ และชั้นเรียน ปีการศึกษา 2559</t>
  </si>
  <si>
    <t>Student by Jurisdiction, Sex and Grade: Academic Year 2016</t>
  </si>
  <si>
    <t>-</t>
  </si>
  <si>
    <t>…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</si>
</sst>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_ ;\-#,##0\ "/>
  </numFmts>
  <fonts count="1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2"/>
      <name val="AngsanaUPC"/>
      <family val="1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9" fontId="3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 applyBorder="1"/>
    <xf numFmtId="0" fontId="7" fillId="0" borderId="0" xfId="0" applyFont="1"/>
    <xf numFmtId="0" fontId="8" fillId="0" borderId="0" xfId="0" applyFont="1" applyBorder="1"/>
    <xf numFmtId="0" fontId="8" fillId="0" borderId="0" xfId="0" applyFont="1"/>
    <xf numFmtId="0" fontId="6" fillId="0" borderId="0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5" xfId="0" applyFont="1" applyBorder="1"/>
    <xf numFmtId="0" fontId="6" fillId="0" borderId="7" xfId="0" applyFont="1" applyBorder="1"/>
    <xf numFmtId="0" fontId="7" fillId="0" borderId="0" xfId="0" applyFont="1" applyBorder="1"/>
    <xf numFmtId="0" fontId="8" fillId="0" borderId="3" xfId="0" applyFont="1" applyBorder="1"/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/>
    <xf numFmtId="0" fontId="9" fillId="0" borderId="0" xfId="0" applyFont="1" applyBorder="1"/>
    <xf numFmtId="0" fontId="8" fillId="0" borderId="2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4" fillId="0" borderId="0" xfId="0" applyFont="1" applyBorder="1"/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/>
    <xf numFmtId="0" fontId="8" fillId="0" borderId="9" xfId="0" applyFont="1" applyBorder="1"/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188" fontId="4" fillId="0" borderId="0" xfId="0" applyNumberFormat="1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9" fillId="0" borderId="0" xfId="0" applyFont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10" fillId="0" borderId="0" xfId="0" applyFont="1"/>
    <xf numFmtId="0" fontId="10" fillId="0" borderId="0" xfId="0" applyFont="1" applyAlignment="1">
      <alignment vertical="top"/>
    </xf>
    <xf numFmtId="189" fontId="5" fillId="0" borderId="2" xfId="4" applyNumberFormat="1" applyFont="1" applyBorder="1" applyAlignment="1">
      <alignment horizontal="right" vertical="top" wrapText="1"/>
    </xf>
    <xf numFmtId="189" fontId="7" fillId="0" borderId="2" xfId="4" applyNumberFormat="1" applyFont="1" applyBorder="1" applyAlignment="1">
      <alignment horizontal="right" vertical="top" wrapText="1"/>
    </xf>
    <xf numFmtId="189" fontId="8" fillId="0" borderId="0" xfId="0" applyNumberFormat="1" applyFont="1" applyBorder="1"/>
    <xf numFmtId="189" fontId="5" fillId="0" borderId="4" xfId="4" applyNumberFormat="1" applyFont="1" applyBorder="1" applyAlignment="1">
      <alignment horizontal="right" vertical="top" wrapText="1"/>
    </xf>
    <xf numFmtId="189" fontId="7" fillId="0" borderId="4" xfId="4" applyNumberFormat="1" applyFont="1" applyBorder="1" applyAlignment="1">
      <alignment horizontal="right" vertical="top" wrapText="1"/>
    </xf>
    <xf numFmtId="189" fontId="5" fillId="0" borderId="0" xfId="4" applyNumberFormat="1" applyFont="1" applyBorder="1" applyAlignment="1">
      <alignment horizontal="right" vertical="top" wrapText="1"/>
    </xf>
    <xf numFmtId="187" fontId="8" fillId="0" borderId="3" xfId="0" applyNumberFormat="1" applyFont="1" applyBorder="1"/>
    <xf numFmtId="189" fontId="7" fillId="0" borderId="0" xfId="4" applyNumberFormat="1" applyFont="1" applyBorder="1" applyAlignment="1">
      <alignment horizontal="right" vertical="top" wrapText="1"/>
    </xf>
    <xf numFmtId="189" fontId="7" fillId="0" borderId="3" xfId="4" applyNumberFormat="1" applyFont="1" applyBorder="1" applyAlignment="1">
      <alignment horizontal="right" vertical="top" wrapText="1"/>
    </xf>
    <xf numFmtId="0" fontId="9" fillId="0" borderId="3" xfId="0" applyFont="1" applyBorder="1" applyAlignment="1">
      <alignment vertical="top"/>
    </xf>
    <xf numFmtId="189" fontId="9" fillId="0" borderId="0" xfId="0" applyNumberFormat="1" applyFont="1" applyBorder="1"/>
    <xf numFmtId="0" fontId="9" fillId="0" borderId="2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3" fontId="5" fillId="0" borderId="4" xfId="4" applyNumberFormat="1" applyFont="1" applyBorder="1" applyAlignment="1">
      <alignment horizontal="right" vertical="top" wrapText="1"/>
    </xf>
    <xf numFmtId="3" fontId="7" fillId="0" borderId="4" xfId="4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center" vertical="center"/>
    </xf>
    <xf numFmtId="0" fontId="14" fillId="0" borderId="0" xfId="0" applyFont="1" applyBorder="1"/>
    <xf numFmtId="0" fontId="15" fillId="0" borderId="0" xfId="0" applyFont="1" applyBorder="1"/>
    <xf numFmtId="0" fontId="16" fillId="0" borderId="0" xfId="0" applyFont="1" applyBorder="1"/>
    <xf numFmtId="187" fontId="14" fillId="0" borderId="0" xfId="0" applyNumberFormat="1" applyFont="1" applyBorder="1"/>
    <xf numFmtId="3" fontId="7" fillId="0" borderId="2" xfId="4" applyNumberFormat="1" applyFont="1" applyBorder="1" applyAlignment="1">
      <alignment horizontal="right" vertical="top" wrapText="1"/>
    </xf>
    <xf numFmtId="3" fontId="5" fillId="0" borderId="2" xfId="4" applyNumberFormat="1" applyFont="1" applyBorder="1" applyAlignment="1">
      <alignment horizontal="right" vertical="top" wrapText="1"/>
    </xf>
    <xf numFmtId="189" fontId="6" fillId="0" borderId="0" xfId="0" applyNumberFormat="1" applyFont="1" applyBorder="1"/>
    <xf numFmtId="189" fontId="4" fillId="0" borderId="0" xfId="0" applyNumberFormat="1" applyFont="1" applyBorder="1"/>
    <xf numFmtId="0" fontId="10" fillId="0" borderId="5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</cellXfs>
  <cellStyles count="12">
    <cellStyle name="Comma 2" xfId="1"/>
    <cellStyle name="Comma 2 2" xfId="2"/>
    <cellStyle name="Thaihead" xfId="3"/>
    <cellStyle name="เครื่องหมายจุลภาค" xfId="4" builtinId="3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ปกติ" xfId="0" builtinId="0"/>
    <cellStyle name="ปกติ 2" xfId="8"/>
    <cellStyle name="ปกติ 3" xfId="9"/>
    <cellStyle name="ปกติ 4" xfId="10"/>
    <cellStyle name="เปอร์เซ็นต์ 2" xfId="11"/>
  </cellStyles>
  <dxfs count="0"/>
  <tableStyles count="0" defaultTableStyle="TableStyleMedium9" defaultPivotStyle="PivotStyleLight16"/>
  <colors>
    <mruColors>
      <color rgb="FFCC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123825</xdr:colOff>
      <xdr:row>0</xdr:row>
      <xdr:rowOff>28575</xdr:rowOff>
    </xdr:from>
    <xdr:to>
      <xdr:col>23</xdr:col>
      <xdr:colOff>66675</xdr:colOff>
      <xdr:row>39</xdr:row>
      <xdr:rowOff>142875</xdr:rowOff>
    </xdr:to>
    <xdr:grpSp>
      <xdr:nvGrpSpPr>
        <xdr:cNvPr id="73988" name="Group 105"/>
        <xdr:cNvGrpSpPr>
          <a:grpSpLocks/>
        </xdr:cNvGrpSpPr>
      </xdr:nvGrpSpPr>
      <xdr:grpSpPr bwMode="auto">
        <a:xfrm>
          <a:off x="11446669" y="28575"/>
          <a:ext cx="514350" cy="7805738"/>
          <a:chOff x="978" y="1"/>
          <a:chExt cx="62" cy="70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6" y="89"/>
            <a:ext cx="51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8" y="666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3991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CC00FF"/>
  </sheetPr>
  <dimension ref="A1:AC42"/>
  <sheetViews>
    <sheetView showGridLines="0" tabSelected="1" zoomScale="80" zoomScaleNormal="80" workbookViewId="0">
      <selection activeCell="F43" sqref="F43"/>
    </sheetView>
  </sheetViews>
  <sheetFormatPr defaultRowHeight="21.75"/>
  <cols>
    <col min="1" max="1" width="1.7109375" style="5" customWidth="1"/>
    <col min="2" max="2" width="5.85546875" style="5" customWidth="1"/>
    <col min="3" max="3" width="4.42578125" style="5" customWidth="1"/>
    <col min="4" max="4" width="3.140625" style="5" customWidth="1"/>
    <col min="5" max="19" width="9.28515625" style="5" customWidth="1"/>
    <col min="20" max="20" width="1.140625" style="5" customWidth="1"/>
    <col min="21" max="21" width="14.140625" style="5" customWidth="1"/>
    <col min="22" max="22" width="4.42578125" style="5" customWidth="1"/>
    <col min="23" max="23" width="4.140625" style="5" customWidth="1"/>
    <col min="24" max="25" width="9.140625" style="5"/>
    <col min="26" max="26" width="10" style="5" bestFit="1" customWidth="1"/>
    <col min="27" max="28" width="9.28515625" style="5" bestFit="1" customWidth="1"/>
    <col min="29" max="16384" width="9.140625" style="5"/>
  </cols>
  <sheetData>
    <row r="1" spans="1:29" s="22" customFormat="1">
      <c r="B1" s="22" t="s">
        <v>23</v>
      </c>
      <c r="C1" s="34">
        <v>3.5</v>
      </c>
      <c r="D1" s="22" t="s">
        <v>76</v>
      </c>
    </row>
    <row r="2" spans="1:29" s="1" customFormat="1" ht="20.25" customHeight="1">
      <c r="B2" s="22" t="s">
        <v>63</v>
      </c>
      <c r="C2" s="34">
        <v>3.5</v>
      </c>
      <c r="D2" s="22" t="s">
        <v>77</v>
      </c>
      <c r="E2" s="22"/>
    </row>
    <row r="3" spans="1:29" ht="5.25" customHeight="1"/>
    <row r="4" spans="1:29" s="3" customFormat="1" ht="15" customHeight="1">
      <c r="A4" s="99" t="s">
        <v>20</v>
      </c>
      <c r="B4" s="99"/>
      <c r="C4" s="99"/>
      <c r="D4" s="100"/>
      <c r="E4" s="35"/>
      <c r="F4" s="19"/>
      <c r="G4" s="12"/>
      <c r="H4" s="105" t="s">
        <v>22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82" t="s">
        <v>21</v>
      </c>
      <c r="U4" s="83"/>
    </row>
    <row r="5" spans="1:29" s="3" customFormat="1" ht="17.25" customHeight="1">
      <c r="A5" s="101"/>
      <c r="B5" s="101"/>
      <c r="C5" s="101"/>
      <c r="D5" s="102"/>
      <c r="E5" s="11"/>
      <c r="G5" s="16"/>
      <c r="H5" s="30"/>
      <c r="I5" s="19"/>
      <c r="J5" s="31"/>
      <c r="K5" s="91" t="s">
        <v>2</v>
      </c>
      <c r="L5" s="92"/>
      <c r="M5" s="93"/>
      <c r="N5" s="30"/>
      <c r="O5" s="19"/>
      <c r="P5" s="31"/>
      <c r="T5" s="84"/>
      <c r="U5" s="85"/>
    </row>
    <row r="6" spans="1:29" s="3" customFormat="1" ht="15.75" customHeight="1">
      <c r="A6" s="101"/>
      <c r="B6" s="101"/>
      <c r="C6" s="101"/>
      <c r="D6" s="102"/>
      <c r="E6" s="88" t="s">
        <v>7</v>
      </c>
      <c r="F6" s="89"/>
      <c r="G6" s="90"/>
      <c r="H6" s="88" t="s">
        <v>0</v>
      </c>
      <c r="I6" s="89"/>
      <c r="J6" s="90"/>
      <c r="K6" s="88" t="s">
        <v>3</v>
      </c>
      <c r="L6" s="89"/>
      <c r="M6" s="90"/>
      <c r="N6" s="88" t="s">
        <v>36</v>
      </c>
      <c r="O6" s="89"/>
      <c r="P6" s="90"/>
      <c r="Q6" s="76" t="s">
        <v>75</v>
      </c>
      <c r="R6" s="77"/>
      <c r="S6" s="78"/>
      <c r="T6" s="84"/>
      <c r="U6" s="85"/>
    </row>
    <row r="7" spans="1:29" s="3" customFormat="1" ht="17.25" customHeight="1">
      <c r="A7" s="101"/>
      <c r="B7" s="101"/>
      <c r="C7" s="101"/>
      <c r="D7" s="102"/>
      <c r="E7" s="88" t="s">
        <v>8</v>
      </c>
      <c r="F7" s="89"/>
      <c r="G7" s="90"/>
      <c r="H7" s="88" t="s">
        <v>1</v>
      </c>
      <c r="I7" s="89"/>
      <c r="J7" s="90"/>
      <c r="K7" s="88" t="s">
        <v>4</v>
      </c>
      <c r="L7" s="89"/>
      <c r="M7" s="90"/>
      <c r="N7" s="88" t="s">
        <v>51</v>
      </c>
      <c r="O7" s="89"/>
      <c r="P7" s="90"/>
      <c r="Q7" s="79" t="s">
        <v>72</v>
      </c>
      <c r="R7" s="80"/>
      <c r="S7" s="81"/>
      <c r="T7" s="84"/>
      <c r="U7" s="85"/>
      <c r="Z7" s="15"/>
    </row>
    <row r="8" spans="1:29" s="3" customFormat="1" ht="16.5" customHeight="1">
      <c r="A8" s="101"/>
      <c r="B8" s="101"/>
      <c r="C8" s="101"/>
      <c r="D8" s="102"/>
      <c r="E8" s="54"/>
      <c r="G8" s="16"/>
      <c r="H8" s="88" t="s">
        <v>5</v>
      </c>
      <c r="I8" s="89"/>
      <c r="J8" s="90"/>
      <c r="K8" s="88" t="s">
        <v>9</v>
      </c>
      <c r="L8" s="89"/>
      <c r="M8" s="90"/>
      <c r="N8" s="88" t="s">
        <v>34</v>
      </c>
      <c r="O8" s="89"/>
      <c r="P8" s="90"/>
      <c r="Q8" s="76" t="s">
        <v>73</v>
      </c>
      <c r="R8" s="77"/>
      <c r="S8" s="78"/>
      <c r="T8" s="84"/>
      <c r="U8" s="85"/>
      <c r="Z8" s="65"/>
    </row>
    <row r="9" spans="1:29" s="3" customFormat="1" ht="14.25" customHeight="1">
      <c r="A9" s="101"/>
      <c r="B9" s="101"/>
      <c r="C9" s="101"/>
      <c r="D9" s="102"/>
      <c r="E9" s="17"/>
      <c r="F9" s="14"/>
      <c r="G9" s="18"/>
      <c r="H9" s="94" t="s">
        <v>6</v>
      </c>
      <c r="I9" s="95"/>
      <c r="J9" s="96"/>
      <c r="K9" s="94" t="s">
        <v>6</v>
      </c>
      <c r="L9" s="95"/>
      <c r="M9" s="96"/>
      <c r="N9" s="88" t="s">
        <v>35</v>
      </c>
      <c r="O9" s="89"/>
      <c r="P9" s="90"/>
      <c r="Q9" s="73" t="s">
        <v>74</v>
      </c>
      <c r="R9" s="74"/>
      <c r="S9" s="75"/>
      <c r="T9" s="84"/>
      <c r="U9" s="85"/>
      <c r="Z9" s="66"/>
    </row>
    <row r="10" spans="1:29" s="3" customFormat="1" ht="13.5" customHeight="1">
      <c r="A10" s="101"/>
      <c r="B10" s="101"/>
      <c r="C10" s="101"/>
      <c r="D10" s="102"/>
      <c r="E10" s="29" t="s">
        <v>7</v>
      </c>
      <c r="F10" s="23" t="s">
        <v>16</v>
      </c>
      <c r="G10" s="24" t="s">
        <v>17</v>
      </c>
      <c r="H10" s="29" t="s">
        <v>7</v>
      </c>
      <c r="I10" s="29" t="s">
        <v>16</v>
      </c>
      <c r="J10" s="64" t="s">
        <v>17</v>
      </c>
      <c r="K10" s="29" t="s">
        <v>7</v>
      </c>
      <c r="L10" s="29" t="s">
        <v>16</v>
      </c>
      <c r="M10" s="64" t="s">
        <v>17</v>
      </c>
      <c r="N10" s="29" t="s">
        <v>7</v>
      </c>
      <c r="O10" s="29" t="s">
        <v>16</v>
      </c>
      <c r="P10" s="29" t="s">
        <v>17</v>
      </c>
      <c r="Q10" s="29" t="s">
        <v>7</v>
      </c>
      <c r="R10" s="29" t="s">
        <v>16</v>
      </c>
      <c r="S10" s="25" t="s">
        <v>17</v>
      </c>
      <c r="T10" s="84"/>
      <c r="U10" s="85"/>
      <c r="X10" s="1"/>
      <c r="Y10" s="1"/>
      <c r="Z10" s="66"/>
    </row>
    <row r="11" spans="1:29" s="3" customFormat="1" ht="13.5" customHeight="1">
      <c r="A11" s="103"/>
      <c r="B11" s="103"/>
      <c r="C11" s="103"/>
      <c r="D11" s="104"/>
      <c r="E11" s="27" t="s">
        <v>8</v>
      </c>
      <c r="F11" s="26" t="s">
        <v>18</v>
      </c>
      <c r="G11" s="26" t="s">
        <v>19</v>
      </c>
      <c r="H11" s="27" t="s">
        <v>8</v>
      </c>
      <c r="I11" s="27" t="s">
        <v>18</v>
      </c>
      <c r="J11" s="26" t="s">
        <v>19</v>
      </c>
      <c r="K11" s="27" t="s">
        <v>8</v>
      </c>
      <c r="L11" s="27" t="s">
        <v>18</v>
      </c>
      <c r="M11" s="26" t="s">
        <v>19</v>
      </c>
      <c r="N11" s="27" t="s">
        <v>8</v>
      </c>
      <c r="O11" s="27" t="s">
        <v>18</v>
      </c>
      <c r="P11" s="26" t="s">
        <v>19</v>
      </c>
      <c r="Q11" s="27" t="s">
        <v>8</v>
      </c>
      <c r="R11" s="27" t="s">
        <v>18</v>
      </c>
      <c r="S11" s="32" t="s">
        <v>19</v>
      </c>
      <c r="T11" s="86"/>
      <c r="U11" s="87"/>
      <c r="Z11" s="67"/>
    </row>
    <row r="12" spans="1:29" s="3" customFormat="1" ht="3" customHeight="1">
      <c r="A12" s="20"/>
      <c r="B12" s="20"/>
      <c r="C12" s="20"/>
      <c r="D12" s="21"/>
      <c r="E12" s="28"/>
      <c r="F12" s="24"/>
      <c r="G12" s="24"/>
      <c r="H12" s="28"/>
      <c r="I12" s="28"/>
      <c r="J12" s="64"/>
      <c r="K12" s="28"/>
      <c r="L12" s="28"/>
      <c r="M12" s="64"/>
      <c r="N12" s="28"/>
      <c r="O12" s="28"/>
      <c r="P12" s="64"/>
      <c r="Q12" s="28"/>
      <c r="R12" s="28"/>
      <c r="S12" s="25"/>
      <c r="T12" s="13"/>
    </row>
    <row r="13" spans="1:29" s="15" customFormat="1" ht="16.5" customHeight="1">
      <c r="A13" s="97" t="s">
        <v>33</v>
      </c>
      <c r="B13" s="97"/>
      <c r="C13" s="97"/>
      <c r="D13" s="98"/>
      <c r="E13" s="51">
        <f>SUM(E14,E19,E26,E30)</f>
        <v>239012</v>
      </c>
      <c r="F13" s="51">
        <f>SUM(F14,F19,F26,F30)</f>
        <v>118795</v>
      </c>
      <c r="G13" s="51">
        <f>SUM(G14,G19,G26,G30)</f>
        <v>119907</v>
      </c>
      <c r="H13" s="51">
        <f t="shared" ref="H13:P13" si="0">SUM(H14,H19,H26,H30)</f>
        <v>158534</v>
      </c>
      <c r="I13" s="51">
        <f>SUM(I14,I19,I26,I30)</f>
        <v>78324</v>
      </c>
      <c r="J13" s="51">
        <f t="shared" si="0"/>
        <v>80210</v>
      </c>
      <c r="K13" s="51">
        <f>SUM(K14,K19,K26,K30)</f>
        <v>61908</v>
      </c>
      <c r="L13" s="51">
        <f>SUM(L14,L19,L26,L30)</f>
        <v>31522</v>
      </c>
      <c r="M13" s="51">
        <f t="shared" si="0"/>
        <v>30386</v>
      </c>
      <c r="N13" s="51">
        <f>SUM(N14,N19,N26,N30)</f>
        <v>18260</v>
      </c>
      <c r="O13" s="51">
        <f t="shared" si="0"/>
        <v>8949</v>
      </c>
      <c r="P13" s="51">
        <f t="shared" si="0"/>
        <v>9311</v>
      </c>
      <c r="Q13" s="51">
        <f>SUM(Q14,Q19,Q26,Q30)</f>
        <v>310</v>
      </c>
      <c r="R13" s="51" t="s">
        <v>79</v>
      </c>
      <c r="S13" s="51" t="s">
        <v>79</v>
      </c>
      <c r="T13" s="57"/>
      <c r="U13" s="36" t="s">
        <v>8</v>
      </c>
      <c r="V13" s="33"/>
      <c r="X13" s="58"/>
      <c r="Z13" s="58"/>
    </row>
    <row r="14" spans="1:29" s="15" customFormat="1" ht="15.75" customHeight="1">
      <c r="A14" s="41" t="s">
        <v>14</v>
      </c>
      <c r="B14" s="36"/>
      <c r="C14" s="36"/>
      <c r="D14" s="37"/>
      <c r="E14" s="53">
        <f>SUM(H14,K14,N14,Q14)</f>
        <v>44100</v>
      </c>
      <c r="F14" s="51">
        <f>SUM(I14,L14,O14,R14)</f>
        <v>22938</v>
      </c>
      <c r="G14" s="53">
        <f t="shared" ref="G14:G25" si="1">SUM(J14,M14,P14,S14)</f>
        <v>21033</v>
      </c>
      <c r="H14" s="62">
        <f>SUM(H15:H18)</f>
        <v>17701</v>
      </c>
      <c r="I14" s="62">
        <f>SUM(I15:I18)</f>
        <v>9263</v>
      </c>
      <c r="J14" s="62">
        <f>SUM(J15:J18)</f>
        <v>8438</v>
      </c>
      <c r="K14" s="62">
        <v>23624</v>
      </c>
      <c r="L14" s="62">
        <v>12355</v>
      </c>
      <c r="M14" s="62">
        <v>11269</v>
      </c>
      <c r="N14" s="51">
        <f t="shared" ref="N14:P14" si="2">SUM(N15:N18)</f>
        <v>2646</v>
      </c>
      <c r="O14" s="51">
        <f t="shared" si="2"/>
        <v>1320</v>
      </c>
      <c r="P14" s="51">
        <f t="shared" si="2"/>
        <v>1326</v>
      </c>
      <c r="Q14" s="51">
        <f>160-31</f>
        <v>129</v>
      </c>
      <c r="R14" s="51" t="s">
        <v>79</v>
      </c>
      <c r="S14" s="51" t="s">
        <v>79</v>
      </c>
      <c r="T14" s="41" t="s">
        <v>15</v>
      </c>
      <c r="U14" s="36"/>
      <c r="V14" s="33"/>
      <c r="Z14" s="65"/>
      <c r="AA14" s="65"/>
      <c r="AB14" s="68"/>
    </row>
    <row r="15" spans="1:29" s="3" customFormat="1" ht="15.75" customHeight="1">
      <c r="A15" s="39"/>
      <c r="B15" s="42" t="s">
        <v>60</v>
      </c>
      <c r="C15" s="39"/>
      <c r="D15" s="38"/>
      <c r="E15" s="55">
        <f>SUM(H15,K15,N15,Q15)</f>
        <v>17433</v>
      </c>
      <c r="F15" s="52">
        <f>SUM(I15,L15,O15,R15)</f>
        <v>9121</v>
      </c>
      <c r="G15" s="55">
        <f t="shared" si="1"/>
        <v>8312</v>
      </c>
      <c r="H15" s="63">
        <f>SUM(I15:J15)</f>
        <v>8247</v>
      </c>
      <c r="I15" s="63">
        <f>742+1641+1240+737</f>
        <v>4360</v>
      </c>
      <c r="J15" s="63">
        <f>709+1421+1105+652</f>
        <v>3887</v>
      </c>
      <c r="K15" s="63">
        <v>8215</v>
      </c>
      <c r="L15" s="69">
        <v>4269</v>
      </c>
      <c r="M15" s="69">
        <v>3946</v>
      </c>
      <c r="N15" s="49">
        <f>SUM(O15:P15)</f>
        <v>971</v>
      </c>
      <c r="O15" s="49">
        <f>15+41+311+118+7</f>
        <v>492</v>
      </c>
      <c r="P15" s="49">
        <f>47+14+299+9+110</f>
        <v>479</v>
      </c>
      <c r="Q15" s="52" t="s">
        <v>79</v>
      </c>
      <c r="R15" s="52" t="s">
        <v>79</v>
      </c>
      <c r="S15" s="52" t="s">
        <v>79</v>
      </c>
      <c r="T15" s="40"/>
      <c r="U15" s="42" t="s">
        <v>30</v>
      </c>
      <c r="Y15" s="50"/>
      <c r="Z15" s="50"/>
      <c r="AA15" s="50"/>
      <c r="AB15" s="50"/>
      <c r="AC15" s="50"/>
    </row>
    <row r="16" spans="1:29" s="3" customFormat="1" ht="16.5" customHeight="1">
      <c r="A16" s="39"/>
      <c r="B16" s="42" t="s">
        <v>61</v>
      </c>
      <c r="C16" s="39"/>
      <c r="D16" s="38"/>
      <c r="E16" s="55">
        <f t="shared" ref="E16:F25" si="3">SUM(H16,K16,N16,Q16)</f>
        <v>18427</v>
      </c>
      <c r="F16" s="52">
        <f t="shared" si="3"/>
        <v>9592</v>
      </c>
      <c r="G16" s="55">
        <f t="shared" si="1"/>
        <v>8835</v>
      </c>
      <c r="H16" s="63">
        <f>SUM(I16:J16)</f>
        <v>9454</v>
      </c>
      <c r="I16" s="63">
        <f>828+1732+1379+964</f>
        <v>4903</v>
      </c>
      <c r="J16" s="63">
        <f>716+1640+1275+920</f>
        <v>4551</v>
      </c>
      <c r="K16" s="63">
        <v>7920</v>
      </c>
      <c r="L16" s="69">
        <v>4177</v>
      </c>
      <c r="M16" s="69">
        <v>3743</v>
      </c>
      <c r="N16" s="49">
        <f t="shared" ref="N16:N33" si="4">SUM(O16:P16)</f>
        <v>1053</v>
      </c>
      <c r="O16" s="49">
        <f>17+53+317+117+8</f>
        <v>512</v>
      </c>
      <c r="P16" s="49">
        <f>21+52+335+12+121</f>
        <v>541</v>
      </c>
      <c r="Q16" s="52" t="s">
        <v>79</v>
      </c>
      <c r="R16" s="52" t="s">
        <v>79</v>
      </c>
      <c r="S16" s="52" t="s">
        <v>79</v>
      </c>
      <c r="T16" s="40"/>
      <c r="U16" s="42" t="s">
        <v>31</v>
      </c>
      <c r="Y16" s="71"/>
      <c r="Z16" s="71"/>
      <c r="AA16" s="71"/>
    </row>
    <row r="17" spans="1:27" s="3" customFormat="1" ht="15" customHeight="1">
      <c r="A17" s="39"/>
      <c r="B17" s="42" t="s">
        <v>62</v>
      </c>
      <c r="C17" s="39"/>
      <c r="D17" s="38"/>
      <c r="E17" s="55">
        <f>SUM(H17,K17,N17,Q17)</f>
        <v>7810</v>
      </c>
      <c r="F17" s="52">
        <f t="shared" si="3"/>
        <v>4073</v>
      </c>
      <c r="G17" s="55">
        <f t="shared" si="1"/>
        <v>3737</v>
      </c>
      <c r="H17" s="63" t="s">
        <v>78</v>
      </c>
      <c r="I17" s="63" t="s">
        <v>78</v>
      </c>
      <c r="J17" s="63" t="s">
        <v>78</v>
      </c>
      <c r="K17" s="63">
        <v>7402</v>
      </c>
      <c r="L17" s="69">
        <v>3865</v>
      </c>
      <c r="M17" s="69">
        <v>3537</v>
      </c>
      <c r="N17" s="49">
        <f t="shared" si="4"/>
        <v>408</v>
      </c>
      <c r="O17" s="49">
        <f>36+63+90+19</f>
        <v>208</v>
      </c>
      <c r="P17" s="49">
        <f>21+47+10+122</f>
        <v>200</v>
      </c>
      <c r="Q17" s="52" t="s">
        <v>79</v>
      </c>
      <c r="R17" s="52" t="s">
        <v>79</v>
      </c>
      <c r="S17" s="52" t="s">
        <v>79</v>
      </c>
      <c r="T17" s="39"/>
      <c r="U17" s="47" t="s">
        <v>32</v>
      </c>
      <c r="Y17" s="71"/>
      <c r="Z17" s="71"/>
      <c r="AA17" s="71"/>
    </row>
    <row r="18" spans="1:27" s="3" customFormat="1" ht="15" customHeight="1">
      <c r="A18" s="39"/>
      <c r="B18" s="42" t="s">
        <v>24</v>
      </c>
      <c r="C18" s="39"/>
      <c r="D18" s="38"/>
      <c r="E18" s="55">
        <f t="shared" si="3"/>
        <v>301</v>
      </c>
      <c r="F18" s="52">
        <f t="shared" si="3"/>
        <v>152</v>
      </c>
      <c r="G18" s="55">
        <f t="shared" si="1"/>
        <v>149</v>
      </c>
      <c r="H18" s="63" t="s">
        <v>78</v>
      </c>
      <c r="I18" s="63" t="s">
        <v>78</v>
      </c>
      <c r="J18" s="63" t="s">
        <v>78</v>
      </c>
      <c r="K18" s="63">
        <v>87</v>
      </c>
      <c r="L18" s="63">
        <v>44</v>
      </c>
      <c r="M18" s="63">
        <v>43</v>
      </c>
      <c r="N18" s="49">
        <f t="shared" si="4"/>
        <v>214</v>
      </c>
      <c r="O18" s="49">
        <v>108</v>
      </c>
      <c r="P18" s="49">
        <f>16+90</f>
        <v>106</v>
      </c>
      <c r="Q18" s="52" t="s">
        <v>79</v>
      </c>
      <c r="R18" s="52" t="s">
        <v>79</v>
      </c>
      <c r="S18" s="52" t="s">
        <v>79</v>
      </c>
      <c r="T18" s="39"/>
      <c r="U18" s="47" t="s">
        <v>27</v>
      </c>
      <c r="Y18" s="71"/>
      <c r="Z18" s="71"/>
      <c r="AA18" s="71"/>
    </row>
    <row r="19" spans="1:27" s="15" customFormat="1" ht="15.75" customHeight="1">
      <c r="A19" s="43" t="s">
        <v>10</v>
      </c>
      <c r="B19" s="43"/>
      <c r="C19" s="43"/>
      <c r="D19" s="59"/>
      <c r="E19" s="53">
        <f>SUM(H19,K19,N19,Q19)</f>
        <v>116624</v>
      </c>
      <c r="F19" s="51">
        <f>SUM(I19,L19,O19,R19)</f>
        <v>60340</v>
      </c>
      <c r="G19" s="53">
        <f>SUM(J19,M19,P19,S19)</f>
        <v>56103</v>
      </c>
      <c r="H19" s="62">
        <f>SUM(H20:H25)</f>
        <v>79424</v>
      </c>
      <c r="I19" s="62">
        <f t="shared" ref="I19:J19" si="5">SUM(I20:I25)</f>
        <v>41789</v>
      </c>
      <c r="J19" s="62">
        <f t="shared" si="5"/>
        <v>37635</v>
      </c>
      <c r="K19" s="62">
        <v>23940</v>
      </c>
      <c r="L19" s="62">
        <v>12132</v>
      </c>
      <c r="M19" s="62">
        <v>11808</v>
      </c>
      <c r="N19" s="51">
        <f t="shared" ref="N19:P19" si="6">SUM(N20:N25)</f>
        <v>13079</v>
      </c>
      <c r="O19" s="51">
        <f t="shared" si="6"/>
        <v>6419</v>
      </c>
      <c r="P19" s="51">
        <f t="shared" si="6"/>
        <v>6660</v>
      </c>
      <c r="Q19" s="51">
        <f>270-89</f>
        <v>181</v>
      </c>
      <c r="R19" s="51" t="s">
        <v>79</v>
      </c>
      <c r="S19" s="51" t="s">
        <v>79</v>
      </c>
      <c r="T19" s="41" t="s">
        <v>11</v>
      </c>
      <c r="U19" s="43"/>
      <c r="V19" s="33"/>
      <c r="W19" s="33"/>
      <c r="Y19" s="72"/>
      <c r="Z19" s="72"/>
      <c r="AA19" s="72"/>
    </row>
    <row r="20" spans="1:27" s="3" customFormat="1" ht="18" customHeight="1">
      <c r="A20" s="39"/>
      <c r="B20" s="42" t="s">
        <v>25</v>
      </c>
      <c r="C20" s="39"/>
      <c r="D20" s="38"/>
      <c r="E20" s="55">
        <f t="shared" si="3"/>
        <v>19982</v>
      </c>
      <c r="F20" s="52">
        <f t="shared" si="3"/>
        <v>10461</v>
      </c>
      <c r="G20" s="55">
        <f t="shared" si="1"/>
        <v>9521</v>
      </c>
      <c r="H20" s="63">
        <f>SUM(I20:J20)</f>
        <v>13514</v>
      </c>
      <c r="I20" s="63">
        <f>1327+2400+1824+1687</f>
        <v>7238</v>
      </c>
      <c r="J20" s="63">
        <f>1119+2089+1611+1457</f>
        <v>6276</v>
      </c>
      <c r="K20" s="63">
        <v>4385</v>
      </c>
      <c r="L20" s="69">
        <v>2190</v>
      </c>
      <c r="M20" s="69">
        <v>2195</v>
      </c>
      <c r="N20" s="49">
        <f t="shared" si="4"/>
        <v>2083</v>
      </c>
      <c r="O20" s="49">
        <f>159+50+602+222</f>
        <v>1033</v>
      </c>
      <c r="P20" s="49">
        <f>137+61+679+173</f>
        <v>1050</v>
      </c>
      <c r="Q20" s="52" t="s">
        <v>79</v>
      </c>
      <c r="R20" s="52" t="s">
        <v>79</v>
      </c>
      <c r="S20" s="52" t="s">
        <v>79</v>
      </c>
      <c r="T20" s="39"/>
      <c r="U20" s="47" t="s">
        <v>28</v>
      </c>
    </row>
    <row r="21" spans="1:27" ht="17.25" customHeight="1">
      <c r="A21" s="44"/>
      <c r="B21" s="42" t="s">
        <v>26</v>
      </c>
      <c r="C21" s="44"/>
      <c r="D21" s="45"/>
      <c r="E21" s="55">
        <f t="shared" si="3"/>
        <v>19333</v>
      </c>
      <c r="F21" s="52">
        <f>SUM(I21,L21,O21,R21)</f>
        <v>10076</v>
      </c>
      <c r="G21" s="55">
        <f t="shared" si="1"/>
        <v>9257</v>
      </c>
      <c r="H21" s="63">
        <f t="shared" ref="H21:H25" si="7">SUM(I21:J21)</f>
        <v>12946</v>
      </c>
      <c r="I21" s="63">
        <f>1266+2202+1758+1643</f>
        <v>6869</v>
      </c>
      <c r="J21" s="63">
        <f>1123+1978+1579+1397</f>
        <v>6077</v>
      </c>
      <c r="K21" s="63">
        <v>4233</v>
      </c>
      <c r="L21" s="69">
        <v>2129</v>
      </c>
      <c r="M21" s="69">
        <v>2104</v>
      </c>
      <c r="N21" s="49">
        <f t="shared" si="4"/>
        <v>2154</v>
      </c>
      <c r="O21" s="49">
        <f>160+76+655+187</f>
        <v>1078</v>
      </c>
      <c r="P21" s="49">
        <f>138+88+657+193</f>
        <v>1076</v>
      </c>
      <c r="Q21" s="52" t="s">
        <v>79</v>
      </c>
      <c r="R21" s="52" t="s">
        <v>79</v>
      </c>
      <c r="S21" s="52" t="s">
        <v>79</v>
      </c>
      <c r="T21" s="44"/>
      <c r="U21" s="47" t="s">
        <v>29</v>
      </c>
    </row>
    <row r="22" spans="1:27" ht="17.25" customHeight="1">
      <c r="A22" s="43"/>
      <c r="B22" s="42" t="s">
        <v>40</v>
      </c>
      <c r="C22" s="44"/>
      <c r="D22" s="45"/>
      <c r="E22" s="55">
        <f t="shared" si="3"/>
        <v>19740</v>
      </c>
      <c r="F22" s="52">
        <f t="shared" si="3"/>
        <v>10118</v>
      </c>
      <c r="G22" s="55">
        <f t="shared" si="1"/>
        <v>9622</v>
      </c>
      <c r="H22" s="63">
        <f t="shared" si="7"/>
        <v>13496</v>
      </c>
      <c r="I22" s="63">
        <f>1259+2196+1822+1712</f>
        <v>6989</v>
      </c>
      <c r="J22" s="63">
        <f>1217+2026+1655+1609</f>
        <v>6507</v>
      </c>
      <c r="K22" s="63">
        <v>4091</v>
      </c>
      <c r="L22" s="69">
        <v>2052</v>
      </c>
      <c r="M22" s="69">
        <v>2039</v>
      </c>
      <c r="N22" s="49">
        <f t="shared" si="4"/>
        <v>2153</v>
      </c>
      <c r="O22" s="49">
        <f>157+54+648+218</f>
        <v>1077</v>
      </c>
      <c r="P22" s="49">
        <f>141+73+639+223</f>
        <v>1076</v>
      </c>
      <c r="Q22" s="52" t="s">
        <v>79</v>
      </c>
      <c r="R22" s="52" t="s">
        <v>79</v>
      </c>
      <c r="S22" s="52" t="s">
        <v>79</v>
      </c>
      <c r="T22" s="44"/>
      <c r="U22" s="47" t="s">
        <v>52</v>
      </c>
    </row>
    <row r="23" spans="1:27" ht="17.25" customHeight="1">
      <c r="A23" s="44"/>
      <c r="B23" s="42" t="s">
        <v>41</v>
      </c>
      <c r="C23" s="44"/>
      <c r="D23" s="45"/>
      <c r="E23" s="55">
        <f t="shared" si="3"/>
        <v>19166</v>
      </c>
      <c r="F23" s="52">
        <f t="shared" si="3"/>
        <v>9868</v>
      </c>
      <c r="G23" s="55">
        <f t="shared" si="1"/>
        <v>9298</v>
      </c>
      <c r="H23" s="63">
        <f t="shared" si="7"/>
        <v>13080</v>
      </c>
      <c r="I23" s="63">
        <f>1289+2008+1880+1607</f>
        <v>6784</v>
      </c>
      <c r="J23" s="63">
        <f>1227+1912+1699+1458</f>
        <v>6296</v>
      </c>
      <c r="K23" s="63">
        <v>3884</v>
      </c>
      <c r="L23" s="69">
        <v>2041</v>
      </c>
      <c r="M23" s="69">
        <v>1843</v>
      </c>
      <c r="N23" s="49">
        <f t="shared" si="4"/>
        <v>2202</v>
      </c>
      <c r="O23" s="49">
        <f>138+62+637+206</f>
        <v>1043</v>
      </c>
      <c r="P23" s="49">
        <f>154+56+710+239</f>
        <v>1159</v>
      </c>
      <c r="Q23" s="52" t="s">
        <v>79</v>
      </c>
      <c r="R23" s="52" t="s">
        <v>79</v>
      </c>
      <c r="S23" s="52" t="s">
        <v>79</v>
      </c>
      <c r="T23" s="44"/>
      <c r="U23" s="47" t="s">
        <v>53</v>
      </c>
    </row>
    <row r="24" spans="1:27" ht="17.25" customHeight="1">
      <c r="A24" s="44"/>
      <c r="B24" s="42" t="s">
        <v>42</v>
      </c>
      <c r="C24" s="44"/>
      <c r="D24" s="45"/>
      <c r="E24" s="55">
        <f t="shared" si="3"/>
        <v>19267</v>
      </c>
      <c r="F24" s="52">
        <f t="shared" si="3"/>
        <v>10077</v>
      </c>
      <c r="G24" s="55">
        <f t="shared" si="1"/>
        <v>9190</v>
      </c>
      <c r="H24" s="63">
        <f t="shared" si="7"/>
        <v>13338</v>
      </c>
      <c r="I24" s="63">
        <f>1372+2123+1862+1698</f>
        <v>7055</v>
      </c>
      <c r="J24" s="63">
        <f>1260+1870+1666+1487</f>
        <v>6283</v>
      </c>
      <c r="K24" s="63">
        <v>3700</v>
      </c>
      <c r="L24" s="69">
        <v>1917</v>
      </c>
      <c r="M24" s="69">
        <v>1783</v>
      </c>
      <c r="N24" s="49">
        <f t="shared" si="4"/>
        <v>2229</v>
      </c>
      <c r="O24" s="49">
        <f>181+55+632+237</f>
        <v>1105</v>
      </c>
      <c r="P24" s="49">
        <f>157+63+681+223</f>
        <v>1124</v>
      </c>
      <c r="Q24" s="52" t="s">
        <v>79</v>
      </c>
      <c r="R24" s="52" t="s">
        <v>79</v>
      </c>
      <c r="S24" s="52" t="s">
        <v>79</v>
      </c>
      <c r="T24" s="44"/>
      <c r="U24" s="47" t="s">
        <v>54</v>
      </c>
    </row>
    <row r="25" spans="1:27" ht="18" customHeight="1">
      <c r="A25" s="44"/>
      <c r="B25" s="42" t="s">
        <v>43</v>
      </c>
      <c r="C25" s="44"/>
      <c r="D25" s="45"/>
      <c r="E25" s="55">
        <f t="shared" si="3"/>
        <v>18955</v>
      </c>
      <c r="F25" s="52">
        <f t="shared" si="3"/>
        <v>9740</v>
      </c>
      <c r="G25" s="55">
        <f t="shared" si="1"/>
        <v>9215</v>
      </c>
      <c r="H25" s="63">
        <f t="shared" si="7"/>
        <v>13050</v>
      </c>
      <c r="I25" s="63">
        <f>1365+2035+1844+1610</f>
        <v>6854</v>
      </c>
      <c r="J25" s="63">
        <f>1267+1831+1662+1436</f>
        <v>6196</v>
      </c>
      <c r="K25" s="63">
        <v>3647</v>
      </c>
      <c r="L25" s="69">
        <v>1803</v>
      </c>
      <c r="M25" s="69">
        <v>1844</v>
      </c>
      <c r="N25" s="49">
        <f t="shared" si="4"/>
        <v>2258</v>
      </c>
      <c r="O25" s="49">
        <f>149+73+599+262</f>
        <v>1083</v>
      </c>
      <c r="P25" s="49">
        <f>170+64+690+251</f>
        <v>1175</v>
      </c>
      <c r="Q25" s="52" t="s">
        <v>79</v>
      </c>
      <c r="R25" s="52" t="s">
        <v>79</v>
      </c>
      <c r="S25" s="52" t="s">
        <v>79</v>
      </c>
      <c r="T25" s="44"/>
      <c r="U25" s="47" t="s">
        <v>55</v>
      </c>
    </row>
    <row r="26" spans="1:27" s="22" customFormat="1" ht="17.25" customHeight="1">
      <c r="A26" s="43" t="s">
        <v>49</v>
      </c>
      <c r="B26" s="43"/>
      <c r="C26" s="60"/>
      <c r="D26" s="61"/>
      <c r="E26" s="53">
        <f>SUM(H26,K26,N26,Q26)</f>
        <v>52749</v>
      </c>
      <c r="F26" s="51">
        <f t="shared" ref="F26:G33" si="8">SUM(I26,L26,O26,R26)</f>
        <v>26127</v>
      </c>
      <c r="G26" s="53">
        <f>SUM(J26,M26,P26,S26)</f>
        <v>26622</v>
      </c>
      <c r="H26" s="62">
        <f>SUM(H27:H29)</f>
        <v>40626</v>
      </c>
      <c r="I26" s="62">
        <f t="shared" ref="I26:J26" si="9">SUM(I27:I29)</f>
        <v>19809</v>
      </c>
      <c r="J26" s="62">
        <f t="shared" si="9"/>
        <v>20817</v>
      </c>
      <c r="K26" s="70">
        <v>10332</v>
      </c>
      <c r="L26" s="70">
        <v>5388</v>
      </c>
      <c r="M26" s="70">
        <v>4944</v>
      </c>
      <c r="N26" s="48">
        <f t="shared" ref="N26:P26" si="10">SUM(N27:N29)</f>
        <v>1791</v>
      </c>
      <c r="O26" s="48">
        <f t="shared" si="10"/>
        <v>930</v>
      </c>
      <c r="P26" s="48">
        <f t="shared" si="10"/>
        <v>861</v>
      </c>
      <c r="Q26" s="48" t="s">
        <v>78</v>
      </c>
      <c r="R26" s="48" t="s">
        <v>78</v>
      </c>
      <c r="S26" s="48" t="s">
        <v>78</v>
      </c>
      <c r="T26" s="41" t="s">
        <v>12</v>
      </c>
      <c r="U26" s="36"/>
      <c r="V26" s="33"/>
    </row>
    <row r="27" spans="1:27" ht="18" customHeight="1">
      <c r="A27" s="44"/>
      <c r="B27" s="42" t="s">
        <v>37</v>
      </c>
      <c r="C27" s="44"/>
      <c r="D27" s="45"/>
      <c r="E27" s="55">
        <f>SUM(H27,K27,N27,Q27)</f>
        <v>18235</v>
      </c>
      <c r="F27" s="52">
        <f>SUM(I27,L27,O27,R27)</f>
        <v>9231</v>
      </c>
      <c r="G27" s="55">
        <f>SUM(J27,M27,P27,S27)</f>
        <v>9004</v>
      </c>
      <c r="H27" s="63">
        <f t="shared" ref="H27:H29" si="11">SUM(I27:J27)</f>
        <v>13975</v>
      </c>
      <c r="I27" s="63">
        <f>347+818+440+506+4852</f>
        <v>6963</v>
      </c>
      <c r="J27" s="63">
        <f>237+643+310+332+5490</f>
        <v>7012</v>
      </c>
      <c r="K27" s="63">
        <v>3647</v>
      </c>
      <c r="L27" s="69">
        <v>1951</v>
      </c>
      <c r="M27" s="69">
        <v>1696</v>
      </c>
      <c r="N27" s="49">
        <f>SUM(O27:P27)</f>
        <v>613</v>
      </c>
      <c r="O27" s="49">
        <f>31+28+63+195</f>
        <v>317</v>
      </c>
      <c r="P27" s="49">
        <f>15+26+118+137</f>
        <v>296</v>
      </c>
      <c r="Q27" s="49" t="s">
        <v>78</v>
      </c>
      <c r="R27" s="49" t="s">
        <v>78</v>
      </c>
      <c r="S27" s="49" t="s">
        <v>78</v>
      </c>
      <c r="T27" s="44"/>
      <c r="U27" s="47" t="s">
        <v>47</v>
      </c>
    </row>
    <row r="28" spans="1:27" ht="16.5" customHeight="1">
      <c r="A28" s="44"/>
      <c r="B28" s="42" t="s">
        <v>38</v>
      </c>
      <c r="C28" s="44"/>
      <c r="D28" s="45"/>
      <c r="E28" s="55">
        <f t="shared" ref="E28:E33" si="12">SUM(H28,K28,N28,Q28)</f>
        <v>17753</v>
      </c>
      <c r="F28" s="52">
        <f t="shared" si="8"/>
        <v>8847</v>
      </c>
      <c r="G28" s="55">
        <f t="shared" si="8"/>
        <v>8906</v>
      </c>
      <c r="H28" s="63">
        <f t="shared" si="11"/>
        <v>13650</v>
      </c>
      <c r="I28" s="63">
        <f>314+717+414+402+4852</f>
        <v>6699</v>
      </c>
      <c r="J28" s="63">
        <f>249+518+276+294+5614</f>
        <v>6951</v>
      </c>
      <c r="K28" s="63">
        <v>3474</v>
      </c>
      <c r="L28" s="69">
        <v>1831</v>
      </c>
      <c r="M28" s="69">
        <v>1643</v>
      </c>
      <c r="N28" s="49">
        <f t="shared" si="4"/>
        <v>629</v>
      </c>
      <c r="O28" s="49">
        <f>33+35+58+191</f>
        <v>317</v>
      </c>
      <c r="P28" s="49">
        <f>18+35+125+134</f>
        <v>312</v>
      </c>
      <c r="Q28" s="49" t="s">
        <v>78</v>
      </c>
      <c r="R28" s="49" t="s">
        <v>78</v>
      </c>
      <c r="S28" s="49" t="s">
        <v>78</v>
      </c>
      <c r="T28" s="44"/>
      <c r="U28" s="47" t="s">
        <v>56</v>
      </c>
    </row>
    <row r="29" spans="1:27" ht="17.25" customHeight="1">
      <c r="A29" s="44"/>
      <c r="B29" s="42" t="s">
        <v>39</v>
      </c>
      <c r="C29" s="44"/>
      <c r="D29" s="45"/>
      <c r="E29" s="55">
        <f t="shared" si="12"/>
        <v>16761</v>
      </c>
      <c r="F29" s="52">
        <f t="shared" si="8"/>
        <v>8049</v>
      </c>
      <c r="G29" s="55">
        <f t="shared" si="8"/>
        <v>8712</v>
      </c>
      <c r="H29" s="63">
        <f t="shared" si="11"/>
        <v>13001</v>
      </c>
      <c r="I29" s="63">
        <f>290+552+327+316+4662</f>
        <v>6147</v>
      </c>
      <c r="J29" s="63">
        <f>207+474+239+289+5645</f>
        <v>6854</v>
      </c>
      <c r="K29" s="63">
        <v>3211</v>
      </c>
      <c r="L29" s="69">
        <v>1606</v>
      </c>
      <c r="M29" s="69">
        <v>1605</v>
      </c>
      <c r="N29" s="49">
        <f t="shared" si="4"/>
        <v>549</v>
      </c>
      <c r="O29" s="49">
        <f>26+42+67+161</f>
        <v>296</v>
      </c>
      <c r="P29" s="49">
        <f>23+33+102+95</f>
        <v>253</v>
      </c>
      <c r="Q29" s="49" t="s">
        <v>78</v>
      </c>
      <c r="R29" s="49" t="s">
        <v>78</v>
      </c>
      <c r="S29" s="49" t="s">
        <v>78</v>
      </c>
      <c r="T29" s="44"/>
      <c r="U29" s="47" t="s">
        <v>57</v>
      </c>
    </row>
    <row r="30" spans="1:27" s="22" customFormat="1" ht="16.5" customHeight="1">
      <c r="A30" s="43" t="s">
        <v>50</v>
      </c>
      <c r="B30" s="43"/>
      <c r="C30" s="60"/>
      <c r="D30" s="61"/>
      <c r="E30" s="53">
        <f t="shared" si="12"/>
        <v>25539</v>
      </c>
      <c r="F30" s="51">
        <f t="shared" si="8"/>
        <v>9390</v>
      </c>
      <c r="G30" s="53">
        <f t="shared" si="8"/>
        <v>16149</v>
      </c>
      <c r="H30" s="62">
        <f>SUM(H31:H33)</f>
        <v>20783</v>
      </c>
      <c r="I30" s="62">
        <f t="shared" ref="I30:J30" si="13">SUM(I31:I33)</f>
        <v>7463</v>
      </c>
      <c r="J30" s="62">
        <f t="shared" si="13"/>
        <v>13320</v>
      </c>
      <c r="K30" s="70">
        <v>4012</v>
      </c>
      <c r="L30" s="70">
        <v>1647</v>
      </c>
      <c r="M30" s="70">
        <v>2365</v>
      </c>
      <c r="N30" s="48">
        <f t="shared" ref="N30:P30" si="14">SUM(N31:N33)</f>
        <v>744</v>
      </c>
      <c r="O30" s="48">
        <f t="shared" si="14"/>
        <v>280</v>
      </c>
      <c r="P30" s="48">
        <f t="shared" si="14"/>
        <v>464</v>
      </c>
      <c r="Q30" s="48" t="s">
        <v>78</v>
      </c>
      <c r="R30" s="48" t="s">
        <v>78</v>
      </c>
      <c r="S30" s="48" t="s">
        <v>78</v>
      </c>
      <c r="T30" s="41" t="s">
        <v>13</v>
      </c>
      <c r="U30" s="36"/>
      <c r="V30" s="33"/>
    </row>
    <row r="31" spans="1:27" ht="17.25" customHeight="1">
      <c r="A31" s="44"/>
      <c r="B31" s="42" t="s">
        <v>44</v>
      </c>
      <c r="C31" s="44"/>
      <c r="D31" s="45"/>
      <c r="E31" s="55">
        <f t="shared" si="12"/>
        <v>8884</v>
      </c>
      <c r="F31" s="52">
        <f t="shared" si="8"/>
        <v>3357</v>
      </c>
      <c r="G31" s="55">
        <f t="shared" si="8"/>
        <v>5527</v>
      </c>
      <c r="H31" s="63">
        <f>SUM(I31:J31)</f>
        <v>7121</v>
      </c>
      <c r="I31" s="63">
        <f>2630</f>
        <v>2630</v>
      </c>
      <c r="J31" s="63">
        <f>4491</f>
        <v>4491</v>
      </c>
      <c r="K31" s="63">
        <v>1509</v>
      </c>
      <c r="L31" s="69">
        <v>634</v>
      </c>
      <c r="M31" s="69">
        <v>875</v>
      </c>
      <c r="N31" s="49">
        <f t="shared" si="4"/>
        <v>254</v>
      </c>
      <c r="O31" s="49">
        <f>30+42+21</f>
        <v>93</v>
      </c>
      <c r="P31" s="49">
        <f>30+84+47</f>
        <v>161</v>
      </c>
      <c r="Q31" s="49" t="s">
        <v>78</v>
      </c>
      <c r="R31" s="49" t="s">
        <v>78</v>
      </c>
      <c r="S31" s="49" t="s">
        <v>78</v>
      </c>
      <c r="T31" s="44"/>
      <c r="U31" s="47" t="s">
        <v>48</v>
      </c>
    </row>
    <row r="32" spans="1:27" ht="15.75" customHeight="1">
      <c r="A32" s="44"/>
      <c r="B32" s="42" t="s">
        <v>45</v>
      </c>
      <c r="C32" s="44"/>
      <c r="D32" s="45"/>
      <c r="E32" s="55">
        <f t="shared" si="12"/>
        <v>8320</v>
      </c>
      <c r="F32" s="52">
        <f t="shared" si="8"/>
        <v>3036</v>
      </c>
      <c r="G32" s="55">
        <f t="shared" si="8"/>
        <v>5284</v>
      </c>
      <c r="H32" s="63">
        <f t="shared" ref="H32:H33" si="15">SUM(I32:J32)</f>
        <v>6813</v>
      </c>
      <c r="I32" s="63">
        <f>2445</f>
        <v>2445</v>
      </c>
      <c r="J32" s="63">
        <f>4368</f>
        <v>4368</v>
      </c>
      <c r="K32" s="63">
        <v>1246</v>
      </c>
      <c r="L32" s="69">
        <v>491</v>
      </c>
      <c r="M32" s="69">
        <v>755</v>
      </c>
      <c r="N32" s="49">
        <f t="shared" si="4"/>
        <v>261</v>
      </c>
      <c r="O32" s="49">
        <f>27+55+18</f>
        <v>100</v>
      </c>
      <c r="P32" s="49">
        <f>91+30+40</f>
        <v>161</v>
      </c>
      <c r="Q32" s="49" t="s">
        <v>78</v>
      </c>
      <c r="R32" s="49" t="s">
        <v>78</v>
      </c>
      <c r="S32" s="49" t="s">
        <v>78</v>
      </c>
      <c r="T32" s="44"/>
      <c r="U32" s="47" t="s">
        <v>58</v>
      </c>
    </row>
    <row r="33" spans="1:21" ht="19.5" customHeight="1">
      <c r="A33" s="44"/>
      <c r="B33" s="42" t="s">
        <v>46</v>
      </c>
      <c r="C33" s="44"/>
      <c r="D33" s="45"/>
      <c r="E33" s="56">
        <f t="shared" si="12"/>
        <v>8335</v>
      </c>
      <c r="F33" s="52">
        <f t="shared" si="8"/>
        <v>2997</v>
      </c>
      <c r="G33" s="49">
        <f t="shared" si="8"/>
        <v>5338</v>
      </c>
      <c r="H33" s="63">
        <f t="shared" si="15"/>
        <v>6849</v>
      </c>
      <c r="I33" s="63">
        <f>2388</f>
        <v>2388</v>
      </c>
      <c r="J33" s="63">
        <f>4461</f>
        <v>4461</v>
      </c>
      <c r="K33" s="63">
        <v>1257</v>
      </c>
      <c r="L33" s="69">
        <v>522</v>
      </c>
      <c r="M33" s="69">
        <v>735</v>
      </c>
      <c r="N33" s="49">
        <f t="shared" si="4"/>
        <v>229</v>
      </c>
      <c r="O33" s="49">
        <f>23+54+10</f>
        <v>87</v>
      </c>
      <c r="P33" s="49">
        <f>89+30+23</f>
        <v>142</v>
      </c>
      <c r="Q33" s="49" t="s">
        <v>78</v>
      </c>
      <c r="R33" s="49" t="s">
        <v>78</v>
      </c>
      <c r="S33" s="49" t="s">
        <v>78</v>
      </c>
      <c r="T33" s="44"/>
      <c r="U33" s="47" t="s">
        <v>59</v>
      </c>
    </row>
    <row r="34" spans="1:21" ht="3" customHeight="1">
      <c r="A34" s="6"/>
      <c r="B34" s="6"/>
      <c r="C34" s="6"/>
      <c r="D34" s="6"/>
      <c r="E34" s="8"/>
      <c r="F34" s="6"/>
      <c r="G34" s="7"/>
      <c r="H34" s="9"/>
      <c r="I34" s="9"/>
      <c r="J34" s="7"/>
      <c r="K34" s="9"/>
      <c r="L34" s="9"/>
      <c r="M34" s="7"/>
      <c r="N34" s="9"/>
      <c r="O34" s="9"/>
      <c r="P34" s="7"/>
      <c r="Q34" s="9"/>
      <c r="R34" s="9"/>
      <c r="S34" s="7"/>
      <c r="T34" s="6"/>
      <c r="U34" s="6"/>
    </row>
    <row r="35" spans="1:21" ht="3" customHeight="1"/>
    <row r="36" spans="1:21" ht="18.75" customHeight="1">
      <c r="B36" s="2" t="s">
        <v>66</v>
      </c>
      <c r="C36" s="2"/>
      <c r="D36" s="2"/>
      <c r="E36" s="4"/>
      <c r="F36" s="4"/>
      <c r="G36" s="4"/>
      <c r="H36" s="2"/>
      <c r="K36" s="2" t="s">
        <v>68</v>
      </c>
      <c r="L36" s="4"/>
      <c r="M36" s="4"/>
      <c r="N36" s="4"/>
      <c r="O36" s="4"/>
      <c r="P36" s="46"/>
    </row>
    <row r="37" spans="1:21" ht="18.75" customHeight="1">
      <c r="B37" s="2" t="s">
        <v>67</v>
      </c>
      <c r="C37" s="2"/>
      <c r="D37" s="2"/>
      <c r="E37" s="4"/>
      <c r="F37" s="4"/>
      <c r="G37" s="4"/>
      <c r="H37" s="2"/>
      <c r="K37" s="2" t="s">
        <v>69</v>
      </c>
      <c r="L37" s="4"/>
      <c r="M37" s="4"/>
      <c r="N37" s="4"/>
      <c r="O37" s="4"/>
      <c r="P37" s="2"/>
    </row>
    <row r="38" spans="1:21" ht="18.75" customHeight="1">
      <c r="B38" s="2" t="s">
        <v>64</v>
      </c>
      <c r="C38" s="2"/>
      <c r="D38" s="2"/>
      <c r="E38" s="4"/>
      <c r="F38" s="4"/>
      <c r="G38" s="4"/>
      <c r="H38" s="2"/>
      <c r="K38" s="2" t="s">
        <v>65</v>
      </c>
      <c r="L38" s="4"/>
      <c r="M38" s="4"/>
      <c r="N38" s="4"/>
      <c r="O38" s="4"/>
      <c r="P38" s="2"/>
    </row>
    <row r="39" spans="1:21" s="10" customFormat="1" ht="18.75" customHeight="1">
      <c r="B39" s="10" t="s">
        <v>70</v>
      </c>
      <c r="C39" s="3"/>
      <c r="K39" s="2" t="s">
        <v>71</v>
      </c>
      <c r="L39" s="2"/>
      <c r="M39" s="2"/>
      <c r="N39" s="2"/>
      <c r="O39" s="2"/>
      <c r="P39" s="2"/>
    </row>
    <row r="40" spans="1:21" s="10" customFormat="1" ht="15.75" customHeight="1">
      <c r="C40" s="3"/>
      <c r="K40" s="2"/>
      <c r="L40" s="2"/>
      <c r="M40" s="2"/>
      <c r="N40" s="2"/>
      <c r="O40" s="2"/>
      <c r="P40" s="2"/>
    </row>
    <row r="41" spans="1:21">
      <c r="K41" s="2"/>
      <c r="L41" s="4"/>
      <c r="M41" s="4"/>
      <c r="N41" s="4"/>
      <c r="O41" s="4"/>
      <c r="P41" s="2"/>
    </row>
    <row r="42" spans="1:21">
      <c r="K42" s="2"/>
      <c r="L42" s="4"/>
      <c r="M42" s="4"/>
      <c r="N42" s="4"/>
      <c r="O42" s="4"/>
      <c r="P42" s="2"/>
    </row>
  </sheetData>
  <mergeCells count="23">
    <mergeCell ref="A13:D13"/>
    <mergeCell ref="A4:D11"/>
    <mergeCell ref="E6:G6"/>
    <mergeCell ref="H4:S4"/>
    <mergeCell ref="N7:P7"/>
    <mergeCell ref="E7:G7"/>
    <mergeCell ref="Q6:S6"/>
    <mergeCell ref="Q9:S9"/>
    <mergeCell ref="H6:J6"/>
    <mergeCell ref="H7:J7"/>
    <mergeCell ref="H8:J8"/>
    <mergeCell ref="K7:M7"/>
    <mergeCell ref="N6:P6"/>
    <mergeCell ref="H9:J9"/>
    <mergeCell ref="T4:U11"/>
    <mergeCell ref="Q8:S8"/>
    <mergeCell ref="K6:M6"/>
    <mergeCell ref="Q7:S7"/>
    <mergeCell ref="N9:P9"/>
    <mergeCell ref="K5:M5"/>
    <mergeCell ref="K9:M9"/>
    <mergeCell ref="K8:M8"/>
    <mergeCell ref="N8:P8"/>
  </mergeCells>
  <phoneticPr fontId="2" type="noConversion"/>
  <printOptions horizontalCentered="1"/>
  <pageMargins left="0.39370078740157483" right="0.39370078740157483" top="0.78740157480314965" bottom="0.19685039370078741" header="0.51181102362204722" footer="0.43307086614173229"/>
  <pageSetup paperSize="9" scale="85" orientation="landscape" r:id="rId1"/>
  <headerFooter alignWithMargins="0"/>
  <rowBreaks count="1" manualBreakCount="1">
    <brk id="3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2017-11-02T09:13:07Z</cp:lastPrinted>
  <dcterms:created xsi:type="dcterms:W3CDTF">1997-06-13T10:07:54Z</dcterms:created>
  <dcterms:modified xsi:type="dcterms:W3CDTF">2017-11-29T10:07:05Z</dcterms:modified>
</cp:coreProperties>
</file>