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5 (2)k" sheetId="35" r:id="rId1"/>
  </sheets>
  <definedNames>
    <definedName name="_xlnm.Print_Area" localSheetId="0">'T-3.5 (2)k'!$A$1:$U$37</definedName>
  </definedNames>
  <calcPr calcId="144525"/>
</workbook>
</file>

<file path=xl/calcChain.xml><?xml version="1.0" encoding="utf-8"?>
<calcChain xmlns="http://schemas.openxmlformats.org/spreadsheetml/2006/main">
  <c r="M33" i="35" l="1"/>
  <c r="L33" i="35"/>
  <c r="M32" i="35"/>
  <c r="L32" i="35"/>
  <c r="M31" i="35"/>
  <c r="L31" i="35"/>
  <c r="M29" i="35"/>
  <c r="L29" i="35"/>
  <c r="M28" i="35"/>
  <c r="L28" i="35"/>
  <c r="M27" i="35"/>
  <c r="L27" i="35"/>
  <c r="M25" i="35"/>
  <c r="L25" i="35"/>
  <c r="M24" i="35"/>
  <c r="L24" i="35"/>
  <c r="M23" i="35"/>
  <c r="L23" i="35"/>
  <c r="M22" i="35"/>
  <c r="L22" i="35"/>
  <c r="M21" i="35"/>
  <c r="L21" i="35"/>
  <c r="M20" i="35"/>
  <c r="L20" i="35"/>
  <c r="M17" i="35"/>
  <c r="L17" i="35"/>
  <c r="M16" i="35"/>
  <c r="L16" i="35"/>
  <c r="M15" i="35"/>
  <c r="L15" i="35"/>
  <c r="J25" i="35"/>
  <c r="I25" i="35"/>
  <c r="J24" i="35"/>
  <c r="I24" i="35"/>
  <c r="J23" i="35"/>
  <c r="I23" i="35"/>
  <c r="J22" i="35"/>
  <c r="I22" i="35"/>
  <c r="J21" i="35"/>
  <c r="I21" i="35"/>
  <c r="J20" i="35"/>
  <c r="I20" i="35"/>
  <c r="J16" i="35"/>
  <c r="G16" i="35" s="1"/>
  <c r="J15" i="35"/>
  <c r="I16" i="35"/>
  <c r="I15" i="35"/>
  <c r="J29" i="35"/>
  <c r="J28" i="35"/>
  <c r="J27" i="35"/>
  <c r="I29" i="35"/>
  <c r="I28" i="35"/>
  <c r="I27" i="35"/>
  <c r="G17" i="35"/>
  <c r="J30" i="35"/>
  <c r="I30" i="35"/>
  <c r="H31" i="35"/>
  <c r="H32" i="35"/>
  <c r="H33" i="35"/>
  <c r="H30" i="35" l="1"/>
  <c r="G15" i="35"/>
  <c r="K33" i="35"/>
  <c r="G33" i="35"/>
  <c r="F33" i="35"/>
  <c r="K32" i="35"/>
  <c r="G32" i="35"/>
  <c r="F32" i="35"/>
  <c r="K31" i="35"/>
  <c r="G31" i="35"/>
  <c r="F31" i="35"/>
  <c r="M30" i="35"/>
  <c r="L30" i="35"/>
  <c r="K29" i="35"/>
  <c r="H29" i="35"/>
  <c r="G29" i="35"/>
  <c r="F29" i="35"/>
  <c r="K28" i="35"/>
  <c r="H28" i="35"/>
  <c r="G28" i="35"/>
  <c r="F28" i="35"/>
  <c r="K27" i="35"/>
  <c r="H27" i="35"/>
  <c r="G27" i="35"/>
  <c r="F27" i="35"/>
  <c r="M26" i="35"/>
  <c r="L26" i="35"/>
  <c r="J26" i="35"/>
  <c r="I26" i="35"/>
  <c r="K25" i="35"/>
  <c r="H25" i="35"/>
  <c r="G25" i="35"/>
  <c r="F25" i="35"/>
  <c r="K24" i="35"/>
  <c r="H24" i="35"/>
  <c r="G24" i="35"/>
  <c r="F24" i="35"/>
  <c r="K23" i="35"/>
  <c r="H23" i="35"/>
  <c r="G23" i="35"/>
  <c r="F23" i="35"/>
  <c r="K22" i="35"/>
  <c r="H22" i="35"/>
  <c r="G22" i="35"/>
  <c r="F22" i="35"/>
  <c r="K21" i="35"/>
  <c r="H21" i="35"/>
  <c r="G21" i="35"/>
  <c r="F21" i="35"/>
  <c r="K20" i="35"/>
  <c r="H20" i="35"/>
  <c r="G20" i="35"/>
  <c r="F20" i="35"/>
  <c r="M19" i="35"/>
  <c r="L19" i="35"/>
  <c r="J19" i="35"/>
  <c r="I19" i="35"/>
  <c r="K17" i="35"/>
  <c r="F17" i="35"/>
  <c r="K16" i="35"/>
  <c r="H16" i="35"/>
  <c r="F16" i="35"/>
  <c r="K15" i="35"/>
  <c r="H15" i="35"/>
  <c r="F15" i="35"/>
  <c r="M14" i="35"/>
  <c r="L14" i="35"/>
  <c r="J14" i="35"/>
  <c r="I14" i="35"/>
  <c r="E31" i="35" l="1"/>
  <c r="K26" i="35"/>
  <c r="F14" i="35"/>
  <c r="H14" i="35"/>
  <c r="H26" i="35"/>
  <c r="E25" i="35"/>
  <c r="G30" i="35"/>
  <c r="K30" i="35"/>
  <c r="F30" i="35"/>
  <c r="G26" i="35"/>
  <c r="E27" i="35"/>
  <c r="I13" i="35"/>
  <c r="F26" i="35"/>
  <c r="E24" i="35"/>
  <c r="G19" i="35"/>
  <c r="E23" i="35"/>
  <c r="H19" i="35"/>
  <c r="K14" i="35"/>
  <c r="E33" i="35"/>
  <c r="E32" i="35"/>
  <c r="M13" i="35"/>
  <c r="J13" i="35"/>
  <c r="E28" i="35"/>
  <c r="E29" i="35"/>
  <c r="K19" i="35"/>
  <c r="E20" i="35"/>
  <c r="E21" i="35"/>
  <c r="E22" i="35"/>
  <c r="E17" i="35"/>
  <c r="L13" i="35"/>
  <c r="E16" i="35"/>
  <c r="F19" i="35"/>
  <c r="F13" i="35" l="1"/>
  <c r="E30" i="35"/>
  <c r="H13" i="35"/>
  <c r="E19" i="35"/>
  <c r="K13" i="35"/>
  <c r="E26" i="35"/>
  <c r="E15" i="35" l="1"/>
  <c r="E14" i="35" s="1"/>
  <c r="E13" i="35" s="1"/>
  <c r="G14" i="35"/>
  <c r="G13" i="35" s="1"/>
</calcChain>
</file>

<file path=xl/sharedStrings.xml><?xml version="1.0" encoding="utf-8"?>
<sst xmlns="http://schemas.openxmlformats.org/spreadsheetml/2006/main" count="238" uniqueCount="74">
  <si>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</si>
  <si>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</si>
  <si>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</si>
  <si>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</si>
  <si>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</si>
  <si>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</si>
  <si>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</si>
  <si>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</si>
  <si>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</si>
  <si>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</si>
  <si>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</si>
  <si>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</si>
  <si>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</si>
  <si>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</si>
  <si>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</si>
  <si>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</si>
  <si>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</si>
  <si>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</si>
  <si>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</si>
  <si>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</si>
  <si>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</si>
  <si>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</si>
  <si>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</si>
  <si>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</si>
  <si>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</si>
  <si>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</si>
  <si>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</si>
  <si>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</si>
  <si>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</si>
  <si>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</si>
  <si>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</si>
  <si>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</si>
  <si>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</si>
  <si>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</si>
  <si>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</si>
  <si>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</si>
  <si>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</si>
  <si>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</si>
  <si>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</si>
  <si>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</si>
  <si>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</si>
  <si>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</si>
  <si>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</si>
  <si>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</si>
  <si>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</si>
  <si>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</si>
  <si>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</si>
  <si>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</si>
  <si>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</si>
  <si>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</si>
  <si>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</si>
  <si>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</si>
  <si>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</si>
  <si>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</si>
  <si>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</si>
  <si>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</si>
  <si>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</si>
  <si>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</si>
  <si>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</si>
  <si>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</si>
  <si>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</si>
  <si>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</si>
  <si>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</si>
  <si>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</si>
  <si>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</si>
  <si>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>นักเรียน จำแนกตามสังกัด เพศ และชั้นเรียน ปีการศึกษา 2559</t>
  </si>
  <si>
    <t>Student by Jurisdiction, Sex and Grade: Academic Year 2016</t>
  </si>
  <si>
    <t xml:space="preserve">     ที่มา:  สำนักงานเขตพื้นที่การศึกษาประถมศึกษาจังหวัดสระบุรี  เขต 1 และ 2</t>
  </si>
  <si>
    <t>Source:  Saraburi Provincial Primary Educational Service Area Office, Area 1 and 2</t>
  </si>
  <si>
    <t>-</t>
  </si>
  <si>
    <t xml:space="preserve"> -</t>
  </si>
  <si>
    <t xml:space="preserve">อื่น ๆ </t>
  </si>
  <si>
    <t xml:space="preserve">             Phathum thani Secondary Educational Service Area Office, Area 4</t>
  </si>
  <si>
    <t xml:space="preserve">             สำนักงานเขตพื้นที่การศึกษามัธยมศึกษาเขต 4  ปทุมธานี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</si>
</sst>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Border="1"/>
    <xf numFmtId="0" fontId="2" fillId="0" borderId="0" xfId="0" applyFont="1" applyBorder="1"/>
    <xf numFmtId="188" fontId="2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6" fillId="0" borderId="0" xfId="0" applyFont="1"/>
    <xf numFmtId="0" fontId="6" fillId="0" borderId="9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0" xfId="0" applyFont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6" xfId="0" applyFont="1" applyBorder="1"/>
    <xf numFmtId="3" fontId="2" fillId="0" borderId="0" xfId="0" applyNumberFormat="1" applyFont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6" fillId="0" borderId="9" xfId="0" applyFont="1" applyFill="1" applyBorder="1"/>
    <xf numFmtId="0" fontId="6" fillId="0" borderId="11" xfId="0" applyFont="1" applyFill="1" applyBorder="1"/>
    <xf numFmtId="0" fontId="6" fillId="0" borderId="10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/>
    <xf numFmtId="0" fontId="6" fillId="0" borderId="6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3" fontId="7" fillId="0" borderId="4" xfId="0" applyNumberFormat="1" applyFont="1" applyBorder="1" applyAlignment="1">
      <alignment horizontal="right" vertical="top" indent="1"/>
    </xf>
    <xf numFmtId="3" fontId="7" fillId="0" borderId="4" xfId="0" applyNumberFormat="1" applyFont="1" applyFill="1" applyBorder="1" applyAlignment="1">
      <alignment horizontal="right" vertical="top" indent="1"/>
    </xf>
    <xf numFmtId="0" fontId="7" fillId="0" borderId="4" xfId="0" applyFont="1" applyBorder="1" applyAlignment="1">
      <alignment horizontal="right" vertical="top" indent="1"/>
    </xf>
    <xf numFmtId="3" fontId="7" fillId="0" borderId="2" xfId="0" applyNumberFormat="1" applyFont="1" applyBorder="1" applyAlignment="1">
      <alignment horizontal="right" vertical="top" indent="1"/>
    </xf>
    <xf numFmtId="3" fontId="7" fillId="0" borderId="4" xfId="1" applyNumberFormat="1" applyFont="1" applyFill="1" applyBorder="1" applyAlignment="1">
      <alignment horizontal="right" vertical="top" indent="1"/>
    </xf>
    <xf numFmtId="3" fontId="6" fillId="0" borderId="4" xfId="0" applyNumberFormat="1" applyFont="1" applyBorder="1" applyAlignment="1">
      <alignment horizontal="right" vertical="top" indent="1"/>
    </xf>
    <xf numFmtId="3" fontId="6" fillId="0" borderId="2" xfId="0" applyNumberFormat="1" applyFont="1" applyBorder="1" applyAlignment="1">
      <alignment horizontal="right" vertical="top" indent="1"/>
    </xf>
    <xf numFmtId="3" fontId="6" fillId="0" borderId="4" xfId="1" applyNumberFormat="1" applyFont="1" applyFill="1" applyBorder="1" applyAlignment="1">
      <alignment horizontal="right" vertical="top" indent="1"/>
    </xf>
    <xf numFmtId="3" fontId="6" fillId="0" borderId="2" xfId="1" applyNumberFormat="1" applyFont="1" applyFill="1" applyBorder="1" applyAlignment="1">
      <alignment horizontal="right" vertical="top" indent="1"/>
    </xf>
    <xf numFmtId="0" fontId="6" fillId="0" borderId="4" xfId="0" applyFont="1" applyBorder="1" applyAlignment="1">
      <alignment horizontal="right" vertical="top" indent="1"/>
    </xf>
    <xf numFmtId="0" fontId="6" fillId="0" borderId="4" xfId="0" applyFont="1" applyFill="1" applyBorder="1" applyAlignment="1">
      <alignment horizontal="right" vertical="top" indent="1"/>
    </xf>
    <xf numFmtId="3" fontId="7" fillId="0" borderId="2" xfId="0" applyNumberFormat="1" applyFont="1" applyFill="1" applyBorder="1" applyAlignment="1">
      <alignment horizontal="right" vertical="top" indent="1"/>
    </xf>
    <xf numFmtId="0" fontId="7" fillId="0" borderId="4" xfId="0" applyFont="1" applyFill="1" applyBorder="1" applyAlignment="1">
      <alignment horizontal="right" vertical="top" indent="1"/>
    </xf>
    <xf numFmtId="3" fontId="6" fillId="0" borderId="4" xfId="0" applyNumberFormat="1" applyFont="1" applyFill="1" applyBorder="1" applyAlignment="1">
      <alignment horizontal="right" vertical="top" indent="1"/>
    </xf>
    <xf numFmtId="3" fontId="6" fillId="0" borderId="2" xfId="0" applyNumberFormat="1" applyFont="1" applyFill="1" applyBorder="1" applyAlignment="1">
      <alignment horizontal="right" vertical="top" inden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7"/>
  <sheetViews>
    <sheetView tabSelected="1" zoomScale="115" zoomScaleNormal="115" workbookViewId="0">
      <selection activeCell="W10" sqref="W10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7.7109375" style="4" customWidth="1"/>
    <col min="8" max="13" width="7.7109375" style="41" customWidth="1"/>
    <col min="14" max="19" width="7.28515625" style="4" customWidth="1"/>
    <col min="20" max="20" width="1.140625" style="4" customWidth="1"/>
    <col min="21" max="21" width="15.7109375" style="4" customWidth="1"/>
    <col min="22" max="16384" width="9.140625" style="4"/>
  </cols>
  <sheetData>
    <row r="1" spans="1:21" s="5" customFormat="1" x14ac:dyDescent="0.3">
      <c r="B1" s="5" t="s">
        <v>24</v>
      </c>
      <c r="C1" s="6">
        <v>3.5</v>
      </c>
      <c r="D1" s="5" t="s">
        <v>65</v>
      </c>
      <c r="H1" s="39"/>
      <c r="I1" s="39"/>
      <c r="J1" s="39"/>
      <c r="K1" s="39"/>
      <c r="L1" s="39"/>
      <c r="M1" s="39"/>
      <c r="N1" s="38"/>
    </row>
    <row r="2" spans="1:21" s="1" customFormat="1" ht="20.25" customHeight="1" x14ac:dyDescent="0.3">
      <c r="B2" s="5" t="s">
        <v>64</v>
      </c>
      <c r="C2" s="6">
        <v>3.5</v>
      </c>
      <c r="D2" s="5" t="s">
        <v>66</v>
      </c>
      <c r="E2" s="5"/>
      <c r="H2" s="40"/>
      <c r="I2" s="40"/>
      <c r="J2" s="40"/>
      <c r="K2" s="40"/>
      <c r="L2" s="40"/>
      <c r="M2" s="40"/>
    </row>
    <row r="3" spans="1:21" ht="4.5" customHeight="1" x14ac:dyDescent="0.3"/>
    <row r="4" spans="1:21" s="2" customFormat="1" ht="15" customHeight="1" x14ac:dyDescent="0.25">
      <c r="A4" s="74" t="s">
        <v>21</v>
      </c>
      <c r="B4" s="74"/>
      <c r="C4" s="74"/>
      <c r="D4" s="75"/>
      <c r="E4" s="29"/>
      <c r="F4" s="10"/>
      <c r="G4" s="30"/>
      <c r="H4" s="80" t="s">
        <v>23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2" t="s">
        <v>22</v>
      </c>
      <c r="U4" s="74"/>
    </row>
    <row r="5" spans="1:21" s="2" customFormat="1" ht="15" customHeight="1" x14ac:dyDescent="0.25">
      <c r="A5" s="76"/>
      <c r="B5" s="76"/>
      <c r="C5" s="76"/>
      <c r="D5" s="77"/>
      <c r="E5" s="12"/>
      <c r="F5" s="13"/>
      <c r="G5" s="14"/>
      <c r="H5" s="42"/>
      <c r="I5" s="43"/>
      <c r="J5" s="44"/>
      <c r="K5" s="100" t="s">
        <v>2</v>
      </c>
      <c r="L5" s="101"/>
      <c r="M5" s="102"/>
      <c r="N5" s="9"/>
      <c r="O5" s="10"/>
      <c r="P5" s="11"/>
      <c r="Q5" s="13"/>
      <c r="R5" s="13"/>
      <c r="S5" s="13"/>
      <c r="T5" s="83"/>
      <c r="U5" s="99"/>
    </row>
    <row r="6" spans="1:21" s="2" customFormat="1" ht="15.75" customHeight="1" x14ac:dyDescent="0.25">
      <c r="A6" s="76"/>
      <c r="B6" s="76"/>
      <c r="C6" s="76"/>
      <c r="D6" s="77"/>
      <c r="E6" s="85"/>
      <c r="F6" s="86"/>
      <c r="G6" s="87"/>
      <c r="H6" s="93" t="s">
        <v>0</v>
      </c>
      <c r="I6" s="94"/>
      <c r="J6" s="95"/>
      <c r="K6" s="93" t="s">
        <v>3</v>
      </c>
      <c r="L6" s="94"/>
      <c r="M6" s="95"/>
      <c r="N6" s="85" t="s">
        <v>37</v>
      </c>
      <c r="O6" s="86"/>
      <c r="P6" s="87"/>
      <c r="Q6" s="86"/>
      <c r="R6" s="86"/>
      <c r="S6" s="86"/>
      <c r="T6" s="83"/>
      <c r="U6" s="99"/>
    </row>
    <row r="7" spans="1:21" s="2" customFormat="1" ht="17.25" customHeight="1" x14ac:dyDescent="0.25">
      <c r="A7" s="76"/>
      <c r="B7" s="76"/>
      <c r="C7" s="76"/>
      <c r="D7" s="77"/>
      <c r="E7" s="85"/>
      <c r="F7" s="86"/>
      <c r="G7" s="87"/>
      <c r="H7" s="93" t="s">
        <v>1</v>
      </c>
      <c r="I7" s="94"/>
      <c r="J7" s="95"/>
      <c r="K7" s="93" t="s">
        <v>4</v>
      </c>
      <c r="L7" s="94"/>
      <c r="M7" s="95"/>
      <c r="N7" s="85" t="s">
        <v>52</v>
      </c>
      <c r="O7" s="86"/>
      <c r="P7" s="87"/>
      <c r="Q7" s="86"/>
      <c r="R7" s="86"/>
      <c r="S7" s="86"/>
      <c r="T7" s="83"/>
      <c r="U7" s="99"/>
    </row>
    <row r="8" spans="1:21" s="2" customFormat="1" ht="16.5" customHeight="1" x14ac:dyDescent="0.25">
      <c r="A8" s="76"/>
      <c r="B8" s="76"/>
      <c r="C8" s="76"/>
      <c r="D8" s="77"/>
      <c r="E8" s="85" t="s">
        <v>7</v>
      </c>
      <c r="F8" s="86"/>
      <c r="G8" s="87"/>
      <c r="H8" s="93" t="s">
        <v>5</v>
      </c>
      <c r="I8" s="94"/>
      <c r="J8" s="95"/>
      <c r="K8" s="93" t="s">
        <v>10</v>
      </c>
      <c r="L8" s="94"/>
      <c r="M8" s="95"/>
      <c r="N8" s="85" t="s">
        <v>35</v>
      </c>
      <c r="O8" s="86"/>
      <c r="P8" s="87"/>
      <c r="Q8" s="86" t="s">
        <v>71</v>
      </c>
      <c r="R8" s="86"/>
      <c r="S8" s="86"/>
      <c r="T8" s="83"/>
      <c r="U8" s="99"/>
    </row>
    <row r="9" spans="1:21" s="2" customFormat="1" ht="14.25" customHeight="1" x14ac:dyDescent="0.25">
      <c r="A9" s="76"/>
      <c r="B9" s="76"/>
      <c r="C9" s="76"/>
      <c r="D9" s="77"/>
      <c r="E9" s="88" t="s">
        <v>8</v>
      </c>
      <c r="F9" s="89"/>
      <c r="G9" s="90"/>
      <c r="H9" s="96" t="s">
        <v>6</v>
      </c>
      <c r="I9" s="97"/>
      <c r="J9" s="98"/>
      <c r="K9" s="96" t="s">
        <v>6</v>
      </c>
      <c r="L9" s="97"/>
      <c r="M9" s="98"/>
      <c r="N9" s="85" t="s">
        <v>36</v>
      </c>
      <c r="O9" s="86"/>
      <c r="P9" s="87"/>
      <c r="Q9" s="88" t="s">
        <v>9</v>
      </c>
      <c r="R9" s="89"/>
      <c r="S9" s="90"/>
      <c r="T9" s="83"/>
      <c r="U9" s="99"/>
    </row>
    <row r="10" spans="1:21" s="2" customFormat="1" ht="13.5" customHeight="1" x14ac:dyDescent="0.25">
      <c r="A10" s="76"/>
      <c r="B10" s="76"/>
      <c r="C10" s="76"/>
      <c r="D10" s="77"/>
      <c r="E10" s="31" t="s">
        <v>7</v>
      </c>
      <c r="F10" s="26" t="s">
        <v>17</v>
      </c>
      <c r="G10" s="26" t="s">
        <v>18</v>
      </c>
      <c r="H10" s="45" t="s">
        <v>7</v>
      </c>
      <c r="I10" s="45" t="s">
        <v>17</v>
      </c>
      <c r="J10" s="46" t="s">
        <v>18</v>
      </c>
      <c r="K10" s="45" t="s">
        <v>7</v>
      </c>
      <c r="L10" s="45" t="s">
        <v>17</v>
      </c>
      <c r="M10" s="46" t="s">
        <v>18</v>
      </c>
      <c r="N10" s="32" t="s">
        <v>7</v>
      </c>
      <c r="O10" s="32" t="s">
        <v>17</v>
      </c>
      <c r="P10" s="32" t="s">
        <v>18</v>
      </c>
      <c r="Q10" s="31" t="s">
        <v>7</v>
      </c>
      <c r="R10" s="31" t="s">
        <v>17</v>
      </c>
      <c r="S10" s="25" t="s">
        <v>18</v>
      </c>
      <c r="T10" s="83"/>
      <c r="U10" s="99"/>
    </row>
    <row r="11" spans="1:21" s="2" customFormat="1" ht="13.5" customHeight="1" x14ac:dyDescent="0.25">
      <c r="A11" s="78"/>
      <c r="B11" s="78"/>
      <c r="C11" s="78"/>
      <c r="D11" s="79"/>
      <c r="E11" s="33" t="s">
        <v>8</v>
      </c>
      <c r="F11" s="34" t="s">
        <v>19</v>
      </c>
      <c r="G11" s="34" t="s">
        <v>20</v>
      </c>
      <c r="H11" s="47" t="s">
        <v>8</v>
      </c>
      <c r="I11" s="47" t="s">
        <v>19</v>
      </c>
      <c r="J11" s="48" t="s">
        <v>20</v>
      </c>
      <c r="K11" s="47" t="s">
        <v>8</v>
      </c>
      <c r="L11" s="47" t="s">
        <v>19</v>
      </c>
      <c r="M11" s="48" t="s">
        <v>20</v>
      </c>
      <c r="N11" s="33" t="s">
        <v>8</v>
      </c>
      <c r="O11" s="33" t="s">
        <v>19</v>
      </c>
      <c r="P11" s="34" t="s">
        <v>20</v>
      </c>
      <c r="Q11" s="33" t="s">
        <v>8</v>
      </c>
      <c r="R11" s="33" t="s">
        <v>19</v>
      </c>
      <c r="S11" s="35" t="s">
        <v>20</v>
      </c>
      <c r="T11" s="84"/>
      <c r="U11" s="78"/>
    </row>
    <row r="12" spans="1:21" s="2" customFormat="1" ht="3" customHeight="1" x14ac:dyDescent="0.25">
      <c r="A12" s="22"/>
      <c r="B12" s="22"/>
      <c r="C12" s="22"/>
      <c r="D12" s="23"/>
      <c r="E12" s="31"/>
      <c r="F12" s="26"/>
      <c r="G12" s="26"/>
      <c r="H12" s="49"/>
      <c r="I12" s="49"/>
      <c r="J12" s="46"/>
      <c r="K12" s="49"/>
      <c r="L12" s="49"/>
      <c r="M12" s="46"/>
      <c r="N12" s="31"/>
      <c r="O12" s="31"/>
      <c r="P12" s="26"/>
      <c r="Q12" s="31"/>
      <c r="R12" s="31"/>
      <c r="S12" s="25"/>
      <c r="T12" s="24"/>
      <c r="U12" s="13"/>
    </row>
    <row r="13" spans="1:21" s="13" customFormat="1" ht="14.25" customHeight="1" x14ac:dyDescent="0.25">
      <c r="A13" s="91" t="s">
        <v>34</v>
      </c>
      <c r="B13" s="91"/>
      <c r="C13" s="91"/>
      <c r="D13" s="92"/>
      <c r="E13" s="59">
        <f>SUM(E14,E19,E26,E30)</f>
        <v>87248</v>
      </c>
      <c r="F13" s="59">
        <f>SUM(F14,F19,F26,F30)</f>
        <v>43749</v>
      </c>
      <c r="G13" s="59">
        <f>SUM(G14,G19,G26,G30)</f>
        <v>43499</v>
      </c>
      <c r="H13" s="60">
        <f>SUM(I13:J13)</f>
        <v>70060</v>
      </c>
      <c r="I13" s="60">
        <f>SUM(I14,I19,I26,I30)</f>
        <v>35043</v>
      </c>
      <c r="J13" s="60">
        <f>SUM(J14,J19,J26,J30)</f>
        <v>35017</v>
      </c>
      <c r="K13" s="60">
        <f>SUM(L13:M13)</f>
        <v>17188</v>
      </c>
      <c r="L13" s="60">
        <f>SUM(L14,L19,L26,L30)</f>
        <v>8706</v>
      </c>
      <c r="M13" s="60">
        <f>SUM(M14,M19,M26,M30)</f>
        <v>8482</v>
      </c>
      <c r="N13" s="61" t="s">
        <v>70</v>
      </c>
      <c r="O13" s="61" t="s">
        <v>70</v>
      </c>
      <c r="P13" s="61" t="s">
        <v>70</v>
      </c>
      <c r="Q13" s="61" t="s">
        <v>70</v>
      </c>
      <c r="R13" s="61" t="s">
        <v>70</v>
      </c>
      <c r="S13" s="61" t="s">
        <v>70</v>
      </c>
      <c r="T13" s="18"/>
      <c r="U13" s="27" t="s">
        <v>8</v>
      </c>
    </row>
    <row r="14" spans="1:21" s="13" customFormat="1" ht="15.75" customHeight="1" x14ac:dyDescent="0.25">
      <c r="A14" s="19" t="s">
        <v>15</v>
      </c>
      <c r="B14" s="27"/>
      <c r="C14" s="27"/>
      <c r="D14" s="28"/>
      <c r="E14" s="59">
        <f t="shared" ref="E14:M14" si="0">SUM(E15:E18)</f>
        <v>15245</v>
      </c>
      <c r="F14" s="62">
        <f>SUM(F15:F18)</f>
        <v>7780</v>
      </c>
      <c r="G14" s="62">
        <f t="shared" si="0"/>
        <v>7465</v>
      </c>
      <c r="H14" s="63">
        <f t="shared" si="0"/>
        <v>9412</v>
      </c>
      <c r="I14" s="63">
        <f t="shared" si="0"/>
        <v>4843</v>
      </c>
      <c r="J14" s="63">
        <f t="shared" si="0"/>
        <v>4569</v>
      </c>
      <c r="K14" s="63">
        <f t="shared" si="0"/>
        <v>5833</v>
      </c>
      <c r="L14" s="63">
        <f t="shared" si="0"/>
        <v>2937</v>
      </c>
      <c r="M14" s="63">
        <f t="shared" si="0"/>
        <v>2896</v>
      </c>
      <c r="N14" s="61" t="s">
        <v>70</v>
      </c>
      <c r="O14" s="61" t="s">
        <v>70</v>
      </c>
      <c r="P14" s="61" t="s">
        <v>70</v>
      </c>
      <c r="Q14" s="61" t="s">
        <v>70</v>
      </c>
      <c r="R14" s="61" t="s">
        <v>70</v>
      </c>
      <c r="S14" s="61" t="s">
        <v>70</v>
      </c>
      <c r="T14" s="19" t="s">
        <v>16</v>
      </c>
      <c r="U14" s="20"/>
    </row>
    <row r="15" spans="1:21" s="13" customFormat="1" ht="13.5" customHeight="1" x14ac:dyDescent="0.25">
      <c r="A15" s="7"/>
      <c r="B15" s="7" t="s">
        <v>61</v>
      </c>
      <c r="C15" s="7"/>
      <c r="D15" s="17"/>
      <c r="E15" s="64">
        <f>SUM(F15:G15)</f>
        <v>6782</v>
      </c>
      <c r="F15" s="65">
        <f>SUM(I15,L15)</f>
        <v>3482</v>
      </c>
      <c r="G15" s="65">
        <f>SUM(J15,M15)</f>
        <v>3300</v>
      </c>
      <c r="H15" s="66">
        <f>SUM(I15:J15)</f>
        <v>4782</v>
      </c>
      <c r="I15" s="66">
        <f>1106+1357</f>
        <v>2463</v>
      </c>
      <c r="J15" s="67">
        <f>1022+1297</f>
        <v>2319</v>
      </c>
      <c r="K15" s="66">
        <f>SUM(L15:M15)</f>
        <v>2000</v>
      </c>
      <c r="L15" s="66">
        <f>604+415</f>
        <v>1019</v>
      </c>
      <c r="M15" s="67">
        <f>539+442</f>
        <v>981</v>
      </c>
      <c r="N15" s="68" t="s">
        <v>70</v>
      </c>
      <c r="O15" s="68" t="s">
        <v>70</v>
      </c>
      <c r="P15" s="68" t="s">
        <v>70</v>
      </c>
      <c r="Q15" s="68" t="s">
        <v>70</v>
      </c>
      <c r="R15" s="68" t="s">
        <v>70</v>
      </c>
      <c r="S15" s="68" t="s">
        <v>70</v>
      </c>
      <c r="T15" s="18"/>
      <c r="U15" s="7" t="s">
        <v>31</v>
      </c>
    </row>
    <row r="16" spans="1:21" s="13" customFormat="1" ht="13.5" customHeight="1" x14ac:dyDescent="0.25">
      <c r="A16" s="7"/>
      <c r="B16" s="7" t="s">
        <v>62</v>
      </c>
      <c r="C16" s="7"/>
      <c r="D16" s="17"/>
      <c r="E16" s="64">
        <f t="shared" ref="E16:E17" si="1">SUM(F16:G16)</f>
        <v>6657</v>
      </c>
      <c r="F16" s="65">
        <f t="shared" ref="F16:F17" si="2">SUM(I16,L16)</f>
        <v>3358</v>
      </c>
      <c r="G16" s="65">
        <f t="shared" ref="G16:G17" si="3">SUM(J16,M16)</f>
        <v>3299</v>
      </c>
      <c r="H16" s="66">
        <f t="shared" ref="H16" si="4">SUM(I16:J16)</f>
        <v>4630</v>
      </c>
      <c r="I16" s="66">
        <f>1103+1277</f>
        <v>2380</v>
      </c>
      <c r="J16" s="67">
        <f>1013+1237</f>
        <v>2250</v>
      </c>
      <c r="K16" s="66">
        <f t="shared" ref="K16:K17" si="5">SUM(L16:M16)</f>
        <v>2027</v>
      </c>
      <c r="L16" s="66">
        <f>601+377</f>
        <v>978</v>
      </c>
      <c r="M16" s="67">
        <f>636+413</f>
        <v>1049</v>
      </c>
      <c r="N16" s="68" t="s">
        <v>70</v>
      </c>
      <c r="O16" s="68" t="s">
        <v>70</v>
      </c>
      <c r="P16" s="68" t="s">
        <v>70</v>
      </c>
      <c r="Q16" s="68" t="s">
        <v>70</v>
      </c>
      <c r="R16" s="68" t="s">
        <v>70</v>
      </c>
      <c r="S16" s="68" t="s">
        <v>70</v>
      </c>
      <c r="T16" s="18"/>
      <c r="U16" s="7" t="s">
        <v>32</v>
      </c>
    </row>
    <row r="17" spans="1:21" s="13" customFormat="1" ht="13.5" customHeight="1" x14ac:dyDescent="0.25">
      <c r="A17" s="7"/>
      <c r="B17" s="7" t="s">
        <v>63</v>
      </c>
      <c r="C17" s="7"/>
      <c r="D17" s="17"/>
      <c r="E17" s="64">
        <f t="shared" si="1"/>
        <v>1806</v>
      </c>
      <c r="F17" s="65">
        <f t="shared" si="2"/>
        <v>940</v>
      </c>
      <c r="G17" s="65">
        <f t="shared" si="3"/>
        <v>866</v>
      </c>
      <c r="H17" s="66" t="s">
        <v>70</v>
      </c>
      <c r="I17" s="66" t="s">
        <v>69</v>
      </c>
      <c r="J17" s="67" t="s">
        <v>69</v>
      </c>
      <c r="K17" s="66">
        <f t="shared" si="5"/>
        <v>1806</v>
      </c>
      <c r="L17" s="66">
        <f>599+341</f>
        <v>940</v>
      </c>
      <c r="M17" s="67">
        <f>493+373</f>
        <v>866</v>
      </c>
      <c r="N17" s="68" t="s">
        <v>70</v>
      </c>
      <c r="O17" s="68" t="s">
        <v>70</v>
      </c>
      <c r="P17" s="68" t="s">
        <v>70</v>
      </c>
      <c r="Q17" s="68" t="s">
        <v>70</v>
      </c>
      <c r="R17" s="68" t="s">
        <v>70</v>
      </c>
      <c r="S17" s="68" t="s">
        <v>70</v>
      </c>
      <c r="T17" s="7"/>
      <c r="U17" s="16" t="s">
        <v>33</v>
      </c>
    </row>
    <row r="18" spans="1:21" s="13" customFormat="1" ht="13.5" customHeight="1" x14ac:dyDescent="0.25">
      <c r="A18" s="7"/>
      <c r="B18" s="7" t="s">
        <v>25</v>
      </c>
      <c r="C18" s="7"/>
      <c r="D18" s="17"/>
      <c r="E18" s="68" t="s">
        <v>70</v>
      </c>
      <c r="F18" s="68" t="s">
        <v>70</v>
      </c>
      <c r="G18" s="68" t="s">
        <v>70</v>
      </c>
      <c r="H18" s="69" t="s">
        <v>70</v>
      </c>
      <c r="I18" s="69" t="s">
        <v>70</v>
      </c>
      <c r="J18" s="69" t="s">
        <v>70</v>
      </c>
      <c r="K18" s="69" t="s">
        <v>70</v>
      </c>
      <c r="L18" s="69" t="s">
        <v>70</v>
      </c>
      <c r="M18" s="67" t="s">
        <v>69</v>
      </c>
      <c r="N18" s="68" t="s">
        <v>70</v>
      </c>
      <c r="O18" s="68" t="s">
        <v>70</v>
      </c>
      <c r="P18" s="68" t="s">
        <v>70</v>
      </c>
      <c r="Q18" s="68" t="s">
        <v>70</v>
      </c>
      <c r="R18" s="68" t="s">
        <v>70</v>
      </c>
      <c r="S18" s="68" t="s">
        <v>70</v>
      </c>
      <c r="T18" s="7"/>
      <c r="U18" s="16" t="s">
        <v>28</v>
      </c>
    </row>
    <row r="19" spans="1:21" s="13" customFormat="1" ht="16.5" customHeight="1" x14ac:dyDescent="0.25">
      <c r="A19" s="21" t="s">
        <v>11</v>
      </c>
      <c r="B19" s="7"/>
      <c r="C19" s="7"/>
      <c r="D19" s="17"/>
      <c r="E19" s="59">
        <f t="shared" ref="E19:M19" si="6">SUM(E20:E25)</f>
        <v>41733</v>
      </c>
      <c r="F19" s="62">
        <f t="shared" si="6"/>
        <v>21649</v>
      </c>
      <c r="G19" s="62">
        <f t="shared" si="6"/>
        <v>20084</v>
      </c>
      <c r="H19" s="63">
        <f t="shared" si="6"/>
        <v>31269</v>
      </c>
      <c r="I19" s="63">
        <f t="shared" si="6"/>
        <v>16376</v>
      </c>
      <c r="J19" s="63">
        <f t="shared" si="6"/>
        <v>14893</v>
      </c>
      <c r="K19" s="63">
        <f t="shared" si="6"/>
        <v>10464</v>
      </c>
      <c r="L19" s="63">
        <f t="shared" si="6"/>
        <v>5273</v>
      </c>
      <c r="M19" s="63">
        <f t="shared" si="6"/>
        <v>5191</v>
      </c>
      <c r="N19" s="61" t="s">
        <v>70</v>
      </c>
      <c r="O19" s="61" t="s">
        <v>70</v>
      </c>
      <c r="P19" s="61" t="s">
        <v>70</v>
      </c>
      <c r="Q19" s="61" t="s">
        <v>70</v>
      </c>
      <c r="R19" s="61" t="s">
        <v>70</v>
      </c>
      <c r="S19" s="61" t="s">
        <v>70</v>
      </c>
      <c r="T19" s="19" t="s">
        <v>12</v>
      </c>
      <c r="U19" s="7"/>
    </row>
    <row r="20" spans="1:21" s="13" customFormat="1" ht="13.5" customHeight="1" x14ac:dyDescent="0.25">
      <c r="A20" s="7"/>
      <c r="B20" s="7" t="s">
        <v>26</v>
      </c>
      <c r="C20" s="7"/>
      <c r="D20" s="17"/>
      <c r="E20" s="64">
        <f>SUM(F20:G20)</f>
        <v>6955</v>
      </c>
      <c r="F20" s="65">
        <f>SUM(I20,L20)</f>
        <v>3626</v>
      </c>
      <c r="G20" s="65">
        <f>SUM(J20,M20)</f>
        <v>3329</v>
      </c>
      <c r="H20" s="66">
        <f>SUM(I20:J20)</f>
        <v>5148</v>
      </c>
      <c r="I20" s="66">
        <f>1227+1435</f>
        <v>2662</v>
      </c>
      <c r="J20" s="67">
        <f>1135+1351</f>
        <v>2486</v>
      </c>
      <c r="K20" s="66">
        <f>SUM(L20:M20)</f>
        <v>1807</v>
      </c>
      <c r="L20" s="66">
        <f>551+413</f>
        <v>964</v>
      </c>
      <c r="M20" s="67">
        <f>481+362</f>
        <v>843</v>
      </c>
      <c r="N20" s="68" t="s">
        <v>70</v>
      </c>
      <c r="O20" s="68" t="s">
        <v>70</v>
      </c>
      <c r="P20" s="68" t="s">
        <v>70</v>
      </c>
      <c r="Q20" s="68" t="s">
        <v>70</v>
      </c>
      <c r="R20" s="68" t="s">
        <v>70</v>
      </c>
      <c r="S20" s="68" t="s">
        <v>70</v>
      </c>
      <c r="T20" s="7"/>
      <c r="U20" s="16" t="s">
        <v>29</v>
      </c>
    </row>
    <row r="21" spans="1:21" s="13" customFormat="1" ht="13.5" customHeight="1" x14ac:dyDescent="0.25">
      <c r="A21" s="7"/>
      <c r="B21" s="7" t="s">
        <v>27</v>
      </c>
      <c r="C21" s="7"/>
      <c r="D21" s="17"/>
      <c r="E21" s="64">
        <f t="shared" ref="E21:E25" si="7">SUM(F21:G21)</f>
        <v>6873</v>
      </c>
      <c r="F21" s="65">
        <f t="shared" ref="F21:G25" si="8">SUM(I21,L21)</f>
        <v>3558</v>
      </c>
      <c r="G21" s="65">
        <f t="shared" si="8"/>
        <v>3315</v>
      </c>
      <c r="H21" s="66">
        <f t="shared" ref="H21:H25" si="9">SUM(I21:J21)</f>
        <v>4978</v>
      </c>
      <c r="I21" s="66">
        <f>1250+1366</f>
        <v>2616</v>
      </c>
      <c r="J21" s="67">
        <f>1122+1240</f>
        <v>2362</v>
      </c>
      <c r="K21" s="66">
        <f t="shared" ref="K21:K25" si="10">SUM(L21:M21)</f>
        <v>1895</v>
      </c>
      <c r="L21" s="66">
        <f>546+396</f>
        <v>942</v>
      </c>
      <c r="M21" s="67">
        <f>532+421</f>
        <v>953</v>
      </c>
      <c r="N21" s="68" t="s">
        <v>70</v>
      </c>
      <c r="O21" s="68" t="s">
        <v>70</v>
      </c>
      <c r="P21" s="68" t="s">
        <v>70</v>
      </c>
      <c r="Q21" s="68" t="s">
        <v>70</v>
      </c>
      <c r="R21" s="68" t="s">
        <v>70</v>
      </c>
      <c r="S21" s="68" t="s">
        <v>70</v>
      </c>
      <c r="T21" s="7"/>
      <c r="U21" s="16" t="s">
        <v>30</v>
      </c>
    </row>
    <row r="22" spans="1:21" s="13" customFormat="1" ht="13.5" customHeight="1" x14ac:dyDescent="0.25">
      <c r="A22" s="21"/>
      <c r="B22" s="7" t="s">
        <v>41</v>
      </c>
      <c r="C22" s="7"/>
      <c r="D22" s="17"/>
      <c r="E22" s="64">
        <f t="shared" si="7"/>
        <v>7085</v>
      </c>
      <c r="F22" s="65">
        <f t="shared" si="8"/>
        <v>3689</v>
      </c>
      <c r="G22" s="65">
        <f t="shared" si="8"/>
        <v>3396</v>
      </c>
      <c r="H22" s="66">
        <f t="shared" si="9"/>
        <v>5255</v>
      </c>
      <c r="I22" s="66">
        <f>1309+1476</f>
        <v>2785</v>
      </c>
      <c r="J22" s="67">
        <f>1149+1321</f>
        <v>2470</v>
      </c>
      <c r="K22" s="66">
        <f t="shared" si="10"/>
        <v>1830</v>
      </c>
      <c r="L22" s="66">
        <f>541+363</f>
        <v>904</v>
      </c>
      <c r="M22" s="67">
        <f>536+390</f>
        <v>926</v>
      </c>
      <c r="N22" s="68" t="s">
        <v>70</v>
      </c>
      <c r="O22" s="68" t="s">
        <v>70</v>
      </c>
      <c r="P22" s="68" t="s">
        <v>70</v>
      </c>
      <c r="Q22" s="68" t="s">
        <v>70</v>
      </c>
      <c r="R22" s="68" t="s">
        <v>70</v>
      </c>
      <c r="S22" s="68" t="s">
        <v>70</v>
      </c>
      <c r="T22" s="7"/>
      <c r="U22" s="16" t="s">
        <v>53</v>
      </c>
    </row>
    <row r="23" spans="1:21" s="13" customFormat="1" ht="13.5" customHeight="1" x14ac:dyDescent="0.25">
      <c r="A23" s="7"/>
      <c r="B23" s="7" t="s">
        <v>42</v>
      </c>
      <c r="C23" s="7"/>
      <c r="D23" s="17"/>
      <c r="E23" s="64">
        <f t="shared" si="7"/>
        <v>7037</v>
      </c>
      <c r="F23" s="65">
        <f t="shared" si="8"/>
        <v>3628</v>
      </c>
      <c r="G23" s="65">
        <f t="shared" si="8"/>
        <v>3409</v>
      </c>
      <c r="H23" s="66">
        <f t="shared" si="9"/>
        <v>5311</v>
      </c>
      <c r="I23" s="66">
        <f>1289+1463</f>
        <v>2752</v>
      </c>
      <c r="J23" s="67">
        <f>1227+1332</f>
        <v>2559</v>
      </c>
      <c r="K23" s="66">
        <f t="shared" si="10"/>
        <v>1726</v>
      </c>
      <c r="L23" s="66">
        <f>485+391</f>
        <v>876</v>
      </c>
      <c r="M23" s="67">
        <f>456+394</f>
        <v>850</v>
      </c>
      <c r="N23" s="68" t="s">
        <v>70</v>
      </c>
      <c r="O23" s="68" t="s">
        <v>70</v>
      </c>
      <c r="P23" s="68" t="s">
        <v>70</v>
      </c>
      <c r="Q23" s="68" t="s">
        <v>70</v>
      </c>
      <c r="R23" s="68" t="s">
        <v>70</v>
      </c>
      <c r="S23" s="68" t="s">
        <v>70</v>
      </c>
      <c r="T23" s="7"/>
      <c r="U23" s="16" t="s">
        <v>54</v>
      </c>
    </row>
    <row r="24" spans="1:21" s="13" customFormat="1" ht="13.5" customHeight="1" x14ac:dyDescent="0.25">
      <c r="A24" s="7"/>
      <c r="B24" s="7" t="s">
        <v>43</v>
      </c>
      <c r="C24" s="7"/>
      <c r="D24" s="17"/>
      <c r="E24" s="64">
        <f t="shared" si="7"/>
        <v>6888</v>
      </c>
      <c r="F24" s="65">
        <f t="shared" si="8"/>
        <v>3607</v>
      </c>
      <c r="G24" s="65">
        <f t="shared" si="8"/>
        <v>3281</v>
      </c>
      <c r="H24" s="66">
        <f t="shared" si="9"/>
        <v>5261</v>
      </c>
      <c r="I24" s="66">
        <f>1346+1440</f>
        <v>2786</v>
      </c>
      <c r="J24" s="67">
        <f>1135+1340</f>
        <v>2475</v>
      </c>
      <c r="K24" s="66">
        <f t="shared" si="10"/>
        <v>1627</v>
      </c>
      <c r="L24" s="66">
        <f>422+399</f>
        <v>821</v>
      </c>
      <c r="M24" s="67">
        <f>424+382</f>
        <v>806</v>
      </c>
      <c r="N24" s="68" t="s">
        <v>70</v>
      </c>
      <c r="O24" s="68" t="s">
        <v>70</v>
      </c>
      <c r="P24" s="68" t="s">
        <v>70</v>
      </c>
      <c r="Q24" s="68" t="s">
        <v>70</v>
      </c>
      <c r="R24" s="68" t="s">
        <v>70</v>
      </c>
      <c r="S24" s="68" t="s">
        <v>70</v>
      </c>
      <c r="T24" s="7"/>
      <c r="U24" s="16" t="s">
        <v>55</v>
      </c>
    </row>
    <row r="25" spans="1:21" s="13" customFormat="1" ht="13.5" customHeight="1" x14ac:dyDescent="0.25">
      <c r="A25" s="7"/>
      <c r="B25" s="7" t="s">
        <v>44</v>
      </c>
      <c r="C25" s="7"/>
      <c r="D25" s="17"/>
      <c r="E25" s="64">
        <f t="shared" si="7"/>
        <v>6895</v>
      </c>
      <c r="F25" s="65">
        <f t="shared" si="8"/>
        <v>3541</v>
      </c>
      <c r="G25" s="65">
        <f t="shared" si="8"/>
        <v>3354</v>
      </c>
      <c r="H25" s="66">
        <f t="shared" si="9"/>
        <v>5316</v>
      </c>
      <c r="I25" s="66">
        <f>1309+1466</f>
        <v>2775</v>
      </c>
      <c r="J25" s="67">
        <f>1241+1300</f>
        <v>2541</v>
      </c>
      <c r="K25" s="66">
        <f t="shared" si="10"/>
        <v>1579</v>
      </c>
      <c r="L25" s="66">
        <f>422+344</f>
        <v>766</v>
      </c>
      <c r="M25" s="67">
        <f>403+410</f>
        <v>813</v>
      </c>
      <c r="N25" s="68" t="s">
        <v>70</v>
      </c>
      <c r="O25" s="68" t="s">
        <v>70</v>
      </c>
      <c r="P25" s="68" t="s">
        <v>70</v>
      </c>
      <c r="Q25" s="68" t="s">
        <v>70</v>
      </c>
      <c r="R25" s="68" t="s">
        <v>70</v>
      </c>
      <c r="S25" s="68" t="s">
        <v>70</v>
      </c>
      <c r="T25" s="7"/>
      <c r="U25" s="16" t="s">
        <v>56</v>
      </c>
    </row>
    <row r="26" spans="1:21" s="52" customFormat="1" ht="17.25" customHeight="1" x14ac:dyDescent="0.25">
      <c r="A26" s="54" t="s">
        <v>50</v>
      </c>
      <c r="B26" s="55"/>
      <c r="C26" s="55"/>
      <c r="D26" s="56"/>
      <c r="E26" s="60">
        <f t="shared" ref="E26:M26" si="11">SUM(E27:E29)</f>
        <v>20284</v>
      </c>
      <c r="F26" s="70">
        <f t="shared" si="11"/>
        <v>10480</v>
      </c>
      <c r="G26" s="70">
        <f t="shared" si="11"/>
        <v>9804</v>
      </c>
      <c r="H26" s="63">
        <f t="shared" si="11"/>
        <v>19600</v>
      </c>
      <c r="I26" s="63">
        <f t="shared" si="11"/>
        <v>10097</v>
      </c>
      <c r="J26" s="63">
        <f t="shared" si="11"/>
        <v>9503</v>
      </c>
      <c r="K26" s="63">
        <f t="shared" si="11"/>
        <v>684</v>
      </c>
      <c r="L26" s="63">
        <f t="shared" si="11"/>
        <v>383</v>
      </c>
      <c r="M26" s="63">
        <f t="shared" si="11"/>
        <v>301</v>
      </c>
      <c r="N26" s="71" t="s">
        <v>70</v>
      </c>
      <c r="O26" s="71" t="s">
        <v>70</v>
      </c>
      <c r="P26" s="71" t="s">
        <v>70</v>
      </c>
      <c r="Q26" s="71" t="s">
        <v>70</v>
      </c>
      <c r="R26" s="71" t="s">
        <v>70</v>
      </c>
      <c r="S26" s="71" t="s">
        <v>70</v>
      </c>
      <c r="T26" s="57" t="s">
        <v>13</v>
      </c>
      <c r="U26" s="58"/>
    </row>
    <row r="27" spans="1:21" s="13" customFormat="1" ht="13.5" customHeight="1" x14ac:dyDescent="0.25">
      <c r="A27" s="7"/>
      <c r="B27" s="7" t="s">
        <v>38</v>
      </c>
      <c r="C27" s="7"/>
      <c r="D27" s="17"/>
      <c r="E27" s="64">
        <f>SUM(F27:G27)</f>
        <v>7060</v>
      </c>
      <c r="F27" s="65">
        <f>SUM(I27,L27)</f>
        <v>3665</v>
      </c>
      <c r="G27" s="65">
        <f>SUM(J27,M27)</f>
        <v>3395</v>
      </c>
      <c r="H27" s="72">
        <f>SUM(I27:J27)</f>
        <v>6774</v>
      </c>
      <c r="I27" s="72">
        <f>2501+313+703</f>
        <v>3517</v>
      </c>
      <c r="J27" s="73">
        <f>2491+237+529</f>
        <v>3257</v>
      </c>
      <c r="K27" s="72">
        <f>SUM(L27:M27)</f>
        <v>286</v>
      </c>
      <c r="L27" s="72">
        <f>53+95</f>
        <v>148</v>
      </c>
      <c r="M27" s="73">
        <f>54+84</f>
        <v>138</v>
      </c>
      <c r="N27" s="68" t="s">
        <v>70</v>
      </c>
      <c r="O27" s="68" t="s">
        <v>70</v>
      </c>
      <c r="P27" s="68" t="s">
        <v>70</v>
      </c>
      <c r="Q27" s="68" t="s">
        <v>70</v>
      </c>
      <c r="R27" s="68" t="s">
        <v>70</v>
      </c>
      <c r="S27" s="68" t="s">
        <v>70</v>
      </c>
      <c r="T27" s="7"/>
      <c r="U27" s="16" t="s">
        <v>48</v>
      </c>
    </row>
    <row r="28" spans="1:21" s="13" customFormat="1" ht="13.5" customHeight="1" x14ac:dyDescent="0.25">
      <c r="A28" s="7"/>
      <c r="B28" s="7" t="s">
        <v>39</v>
      </c>
      <c r="C28" s="7"/>
      <c r="D28" s="17"/>
      <c r="E28" s="64">
        <f t="shared" ref="E28:E29" si="12">SUM(F28:G28)</f>
        <v>6666</v>
      </c>
      <c r="F28" s="65">
        <f t="shared" ref="F28:G29" si="13">SUM(I28,L28)</f>
        <v>3451</v>
      </c>
      <c r="G28" s="65">
        <f t="shared" si="13"/>
        <v>3215</v>
      </c>
      <c r="H28" s="72">
        <f t="shared" ref="H28:H29" si="14">SUM(I28:J28)</f>
        <v>6452</v>
      </c>
      <c r="I28" s="72">
        <f>2414+287+623</f>
        <v>3324</v>
      </c>
      <c r="J28" s="73">
        <f>2378+247+503</f>
        <v>3128</v>
      </c>
      <c r="K28" s="72">
        <f t="shared" ref="K28:K29" si="15">SUM(L28:M28)</f>
        <v>214</v>
      </c>
      <c r="L28" s="72">
        <f>58+69</f>
        <v>127</v>
      </c>
      <c r="M28" s="73">
        <f>37+50</f>
        <v>87</v>
      </c>
      <c r="N28" s="68" t="s">
        <v>70</v>
      </c>
      <c r="O28" s="68" t="s">
        <v>70</v>
      </c>
      <c r="P28" s="68" t="s">
        <v>70</v>
      </c>
      <c r="Q28" s="68" t="s">
        <v>70</v>
      </c>
      <c r="R28" s="68" t="s">
        <v>70</v>
      </c>
      <c r="S28" s="68" t="s">
        <v>70</v>
      </c>
      <c r="T28" s="7"/>
      <c r="U28" s="16" t="s">
        <v>57</v>
      </c>
    </row>
    <row r="29" spans="1:21" s="13" customFormat="1" ht="13.5" customHeight="1" x14ac:dyDescent="0.25">
      <c r="A29" s="7"/>
      <c r="B29" s="7" t="s">
        <v>40</v>
      </c>
      <c r="C29" s="7"/>
      <c r="D29" s="17"/>
      <c r="E29" s="64">
        <f t="shared" si="12"/>
        <v>6558</v>
      </c>
      <c r="F29" s="65">
        <f t="shared" si="13"/>
        <v>3364</v>
      </c>
      <c r="G29" s="65">
        <f t="shared" si="13"/>
        <v>3194</v>
      </c>
      <c r="H29" s="72">
        <f t="shared" si="14"/>
        <v>6374</v>
      </c>
      <c r="I29" s="72">
        <f>2555+219+482</f>
        <v>3256</v>
      </c>
      <c r="J29" s="73">
        <f>2457+191+470</f>
        <v>3118</v>
      </c>
      <c r="K29" s="72">
        <f t="shared" si="15"/>
        <v>184</v>
      </c>
      <c r="L29" s="72">
        <f>52+56</f>
        <v>108</v>
      </c>
      <c r="M29" s="73">
        <f>37+39</f>
        <v>76</v>
      </c>
      <c r="N29" s="68" t="s">
        <v>70</v>
      </c>
      <c r="O29" s="68" t="s">
        <v>70</v>
      </c>
      <c r="P29" s="68" t="s">
        <v>70</v>
      </c>
      <c r="Q29" s="68" t="s">
        <v>70</v>
      </c>
      <c r="R29" s="68" t="s">
        <v>70</v>
      </c>
      <c r="S29" s="68" t="s">
        <v>70</v>
      </c>
      <c r="T29" s="7"/>
      <c r="U29" s="16" t="s">
        <v>58</v>
      </c>
    </row>
    <row r="30" spans="1:21" s="13" customFormat="1" ht="16.5" customHeight="1" x14ac:dyDescent="0.25">
      <c r="A30" s="21" t="s">
        <v>51</v>
      </c>
      <c r="B30" s="7"/>
      <c r="C30" s="7"/>
      <c r="D30" s="17"/>
      <c r="E30" s="59">
        <f>SUM(E31:E33)</f>
        <v>9986</v>
      </c>
      <c r="F30" s="59">
        <f t="shared" ref="F30:G30" si="16">SUM(F31:F33)</f>
        <v>3840</v>
      </c>
      <c r="G30" s="59">
        <f t="shared" si="16"/>
        <v>6146</v>
      </c>
      <c r="H30" s="60">
        <f t="shared" ref="H30:M30" si="17">SUM(H31:H33)</f>
        <v>9779</v>
      </c>
      <c r="I30" s="60">
        <f t="shared" si="17"/>
        <v>3727</v>
      </c>
      <c r="J30" s="60">
        <f t="shared" si="17"/>
        <v>6052</v>
      </c>
      <c r="K30" s="63">
        <f t="shared" si="17"/>
        <v>207</v>
      </c>
      <c r="L30" s="63">
        <f t="shared" si="17"/>
        <v>113</v>
      </c>
      <c r="M30" s="63">
        <f t="shared" si="17"/>
        <v>94</v>
      </c>
      <c r="N30" s="61" t="s">
        <v>70</v>
      </c>
      <c r="O30" s="61" t="s">
        <v>70</v>
      </c>
      <c r="P30" s="61" t="s">
        <v>70</v>
      </c>
      <c r="Q30" s="61" t="s">
        <v>70</v>
      </c>
      <c r="R30" s="61" t="s">
        <v>70</v>
      </c>
      <c r="S30" s="61" t="s">
        <v>70</v>
      </c>
      <c r="T30" s="19" t="s">
        <v>14</v>
      </c>
      <c r="U30" s="20"/>
    </row>
    <row r="31" spans="1:21" s="13" customFormat="1" ht="13.5" customHeight="1" x14ac:dyDescent="0.25">
      <c r="A31" s="7"/>
      <c r="B31" s="7" t="s">
        <v>45</v>
      </c>
      <c r="C31" s="7"/>
      <c r="D31" s="17"/>
      <c r="E31" s="64">
        <f>SUM(F31:G31)</f>
        <v>3377</v>
      </c>
      <c r="F31" s="65">
        <f>SUM(I31,L31)</f>
        <v>1304</v>
      </c>
      <c r="G31" s="65">
        <f>SUM(J31,M31)</f>
        <v>2073</v>
      </c>
      <c r="H31" s="72">
        <f>SUM(I31:J31)</f>
        <v>3299</v>
      </c>
      <c r="I31" s="72">
        <v>1261</v>
      </c>
      <c r="J31" s="73">
        <v>2038</v>
      </c>
      <c r="K31" s="72">
        <f>SUM(L31:M31)</f>
        <v>78</v>
      </c>
      <c r="L31" s="72">
        <f>26+17</f>
        <v>43</v>
      </c>
      <c r="M31" s="73">
        <f>25+10</f>
        <v>35</v>
      </c>
      <c r="N31" s="68" t="s">
        <v>70</v>
      </c>
      <c r="O31" s="68" t="s">
        <v>70</v>
      </c>
      <c r="P31" s="68" t="s">
        <v>70</v>
      </c>
      <c r="Q31" s="68" t="s">
        <v>70</v>
      </c>
      <c r="R31" s="68" t="s">
        <v>70</v>
      </c>
      <c r="S31" s="68" t="s">
        <v>70</v>
      </c>
      <c r="T31" s="7"/>
      <c r="U31" s="16" t="s">
        <v>49</v>
      </c>
    </row>
    <row r="32" spans="1:21" s="13" customFormat="1" ht="13.5" customHeight="1" x14ac:dyDescent="0.25">
      <c r="A32" s="7"/>
      <c r="B32" s="7" t="s">
        <v>46</v>
      </c>
      <c r="C32" s="7"/>
      <c r="D32" s="17"/>
      <c r="E32" s="64">
        <f t="shared" ref="E32:E33" si="18">SUM(F32:G32)</f>
        <v>3125</v>
      </c>
      <c r="F32" s="65">
        <f t="shared" ref="F32:G33" si="19">SUM(I32,L32)</f>
        <v>1210</v>
      </c>
      <c r="G32" s="65">
        <f t="shared" si="19"/>
        <v>1915</v>
      </c>
      <c r="H32" s="72">
        <f t="shared" ref="H32:H33" si="20">SUM(I32:J32)</f>
        <v>3055</v>
      </c>
      <c r="I32" s="72">
        <v>1173</v>
      </c>
      <c r="J32" s="73">
        <v>1882</v>
      </c>
      <c r="K32" s="72">
        <f t="shared" ref="K32:K33" si="21">SUM(L32:M32)</f>
        <v>70</v>
      </c>
      <c r="L32" s="72">
        <f>23+14</f>
        <v>37</v>
      </c>
      <c r="M32" s="73">
        <f>20+13</f>
        <v>33</v>
      </c>
      <c r="N32" s="68" t="s">
        <v>70</v>
      </c>
      <c r="O32" s="68" t="s">
        <v>70</v>
      </c>
      <c r="P32" s="68" t="s">
        <v>70</v>
      </c>
      <c r="Q32" s="68" t="s">
        <v>70</v>
      </c>
      <c r="R32" s="68" t="s">
        <v>70</v>
      </c>
      <c r="S32" s="68" t="s">
        <v>70</v>
      </c>
      <c r="T32" s="7"/>
      <c r="U32" s="16" t="s">
        <v>59</v>
      </c>
    </row>
    <row r="33" spans="1:21" s="13" customFormat="1" ht="13.5" customHeight="1" x14ac:dyDescent="0.25">
      <c r="A33" s="7"/>
      <c r="B33" s="7" t="s">
        <v>47</v>
      </c>
      <c r="C33" s="7"/>
      <c r="D33" s="17"/>
      <c r="E33" s="64">
        <f t="shared" si="18"/>
        <v>3484</v>
      </c>
      <c r="F33" s="65">
        <f t="shared" si="19"/>
        <v>1326</v>
      </c>
      <c r="G33" s="65">
        <f t="shared" si="19"/>
        <v>2158</v>
      </c>
      <c r="H33" s="72">
        <f t="shared" si="20"/>
        <v>3425</v>
      </c>
      <c r="I33" s="72">
        <v>1293</v>
      </c>
      <c r="J33" s="73">
        <v>2132</v>
      </c>
      <c r="K33" s="72">
        <f t="shared" si="21"/>
        <v>59</v>
      </c>
      <c r="L33" s="72">
        <f>19+14</f>
        <v>33</v>
      </c>
      <c r="M33" s="73">
        <f>19+7</f>
        <v>26</v>
      </c>
      <c r="N33" s="68" t="s">
        <v>70</v>
      </c>
      <c r="O33" s="68" t="s">
        <v>70</v>
      </c>
      <c r="P33" s="68" t="s">
        <v>70</v>
      </c>
      <c r="Q33" s="68" t="s">
        <v>70</v>
      </c>
      <c r="R33" s="68" t="s">
        <v>70</v>
      </c>
      <c r="S33" s="68" t="s">
        <v>70</v>
      </c>
      <c r="T33" s="7"/>
      <c r="U33" s="16" t="s">
        <v>60</v>
      </c>
    </row>
    <row r="34" spans="1:21" ht="3" customHeight="1" x14ac:dyDescent="0.3">
      <c r="A34" s="15"/>
      <c r="B34" s="15"/>
      <c r="C34" s="15"/>
      <c r="D34" s="15"/>
      <c r="E34" s="36"/>
      <c r="F34" s="37"/>
      <c r="G34" s="37"/>
      <c r="H34" s="50"/>
      <c r="I34" s="50"/>
      <c r="J34" s="51"/>
      <c r="K34" s="50"/>
      <c r="L34" s="50"/>
      <c r="M34" s="51"/>
      <c r="N34" s="36"/>
      <c r="O34" s="36"/>
      <c r="P34" s="37"/>
      <c r="Q34" s="36"/>
      <c r="R34" s="36"/>
      <c r="S34" s="37"/>
      <c r="T34" s="15"/>
      <c r="U34" s="15"/>
    </row>
    <row r="35" spans="1:21" ht="3" customHeight="1" x14ac:dyDescent="0.3">
      <c r="A35" s="13"/>
      <c r="B35" s="13"/>
      <c r="C35" s="13"/>
      <c r="D35" s="13"/>
      <c r="E35" s="13"/>
      <c r="F35" s="13"/>
      <c r="G35" s="13"/>
      <c r="H35" s="52"/>
      <c r="I35" s="52"/>
      <c r="J35" s="52"/>
      <c r="K35" s="52"/>
      <c r="L35" s="52"/>
      <c r="M35" s="52"/>
      <c r="N35" s="13"/>
      <c r="O35" s="13"/>
      <c r="P35" s="13"/>
      <c r="Q35" s="13"/>
      <c r="R35" s="13"/>
      <c r="S35" s="13"/>
      <c r="T35" s="13"/>
      <c r="U35" s="13"/>
    </row>
    <row r="36" spans="1:21" s="3" customFormat="1" ht="18.75" customHeight="1" x14ac:dyDescent="0.25">
      <c r="A36" s="8"/>
      <c r="B36" s="8" t="s">
        <v>67</v>
      </c>
      <c r="C36" s="8"/>
      <c r="D36" s="8"/>
      <c r="E36" s="8"/>
      <c r="F36" s="8"/>
      <c r="G36" s="8"/>
      <c r="H36" s="53"/>
      <c r="I36" s="53"/>
      <c r="J36" s="53"/>
      <c r="K36" s="53" t="s">
        <v>68</v>
      </c>
      <c r="L36" s="53"/>
      <c r="M36" s="53"/>
      <c r="N36" s="8"/>
      <c r="O36" s="8"/>
      <c r="P36" s="8"/>
      <c r="Q36" s="8"/>
      <c r="R36" s="8"/>
      <c r="S36" s="8"/>
      <c r="T36" s="8"/>
      <c r="U36" s="8"/>
    </row>
    <row r="37" spans="1:21" ht="18.75" customHeight="1" x14ac:dyDescent="0.3">
      <c r="A37" s="13"/>
      <c r="B37" s="8" t="s">
        <v>73</v>
      </c>
      <c r="C37" s="8"/>
      <c r="D37" s="8"/>
      <c r="E37" s="8"/>
      <c r="F37" s="8"/>
      <c r="G37" s="8"/>
      <c r="H37" s="53"/>
      <c r="I37" s="53"/>
      <c r="J37" s="53"/>
      <c r="K37" s="53" t="s">
        <v>72</v>
      </c>
      <c r="L37" s="53"/>
      <c r="M37" s="53"/>
      <c r="N37" s="13"/>
      <c r="O37" s="13"/>
      <c r="P37" s="13"/>
      <c r="Q37" s="13"/>
      <c r="R37" s="13"/>
      <c r="S37" s="13"/>
      <c r="T37" s="13"/>
      <c r="U37" s="13"/>
    </row>
  </sheetData>
  <mergeCells count="25">
    <mergeCell ref="T4:U11"/>
    <mergeCell ref="K5:M5"/>
    <mergeCell ref="E6:G6"/>
    <mergeCell ref="H6:J6"/>
    <mergeCell ref="K6:M6"/>
    <mergeCell ref="N6:P6"/>
    <mergeCell ref="Q6:S6"/>
    <mergeCell ref="E7:G7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E9:G9"/>
    <mergeCell ref="H9:J9"/>
    <mergeCell ref="K9:M9"/>
    <mergeCell ref="N9:P9"/>
  </mergeCells>
  <pageMargins left="0.78740157480314965" right="0.59055118110236227" top="1.1811023622047245" bottom="0.78740157480314965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 (2)k</vt:lpstr>
      <vt:lpstr>'T-3.5 (2)k'!Print_Area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2017-09-05T06:26:44Z</dcterms:modified>
</cp:coreProperties>
</file>