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16.3" sheetId="1" r:id="rId1"/>
  </sheets>
  <definedNames>
    <definedName name="_xlnm.Print_Area" localSheetId="0">'T-16.3'!$A$1:$R$180</definedName>
    <definedName name="_xlnm.Print_Titles" localSheetId="0">'T-16.3'!$1:$8</definedName>
  </definedNames>
  <calcPr calcId="125725" fullCalcOnLoad="1"/>
</workbook>
</file>

<file path=xl/calcChain.xml><?xml version="1.0" encoding="utf-8"?>
<calcChain xmlns="http://schemas.openxmlformats.org/spreadsheetml/2006/main">
  <c r="K161" i="1"/>
  <c r="J161"/>
  <c r="E161"/>
  <c r="K160"/>
  <c r="J160"/>
  <c r="J159" s="1"/>
  <c r="E160"/>
  <c r="M159"/>
  <c r="L159"/>
  <c r="K159"/>
  <c r="I159"/>
  <c r="H159"/>
  <c r="G159"/>
  <c r="F159"/>
  <c r="E159"/>
  <c r="K158"/>
  <c r="J158"/>
  <c r="J157" s="1"/>
  <c r="E158"/>
  <c r="M157"/>
  <c r="L157"/>
  <c r="K157"/>
  <c r="I157"/>
  <c r="H157"/>
  <c r="G157"/>
  <c r="F157"/>
  <c r="E157"/>
  <c r="K156"/>
  <c r="J156"/>
  <c r="E156"/>
  <c r="K155"/>
  <c r="K154" s="1"/>
  <c r="J155"/>
  <c r="E155"/>
  <c r="E154" s="1"/>
  <c r="M154"/>
  <c r="L154"/>
  <c r="J154"/>
  <c r="I154"/>
  <c r="H154"/>
  <c r="G154"/>
  <c r="F154"/>
  <c r="K153"/>
  <c r="J153"/>
  <c r="E153"/>
  <c r="E150" s="1"/>
  <c r="K152"/>
  <c r="J152"/>
  <c r="E152"/>
  <c r="K151"/>
  <c r="K150" s="1"/>
  <c r="J151"/>
  <c r="E151"/>
  <c r="M150"/>
  <c r="L150"/>
  <c r="J150"/>
  <c r="I150"/>
  <c r="H150"/>
  <c r="G150"/>
  <c r="F150"/>
  <c r="K149"/>
  <c r="J149"/>
  <c r="E149"/>
  <c r="K148"/>
  <c r="J148"/>
  <c r="E148"/>
  <c r="K147"/>
  <c r="E147"/>
  <c r="K146"/>
  <c r="K144" s="1"/>
  <c r="J146"/>
  <c r="E146"/>
  <c r="K145"/>
  <c r="E145"/>
  <c r="E144" s="1"/>
  <c r="M144"/>
  <c r="L144"/>
  <c r="J144"/>
  <c r="I144"/>
  <c r="H144"/>
  <c r="G144"/>
  <c r="F144"/>
  <c r="K143"/>
  <c r="E143"/>
  <c r="K142"/>
  <c r="J142"/>
  <c r="E142"/>
  <c r="K141"/>
  <c r="J141"/>
  <c r="J140" s="1"/>
  <c r="E141"/>
  <c r="M140"/>
  <c r="L140"/>
  <c r="K140"/>
  <c r="I140"/>
  <c r="H140"/>
  <c r="G140"/>
  <c r="F140"/>
  <c r="E140"/>
  <c r="K139"/>
  <c r="J139"/>
  <c r="J135" s="1"/>
  <c r="E139"/>
  <c r="K138"/>
  <c r="J138"/>
  <c r="E138"/>
  <c r="E135" s="1"/>
  <c r="K137"/>
  <c r="J137"/>
  <c r="E137"/>
  <c r="K136"/>
  <c r="K135" s="1"/>
  <c r="J136"/>
  <c r="E136"/>
  <c r="M135"/>
  <c r="L135"/>
  <c r="I135"/>
  <c r="H135"/>
  <c r="G135"/>
  <c r="F135"/>
  <c r="K134"/>
  <c r="J134"/>
  <c r="E134"/>
  <c r="K133"/>
  <c r="J133"/>
  <c r="E133"/>
  <c r="K132"/>
  <c r="J132"/>
  <c r="E132"/>
  <c r="K130"/>
  <c r="J130"/>
  <c r="E130"/>
  <c r="K129"/>
  <c r="K125" s="1"/>
  <c r="J129"/>
  <c r="E129"/>
  <c r="K128"/>
  <c r="J128"/>
  <c r="J125" s="1"/>
  <c r="E128"/>
  <c r="K127"/>
  <c r="J127"/>
  <c r="E127"/>
  <c r="K126"/>
  <c r="J126"/>
  <c r="E126"/>
  <c r="M125"/>
  <c r="L125"/>
  <c r="I125"/>
  <c r="H125"/>
  <c r="G125"/>
  <c r="F125"/>
  <c r="E125"/>
  <c r="K124"/>
  <c r="J124"/>
  <c r="E124"/>
  <c r="M123"/>
  <c r="L123"/>
  <c r="K123"/>
  <c r="J123"/>
  <c r="I123"/>
  <c r="H123"/>
  <c r="G123"/>
  <c r="F123"/>
  <c r="E123"/>
  <c r="K122"/>
  <c r="J122"/>
  <c r="E122"/>
  <c r="K121"/>
  <c r="E121"/>
  <c r="K120"/>
  <c r="J120"/>
  <c r="E120"/>
  <c r="K119"/>
  <c r="E119"/>
  <c r="K118"/>
  <c r="J118"/>
  <c r="J114" s="1"/>
  <c r="E118"/>
  <c r="K117"/>
  <c r="J117"/>
  <c r="E117"/>
  <c r="E114" s="1"/>
  <c r="K116"/>
  <c r="J116"/>
  <c r="E116"/>
  <c r="K115"/>
  <c r="K114" s="1"/>
  <c r="J115"/>
  <c r="E115"/>
  <c r="M114"/>
  <c r="L114"/>
  <c r="I114"/>
  <c r="H114"/>
  <c r="G114"/>
  <c r="F114"/>
  <c r="K113"/>
  <c r="E113"/>
  <c r="K112"/>
  <c r="J112"/>
  <c r="E112"/>
  <c r="E108" s="1"/>
  <c r="K111"/>
  <c r="J111"/>
  <c r="E111"/>
  <c r="K110"/>
  <c r="J110"/>
  <c r="E110"/>
  <c r="K109"/>
  <c r="J109"/>
  <c r="J108" s="1"/>
  <c r="E109"/>
  <c r="M108"/>
  <c r="L108"/>
  <c r="K108"/>
  <c r="I108"/>
  <c r="H108"/>
  <c r="G108"/>
  <c r="F108"/>
  <c r="K107"/>
  <c r="J107"/>
  <c r="E107"/>
  <c r="K106"/>
  <c r="J106"/>
  <c r="E106"/>
  <c r="K105"/>
  <c r="J105"/>
  <c r="E105"/>
  <c r="K104"/>
  <c r="E104"/>
  <c r="K103"/>
  <c r="J103"/>
  <c r="E103"/>
  <c r="K102"/>
  <c r="J102"/>
  <c r="E102"/>
  <c r="K101"/>
  <c r="J101"/>
  <c r="E101"/>
  <c r="K100"/>
  <c r="J100"/>
  <c r="E100"/>
  <c r="K99"/>
  <c r="J99"/>
  <c r="E99"/>
  <c r="K98"/>
  <c r="J98"/>
  <c r="E98"/>
  <c r="K97"/>
  <c r="K94" s="1"/>
  <c r="J97"/>
  <c r="E97"/>
  <c r="K96"/>
  <c r="J96"/>
  <c r="E96"/>
  <c r="K95"/>
  <c r="J95"/>
  <c r="E95"/>
  <c r="E94" s="1"/>
  <c r="M94"/>
  <c r="L94"/>
  <c r="J94"/>
  <c r="I94"/>
  <c r="H94"/>
  <c r="G94"/>
  <c r="F94"/>
  <c r="K93"/>
  <c r="J93"/>
  <c r="E93"/>
  <c r="K91"/>
  <c r="E91"/>
  <c r="K90"/>
  <c r="J90"/>
  <c r="J87" s="1"/>
  <c r="E90"/>
  <c r="K89"/>
  <c r="J89"/>
  <c r="E89"/>
  <c r="K88"/>
  <c r="J88"/>
  <c r="E88"/>
  <c r="M87"/>
  <c r="L87"/>
  <c r="K87"/>
  <c r="I87"/>
  <c r="H87"/>
  <c r="G87"/>
  <c r="F87"/>
  <c r="E87"/>
  <c r="K86"/>
  <c r="J86"/>
  <c r="E86"/>
  <c r="K85"/>
  <c r="K83" s="1"/>
  <c r="J85"/>
  <c r="E85"/>
  <c r="K84"/>
  <c r="J84"/>
  <c r="J83" s="1"/>
  <c r="E84"/>
  <c r="M83"/>
  <c r="L83"/>
  <c r="I83"/>
  <c r="H83"/>
  <c r="G83"/>
  <c r="F83"/>
  <c r="E83"/>
  <c r="K82"/>
  <c r="J82"/>
  <c r="E82"/>
  <c r="K81"/>
  <c r="J81"/>
  <c r="E81"/>
  <c r="K80"/>
  <c r="J80"/>
  <c r="E80"/>
  <c r="J79"/>
  <c r="J75" s="1"/>
  <c r="E79"/>
  <c r="K78"/>
  <c r="J78"/>
  <c r="E78"/>
  <c r="E75" s="1"/>
  <c r="K77"/>
  <c r="J77"/>
  <c r="E77"/>
  <c r="K76"/>
  <c r="K75" s="1"/>
  <c r="J76"/>
  <c r="E76"/>
  <c r="M75"/>
  <c r="L75"/>
  <c r="I75"/>
  <c r="H75"/>
  <c r="G75"/>
  <c r="F75"/>
  <c r="K74"/>
  <c r="J74"/>
  <c r="E74"/>
  <c r="K73"/>
  <c r="J73"/>
  <c r="E73"/>
  <c r="K72"/>
  <c r="E72"/>
  <c r="K71"/>
  <c r="J71"/>
  <c r="E71"/>
  <c r="K70"/>
  <c r="J70"/>
  <c r="J64" s="1"/>
  <c r="E70"/>
  <c r="K69"/>
  <c r="J69"/>
  <c r="E69"/>
  <c r="K68"/>
  <c r="J68"/>
  <c r="E68"/>
  <c r="K67"/>
  <c r="K64" s="1"/>
  <c r="J67"/>
  <c r="E67"/>
  <c r="K66"/>
  <c r="E66"/>
  <c r="K65"/>
  <c r="J65"/>
  <c r="E65"/>
  <c r="M64"/>
  <c r="L64"/>
  <c r="I64"/>
  <c r="H64"/>
  <c r="G64"/>
  <c r="F64"/>
  <c r="E64"/>
  <c r="J63"/>
  <c r="E63"/>
  <c r="K62"/>
  <c r="J62"/>
  <c r="E62"/>
  <c r="K61"/>
  <c r="J61"/>
  <c r="E61"/>
  <c r="K60"/>
  <c r="J60"/>
  <c r="E60"/>
  <c r="K59"/>
  <c r="J59"/>
  <c r="E59"/>
  <c r="K58"/>
  <c r="J58"/>
  <c r="E58"/>
  <c r="K57"/>
  <c r="J57"/>
  <c r="E57"/>
  <c r="E53" s="1"/>
  <c r="K56"/>
  <c r="J56"/>
  <c r="E56"/>
  <c r="K55"/>
  <c r="J55"/>
  <c r="E55"/>
  <c r="K54"/>
  <c r="J54"/>
  <c r="J53" s="1"/>
  <c r="E54"/>
  <c r="M53"/>
  <c r="L53"/>
  <c r="K53"/>
  <c r="I53"/>
  <c r="H53"/>
  <c r="G53"/>
  <c r="F53"/>
  <c r="K52"/>
  <c r="J52"/>
  <c r="E52"/>
  <c r="J51"/>
  <c r="E51"/>
  <c r="K50"/>
  <c r="J50"/>
  <c r="E50"/>
  <c r="K49"/>
  <c r="J49"/>
  <c r="E49"/>
  <c r="K48"/>
  <c r="E48"/>
  <c r="K47"/>
  <c r="K44" s="1"/>
  <c r="J47"/>
  <c r="E47"/>
  <c r="K46"/>
  <c r="J46"/>
  <c r="E46"/>
  <c r="K45"/>
  <c r="J45"/>
  <c r="E45"/>
  <c r="E44" s="1"/>
  <c r="M44"/>
  <c r="L44"/>
  <c r="J44"/>
  <c r="I44"/>
  <c r="H44"/>
  <c r="G44"/>
  <c r="F44"/>
  <c r="K43"/>
  <c r="J43"/>
  <c r="E43"/>
  <c r="K42"/>
  <c r="J42"/>
  <c r="E42"/>
  <c r="M41"/>
  <c r="L41"/>
  <c r="K41"/>
  <c r="J41"/>
  <c r="I41"/>
  <c r="H41"/>
  <c r="G41"/>
  <c r="F41"/>
  <c r="E41"/>
  <c r="K40"/>
  <c r="J40"/>
  <c r="E40"/>
  <c r="K39"/>
  <c r="J39"/>
  <c r="E39"/>
  <c r="K38"/>
  <c r="E38"/>
  <c r="K37"/>
  <c r="J37"/>
  <c r="E37"/>
  <c r="K36"/>
  <c r="K32" s="1"/>
  <c r="J36"/>
  <c r="E36"/>
  <c r="K35"/>
  <c r="J35"/>
  <c r="J32" s="1"/>
  <c r="E35"/>
  <c r="K34"/>
  <c r="J34"/>
  <c r="E34"/>
  <c r="K33"/>
  <c r="J33"/>
  <c r="E33"/>
  <c r="M32"/>
  <c r="M10" s="1"/>
  <c r="L32"/>
  <c r="I32"/>
  <c r="I10" s="1"/>
  <c r="H32"/>
  <c r="G32"/>
  <c r="F32"/>
  <c r="E32"/>
  <c r="K31"/>
  <c r="J31"/>
  <c r="E31"/>
  <c r="K30"/>
  <c r="K27" s="1"/>
  <c r="J30"/>
  <c r="E30"/>
  <c r="K29"/>
  <c r="J29"/>
  <c r="E29"/>
  <c r="K28"/>
  <c r="J28"/>
  <c r="E28"/>
  <c r="E27" s="1"/>
  <c r="M27"/>
  <c r="L27"/>
  <c r="J27"/>
  <c r="I27"/>
  <c r="H27"/>
  <c r="G27"/>
  <c r="F27"/>
  <c r="F10" s="1"/>
  <c r="K26"/>
  <c r="J26"/>
  <c r="E26"/>
  <c r="K25"/>
  <c r="J25"/>
  <c r="H25"/>
  <c r="E25"/>
  <c r="E22" s="1"/>
  <c r="K24"/>
  <c r="J24"/>
  <c r="E24"/>
  <c r="K23"/>
  <c r="K22" s="1"/>
  <c r="J23"/>
  <c r="E23"/>
  <c r="M22"/>
  <c r="L22"/>
  <c r="J22"/>
  <c r="I22"/>
  <c r="H22"/>
  <c r="G22"/>
  <c r="F22"/>
  <c r="K21"/>
  <c r="J21"/>
  <c r="E21"/>
  <c r="K20"/>
  <c r="J20"/>
  <c r="E20"/>
  <c r="K19"/>
  <c r="J19"/>
  <c r="E19"/>
  <c r="K18"/>
  <c r="J18"/>
  <c r="E18"/>
  <c r="K17"/>
  <c r="J17"/>
  <c r="E17"/>
  <c r="K16"/>
  <c r="J16"/>
  <c r="E16"/>
  <c r="K15"/>
  <c r="J15"/>
  <c r="E15"/>
  <c r="E11" s="1"/>
  <c r="K14"/>
  <c r="J14"/>
  <c r="E14"/>
  <c r="K13"/>
  <c r="J13"/>
  <c r="E13"/>
  <c r="K12"/>
  <c r="J12"/>
  <c r="J11" s="1"/>
  <c r="E12"/>
  <c r="M11"/>
  <c r="L11"/>
  <c r="K11"/>
  <c r="I11"/>
  <c r="H11"/>
  <c r="G11"/>
  <c r="G10" s="1"/>
  <c r="F11"/>
  <c r="L10"/>
  <c r="H10"/>
  <c r="K10" l="1"/>
  <c r="J10"/>
  <c r="E10"/>
</calcChain>
</file>

<file path=xl/sharedStrings.xml><?xml version="1.0" encoding="utf-8"?>
<sst xmlns="http://schemas.openxmlformats.org/spreadsheetml/2006/main" count="423" uniqueCount="349">
  <si>
    <t xml:space="preserve">ตาราง   </t>
  </si>
  <si>
    <t>Table</t>
  </si>
  <si>
    <t xml:space="preserve">รายได้ </t>
  </si>
  <si>
    <t>รายจ่าย</t>
  </si>
  <si>
    <t xml:space="preserve"> </t>
  </si>
  <si>
    <t>Revenue</t>
  </si>
  <si>
    <t>Expenditure</t>
  </si>
  <si>
    <t xml:space="preserve">                  อำเภอ/                     </t>
  </si>
  <si>
    <t>ค่าธรรมเนียม</t>
  </si>
  <si>
    <t xml:space="preserve">District/Subdistrict </t>
  </si>
  <si>
    <t xml:space="preserve"> องค์การบริหารส่วนตำบล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</si>
  <si>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</si>
  <si>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</si>
  <si>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</si>
  <si>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</si>
  <si>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</si>
  <si>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</si>
  <si>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</si>
  <si>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</si>
  <si>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</si>
  <si>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</si>
  <si>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</si>
  <si>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Fees and fines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</si>
  <si>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</si>
  <si>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</si>
  <si>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</si>
  <si>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</si>
  <si>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</si>
  <si>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</si>
  <si>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</si>
  <si>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Organization</t>
  </si>
  <si>
    <t>duties</t>
  </si>
  <si>
    <t>utilities</t>
  </si>
  <si>
    <t>of investment</t>
  </si>
  <si>
    <t>expenditure</t>
  </si>
  <si>
    <t>รวมยอด</t>
  </si>
  <si>
    <t xml:space="preserve"> Total</t>
  </si>
  <si>
    <t>อำเภอเมืองนครศรีธรรมราช</t>
  </si>
  <si>
    <t xml:space="preserve"> Mueangnakhon Si Thammarat  District</t>
  </si>
  <si>
    <t>กำแพงเซา</t>
  </si>
  <si>
    <t>Khumpangsao</t>
  </si>
  <si>
    <t>ไชยมนตรี</t>
  </si>
  <si>
    <t>Chimontri</t>
  </si>
  <si>
    <t>ท่าซัก</t>
  </si>
  <si>
    <t>Thasak</t>
  </si>
  <si>
    <t>ท่าเรือ</t>
  </si>
  <si>
    <t>Tharua</t>
  </si>
  <si>
    <t>ท่าไร่</t>
  </si>
  <si>
    <t>Tharai</t>
  </si>
  <si>
    <t>นาเคียน</t>
  </si>
  <si>
    <t>Nakhian</t>
  </si>
  <si>
    <t>นาทราย</t>
  </si>
  <si>
    <t>Nasai</t>
  </si>
  <si>
    <t>บางจาก</t>
  </si>
  <si>
    <t>Bangchak</t>
  </si>
  <si>
    <t>ปากนคร</t>
  </si>
  <si>
    <t>Parnakorn</t>
  </si>
  <si>
    <t>มะม่วงสองต้น</t>
  </si>
  <si>
    <t>Mamuangsongton</t>
  </si>
  <si>
    <t>อำเภอพรหมคีรี</t>
  </si>
  <si>
    <t>Phrom Khiri District</t>
  </si>
  <si>
    <t>ทอนหงส์</t>
  </si>
  <si>
    <t>-</t>
  </si>
  <si>
    <t>Thonhong</t>
  </si>
  <si>
    <t>นาเรียง</t>
  </si>
  <si>
    <t>Nariang</t>
  </si>
  <si>
    <t>บ้านเกาะ</t>
  </si>
  <si>
    <t>Bankhor</t>
  </si>
  <si>
    <t>อินคีรี</t>
  </si>
  <si>
    <t>Inkhiri</t>
  </si>
  <si>
    <t>อำเภอลานสกา</t>
  </si>
  <si>
    <t>Lan Saka District</t>
  </si>
  <si>
    <t>กำโลน</t>
  </si>
  <si>
    <t>Khumlone</t>
  </si>
  <si>
    <t>เขาแก้ว</t>
  </si>
  <si>
    <t>Khaokaew</t>
  </si>
  <si>
    <t>ท่าดี</t>
  </si>
  <si>
    <t>Thadee</t>
  </si>
  <si>
    <t>ลานสกา</t>
  </si>
  <si>
    <t>Lansaka</t>
  </si>
  <si>
    <t>อำเภอฉวาง</t>
  </si>
  <si>
    <t>Chawang District</t>
  </si>
  <si>
    <t>กะเบียด</t>
  </si>
  <si>
    <t>Kabiad</t>
  </si>
  <si>
    <t>นากะซะ</t>
  </si>
  <si>
    <t>Nakacha</t>
  </si>
  <si>
    <t>นาเขลียง</t>
  </si>
  <si>
    <t>Nakhiang</t>
  </si>
  <si>
    <t>นาแว</t>
  </si>
  <si>
    <t>Nawae</t>
  </si>
  <si>
    <t>ไม้เรียง</t>
  </si>
  <si>
    <t>Mairiang</t>
  </si>
  <si>
    <t>ละอาย</t>
  </si>
  <si>
    <t>La-ai</t>
  </si>
  <si>
    <t>ไสหร้า</t>
  </si>
  <si>
    <t>Saira</t>
  </si>
  <si>
    <t>ห้วยปริก</t>
  </si>
  <si>
    <t>Huayprik</t>
  </si>
  <si>
    <t>อำเภอพิปูน</t>
  </si>
  <si>
    <t>Phipun District</t>
  </si>
  <si>
    <t>พิปูน</t>
  </si>
  <si>
    <t>Phipoon</t>
  </si>
  <si>
    <t>ยางค้อม</t>
  </si>
  <si>
    <t>Yangkom</t>
  </si>
  <si>
    <t>อำเภอเชียรใหญ่</t>
  </si>
  <si>
    <t>Chianyai District</t>
  </si>
  <si>
    <t>เขาพระบาท</t>
  </si>
  <si>
    <t>Kaoprabah</t>
  </si>
  <si>
    <t>เชิยรใหญ่</t>
  </si>
  <si>
    <t>Chianyai</t>
  </si>
  <si>
    <t>ท้องลำเจียก</t>
  </si>
  <si>
    <t>Thonglumliak</t>
  </si>
  <si>
    <t>ท่าขนาน</t>
  </si>
  <si>
    <t>Thakhanan</t>
  </si>
  <si>
    <t>บ้านเนิน</t>
  </si>
  <si>
    <t>Banneng</t>
  </si>
  <si>
    <t>แม่เจ้าอยู่หัว</t>
  </si>
  <si>
    <t>Maechoayoohua</t>
  </si>
  <si>
    <t>เสือหึง</t>
  </si>
  <si>
    <t>6282334.00+3885171.93</t>
  </si>
  <si>
    <t>Suahung</t>
  </si>
  <si>
    <t>ไสหมาก</t>
  </si>
  <si>
    <t>Saimak</t>
  </si>
  <si>
    <t>อำเภอชะอวด</t>
  </si>
  <si>
    <t>Cha-uat District</t>
  </si>
  <si>
    <t>เกาะขันธ์</t>
  </si>
  <si>
    <t>Koakhun</t>
  </si>
  <si>
    <t>เคร็ง</t>
  </si>
  <si>
    <t>Khreng</t>
  </si>
  <si>
    <t>ขอนหาด</t>
  </si>
  <si>
    <t>Khornhard</t>
  </si>
  <si>
    <t>เขาพระทอง</t>
  </si>
  <si>
    <t>Kaoprathong</t>
  </si>
  <si>
    <t>ควนหนองหงษ์</t>
  </si>
  <si>
    <t>Khuannonghong</t>
  </si>
  <si>
    <t>ชะอวด</t>
  </si>
  <si>
    <t xml:space="preserve">Cha-uat </t>
  </si>
  <si>
    <t>ท่าเสม็ด</t>
  </si>
  <si>
    <t>Thasamed</t>
  </si>
  <si>
    <t>นางหลง</t>
  </si>
  <si>
    <t>Nanglong</t>
  </si>
  <si>
    <t>บ้านตูล</t>
  </si>
  <si>
    <t>Bantoon</t>
  </si>
  <si>
    <t>วังอ่าง</t>
  </si>
  <si>
    <t>8899899.79+6139042.61</t>
  </si>
  <si>
    <t>Wang-ang</t>
  </si>
  <si>
    <t>อำเภอท่าศาลา</t>
  </si>
  <si>
    <t>Tha Sala District</t>
  </si>
  <si>
    <t>กลาย</t>
  </si>
  <si>
    <t>Klai</t>
  </si>
  <si>
    <t>ดอนตะโก</t>
  </si>
  <si>
    <t>Dontako</t>
  </si>
  <si>
    <t>ตลิ่งชัน</t>
  </si>
  <si>
    <t>Talingchun</t>
  </si>
  <si>
    <t>ท่าขึ้น</t>
  </si>
  <si>
    <t>Thahun</t>
  </si>
  <si>
    <t>ท่าศาลา</t>
  </si>
  <si>
    <t>Tasala</t>
  </si>
  <si>
    <t>ไทยบุรี</t>
  </si>
  <si>
    <t>Thaiburi</t>
  </si>
  <si>
    <t>โพธิ์ทอง</t>
  </si>
  <si>
    <t>Pothong</t>
  </si>
  <si>
    <t>โมคลาน</t>
  </si>
  <si>
    <t>Mokeklan</t>
  </si>
  <si>
    <t>สระแก้ว</t>
  </si>
  <si>
    <t>Sakaew</t>
  </si>
  <si>
    <t>หัวตะพาน</t>
  </si>
  <si>
    <t>Huatapan</t>
  </si>
  <si>
    <t>อำเภอทุ่งสง</t>
  </si>
  <si>
    <t>Thung Song District</t>
  </si>
  <si>
    <t>เขาขาว</t>
  </si>
  <si>
    <t>Kaokaow</t>
  </si>
  <si>
    <t>เขาโร</t>
  </si>
  <si>
    <t>Kaoroe</t>
  </si>
  <si>
    <t>ควนกรด</t>
  </si>
  <si>
    <t>Khunkrrod</t>
  </si>
  <si>
    <t>นาโพธิ์</t>
  </si>
  <si>
    <t>6216170.36+4659416.69</t>
  </si>
  <si>
    <t>Napoe</t>
  </si>
  <si>
    <t>นาหลวงเสน</t>
  </si>
  <si>
    <t>Nalaungsane</t>
  </si>
  <si>
    <t>น้ำตก</t>
  </si>
  <si>
    <t>Numtok</t>
  </si>
  <si>
    <t>หนองหงส์</t>
  </si>
  <si>
    <t>Nongthong</t>
  </si>
  <si>
    <t>อำเภอนาบอน</t>
  </si>
  <si>
    <t>Amphur Nabon</t>
  </si>
  <si>
    <t>แก้วแสน</t>
  </si>
  <si>
    <t>Kaewsan</t>
  </si>
  <si>
    <t>ทุ่งสง</t>
  </si>
  <si>
    <t>Tungsong</t>
  </si>
  <si>
    <t>นาบอน</t>
  </si>
  <si>
    <t>Nabon</t>
  </si>
  <si>
    <t>อำเภอทุ่งใหญ่</t>
  </si>
  <si>
    <t>Amphur Tungyai</t>
  </si>
  <si>
    <t>กรุงหยัน</t>
  </si>
  <si>
    <t>Krungyun</t>
  </si>
  <si>
    <t>กูแหระ</t>
  </si>
  <si>
    <t>Kurae</t>
  </si>
  <si>
    <t>ท่ายาง</t>
  </si>
  <si>
    <t>Thayang</t>
  </si>
  <si>
    <t>ทุ่งใหญ่</t>
  </si>
  <si>
    <t>Tungyai</t>
  </si>
  <si>
    <t>บางรูป</t>
  </si>
  <si>
    <t>Bangroob</t>
  </si>
  <si>
    <t>ปริก</t>
  </si>
  <si>
    <t>Prik</t>
  </si>
  <si>
    <t>อำเภอปากพนัง</t>
  </si>
  <si>
    <t>Amphur Parkpanang</t>
  </si>
  <si>
    <t>ขนาบนาก</t>
  </si>
  <si>
    <t>Khanabnar</t>
  </si>
  <si>
    <t>คลองกระบือ</t>
  </si>
  <si>
    <t>Klongkrabie</t>
  </si>
  <si>
    <t>คลองน้อย</t>
  </si>
  <si>
    <t>Klongnoi</t>
  </si>
  <si>
    <t>ท่าพญา</t>
  </si>
  <si>
    <t>Tapaya</t>
  </si>
  <si>
    <t>บางศาลา</t>
  </si>
  <si>
    <t>Bangsala</t>
  </si>
  <si>
    <t>บ้านเพิง</t>
  </si>
  <si>
    <t>Banperng</t>
  </si>
  <si>
    <t>บ้านใหม่</t>
  </si>
  <si>
    <t xml:space="preserve"> 3 3607.</t>
  </si>
  <si>
    <t>Banmai</t>
  </si>
  <si>
    <t>ปากพนังฝั่งตะวันตก</t>
  </si>
  <si>
    <t>Parkpanangfungtawantok</t>
  </si>
  <si>
    <t>ปากพนังตะวันออก</t>
  </si>
  <si>
    <t>Parkpanangfungtawan-ok</t>
  </si>
  <si>
    <t>ปากแพรก</t>
  </si>
  <si>
    <t>Parkpraek</t>
  </si>
  <si>
    <t>ป่าระกำ</t>
  </si>
  <si>
    <t>Parakum</t>
  </si>
  <si>
    <t>หูล่อง</t>
  </si>
  <si>
    <t>Hulong</t>
  </si>
  <si>
    <t>แหลมตะลุมพุก</t>
  </si>
  <si>
    <t>Laemtalumpook</t>
  </si>
  <si>
    <t>อำเภอร่อนพิบูลย์</t>
  </si>
  <si>
    <t>Amphur Ronpiboon</t>
  </si>
  <si>
    <t>ควนชุม</t>
  </si>
  <si>
    <t>Khuanchoom</t>
  </si>
  <si>
    <t>ควนพัง</t>
  </si>
  <si>
    <t>Khuanpang</t>
  </si>
  <si>
    <t>ร่อนพิบูลย์</t>
  </si>
  <si>
    <t>Ronpiboon</t>
  </si>
  <si>
    <t>เสาธง</t>
  </si>
  <si>
    <t>Sauthong</t>
  </si>
  <si>
    <t>หินตก</t>
  </si>
  <si>
    <t>Hintok</t>
  </si>
  <si>
    <t>อำเภอสิชล</t>
  </si>
  <si>
    <t>Amphur Sichon</t>
  </si>
  <si>
    <t>เขาน้อย</t>
  </si>
  <si>
    <t>Kaonoi</t>
  </si>
  <si>
    <t>ฉลอง</t>
  </si>
  <si>
    <t>Chalong</t>
  </si>
  <si>
    <t>ทุ่งปรัง</t>
  </si>
  <si>
    <t>Tungprung</t>
  </si>
  <si>
    <t>เทพราช</t>
  </si>
  <si>
    <t>Tepparat</t>
  </si>
  <si>
    <t>เปลี่ยน</t>
  </si>
  <si>
    <t>Plian</t>
  </si>
  <si>
    <t>สิชล</t>
  </si>
  <si>
    <t>Sichon</t>
  </si>
  <si>
    <t>สี่ขีด</t>
  </si>
  <si>
    <t>Sikeet</t>
  </si>
  <si>
    <t>เสาเภา</t>
  </si>
  <si>
    <t>Saopao</t>
  </si>
  <si>
    <t>อำเภอขนอม</t>
  </si>
  <si>
    <t>Khanom District</t>
  </si>
  <si>
    <t>ควนทอง</t>
  </si>
  <si>
    <t>Khuanthong</t>
  </si>
  <si>
    <t>อำเภอหัวไทร</t>
  </si>
  <si>
    <t>Amphur Huasai</t>
  </si>
  <si>
    <t>เขาพังไกร</t>
  </si>
  <si>
    <t>Khaopungkrai</t>
  </si>
  <si>
    <t>ควนชะลิก</t>
  </si>
  <si>
    <t>Khuanchalick</t>
  </si>
  <si>
    <t>ทรายขาว</t>
  </si>
  <si>
    <t>Saikhao</t>
  </si>
  <si>
    <t>ท่าซอม</t>
  </si>
  <si>
    <t>Thachalorm</t>
  </si>
  <si>
    <t>บางนบ</t>
  </si>
  <si>
    <t>Bangnob</t>
  </si>
  <si>
    <t>บ้านราม</t>
  </si>
  <si>
    <t>Banram</t>
  </si>
  <si>
    <t>รามแก้ว</t>
  </si>
  <si>
    <t>Ramkaew</t>
  </si>
  <si>
    <t>หัวไทร</t>
  </si>
  <si>
    <t>Huasai</t>
  </si>
  <si>
    <t>แหลม</t>
  </si>
  <si>
    <t>Laem</t>
  </si>
  <si>
    <t>อำเภอบางขัน</t>
  </si>
  <si>
    <t>Amphur Bangkun</t>
  </si>
  <si>
    <t>บางขัน</t>
  </si>
  <si>
    <t>Bangkun</t>
  </si>
  <si>
    <t>บ้านนิคม</t>
  </si>
  <si>
    <t>Bannikom</t>
  </si>
  <si>
    <t>บ้านลำนาว</t>
  </si>
  <si>
    <t>Banlumnao</t>
  </si>
  <si>
    <t>วังหิน</t>
  </si>
  <si>
    <t>Vunghin</t>
  </si>
  <si>
    <t>อำเภอถ้ำพรรณรา</t>
  </si>
  <si>
    <t>Amphur Punnara</t>
  </si>
  <si>
    <t>คลองเส</t>
  </si>
  <si>
    <t>klongsae</t>
  </si>
  <si>
    <t>ดุสิต</t>
  </si>
  <si>
    <t>Dusit</t>
  </si>
  <si>
    <t>ถ้ำพรรณรา</t>
  </si>
  <si>
    <t>Thampunnara</t>
  </si>
  <si>
    <t>อำเภอจุฬาภรณ์</t>
  </si>
  <si>
    <t>Amphur Chulaporn</t>
  </si>
  <si>
    <t>ควนหนองคว้า</t>
  </si>
  <si>
    <t>Khuannongwa</t>
  </si>
  <si>
    <t>ทุ่งโพธิ์</t>
  </si>
  <si>
    <t>Tungpo</t>
  </si>
  <si>
    <t>นาหมอบุญ</t>
  </si>
  <si>
    <t xml:space="preserve"> =9254257.00+15409414.00</t>
  </si>
  <si>
    <t>Namoboon</t>
  </si>
  <si>
    <t>บ้านชะอวด</t>
  </si>
  <si>
    <t>Bancha-uad</t>
  </si>
  <si>
    <t>สามตำบล</t>
  </si>
  <si>
    <t>Samtumbon</t>
  </si>
  <si>
    <t>อำเภอพระพรหม</t>
  </si>
  <si>
    <t>Amphur Phraprom</t>
  </si>
  <si>
    <t>ช้างซ้าย</t>
  </si>
  <si>
    <t>Changsai</t>
  </si>
  <si>
    <t>ท้ายสำเภา</t>
  </si>
  <si>
    <t>Taisumpao</t>
  </si>
  <si>
    <t>นาพรุ</t>
  </si>
  <si>
    <t>Napru</t>
  </si>
  <si>
    <t>อำเภอนบพิตำ</t>
  </si>
  <si>
    <t>Amphur Nobpitum</t>
  </si>
  <si>
    <t>กรุงชิง</t>
  </si>
  <si>
    <t>Krungching</t>
  </si>
  <si>
    <t>กระหรอ</t>
  </si>
  <si>
    <t>Karoa</t>
  </si>
  <si>
    <t>อำเภอช้างกลาง</t>
  </si>
  <si>
    <t>Amphur Changklang</t>
  </si>
  <si>
    <t>ช้างกลาง</t>
  </si>
  <si>
    <t>Changklang</t>
  </si>
  <si>
    <t>อำเภอเฉลิมพระเกียรติ</t>
  </si>
  <si>
    <t>Amphur Chalermprakiat</t>
  </si>
  <si>
    <t>เชียรเขา</t>
  </si>
  <si>
    <t>Chiankao</t>
  </si>
  <si>
    <t>สวนหลวง</t>
  </si>
  <si>
    <t>Suangluang</t>
  </si>
  <si>
    <t xml:space="preserve">      ที่มา:  สำนักงานท้องถิ่นจังหวัดนครศรีธรรมราช</t>
  </si>
  <si>
    <t xml:space="preserve">      Source:   Nakhon Si Thammarat Provincial Local Office</t>
  </si>
  <si>
    <t xml:space="preserve"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2557  </t>
  </si>
  <si>
    <t xml:space="preserve">Actual Revenue and Expenditure of Subdistrict Administration Organization by Type, District and Subdistrict Administration Organization:  Fiscal Year 2014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</si>
</sst>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3"/>
      <name val="Cordia New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0" fontId="3" fillId="0" borderId="3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/>
    <xf numFmtId="0" fontId="4" fillId="0" borderId="4" xfId="0" applyFont="1" applyBorder="1"/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9" xfId="0" applyFont="1" applyBorder="1"/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3" fillId="0" borderId="9" xfId="1" applyFont="1" applyBorder="1" applyAlignment="1">
      <alignment horizontal="right"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43" fontId="5" fillId="0" borderId="9" xfId="1" applyFont="1" applyBorder="1" applyAlignment="1">
      <alignment horizontal="right" wrapText="1"/>
    </xf>
    <xf numFmtId="0" fontId="5" fillId="0" borderId="4" xfId="0" applyFont="1" applyBorder="1"/>
    <xf numFmtId="0" fontId="3" fillId="0" borderId="4" xfId="0" applyFont="1" applyBorder="1"/>
    <xf numFmtId="0" fontId="5" fillId="0" borderId="0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 applyAlignment="1">
      <alignment horizontal="right" wrapText="1"/>
    </xf>
    <xf numFmtId="0" fontId="6" fillId="0" borderId="0" xfId="0" applyFont="1" applyBorder="1"/>
    <xf numFmtId="0" fontId="7" fillId="0" borderId="0" xfId="0" applyFont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9</xdr:row>
      <xdr:rowOff>38100</xdr:rowOff>
    </xdr:from>
    <xdr:to>
      <xdr:col>25</xdr:col>
      <xdr:colOff>561975</xdr:colOff>
      <xdr:row>44</xdr:row>
      <xdr:rowOff>76200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17907000" y="2200275"/>
          <a:ext cx="514350" cy="8734425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9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193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165"/>
  <sheetViews>
    <sheetView showGridLines="0" tabSelected="1" topLeftCell="A163" zoomScaleNormal="100" workbookViewId="0">
      <selection activeCell="O15" sqref="O15"/>
    </sheetView>
  </sheetViews>
  <sheetFormatPr defaultRowHeight="21.75"/>
  <cols>
    <col min="1" max="1" width="1.7109375" style="46" customWidth="1"/>
    <col min="2" max="2" width="5.85546875" style="46" customWidth="1"/>
    <col min="3" max="3" width="4.5703125" style="46" customWidth="1"/>
    <col min="4" max="4" width="10.28515625" style="46" customWidth="1"/>
    <col min="5" max="5" width="16.7109375" style="46" customWidth="1"/>
    <col min="6" max="6" width="13.5703125" style="46" customWidth="1"/>
    <col min="7" max="7" width="15.140625" style="46" customWidth="1"/>
    <col min="8" max="8" width="13.42578125" style="46" customWidth="1"/>
    <col min="9" max="9" width="13" style="46" customWidth="1"/>
    <col min="10" max="10" width="15.28515625" style="46" customWidth="1"/>
    <col min="11" max="11" width="16.140625" style="46" customWidth="1"/>
    <col min="12" max="12" width="15.140625" style="46" customWidth="1"/>
    <col min="13" max="13" width="14.140625" style="46" customWidth="1"/>
    <col min="14" max="14" width="0.7109375" style="46" customWidth="1"/>
    <col min="15" max="15" width="31.85546875" style="46" customWidth="1"/>
    <col min="16" max="16" width="2.28515625" style="46" customWidth="1"/>
    <col min="17" max="17" width="4.85546875" style="46" customWidth="1"/>
    <col min="18" max="16384" width="9.140625" style="46"/>
  </cols>
  <sheetData>
    <row r="1" spans="1:16" s="1" customFormat="1">
      <c r="B1" s="2" t="s">
        <v>0</v>
      </c>
      <c r="C1" s="3">
        <v>16.3</v>
      </c>
      <c r="D1" s="2" t="s">
        <v>347</v>
      </c>
    </row>
    <row r="2" spans="1:16" s="4" customFormat="1">
      <c r="B2" s="1" t="s">
        <v>1</v>
      </c>
      <c r="C2" s="3">
        <v>16.3</v>
      </c>
      <c r="D2" s="5" t="s">
        <v>348</v>
      </c>
    </row>
    <row r="3" spans="1:16" s="16" customFormat="1" ht="19.5">
      <c r="A3" s="6"/>
      <c r="B3" s="7"/>
      <c r="C3" s="7"/>
      <c r="D3" s="8"/>
      <c r="E3" s="9" t="s">
        <v>2</v>
      </c>
      <c r="F3" s="10"/>
      <c r="G3" s="10"/>
      <c r="H3" s="10"/>
      <c r="I3" s="10"/>
      <c r="J3" s="11"/>
      <c r="K3" s="12" t="s">
        <v>3</v>
      </c>
      <c r="L3" s="13"/>
      <c r="M3" s="13"/>
      <c r="N3" s="14" t="s">
        <v>4</v>
      </c>
      <c r="O3" s="15"/>
    </row>
    <row r="4" spans="1:16" s="16" customFormat="1" ht="19.5">
      <c r="A4" s="17"/>
      <c r="B4" s="17"/>
      <c r="C4" s="17"/>
      <c r="D4" s="18"/>
      <c r="E4" s="19" t="s">
        <v>5</v>
      </c>
      <c r="F4" s="20"/>
      <c r="G4" s="20"/>
      <c r="H4" s="20"/>
      <c r="I4" s="20"/>
      <c r="J4" s="21"/>
      <c r="K4" s="22" t="s">
        <v>6</v>
      </c>
      <c r="L4" s="23"/>
      <c r="M4" s="24"/>
      <c r="N4" s="25"/>
      <c r="O4" s="26"/>
    </row>
    <row r="5" spans="1:16" s="16" customFormat="1">
      <c r="A5" s="27" t="s">
        <v>7</v>
      </c>
      <c r="B5" s="27"/>
      <c r="C5" s="27"/>
      <c r="D5" s="28"/>
      <c r="E5" s="29"/>
      <c r="F5" s="29" t="s">
        <v>8</v>
      </c>
      <c r="G5" s="29"/>
      <c r="H5" s="29"/>
      <c r="I5" s="30"/>
      <c r="J5" s="31"/>
      <c r="K5" s="31"/>
      <c r="L5" s="31" t="s">
        <v>3</v>
      </c>
      <c r="M5" s="31" t="s">
        <v>3</v>
      </c>
      <c r="N5" s="32" t="s">
        <v>9</v>
      </c>
      <c r="O5" s="33"/>
      <c r="P5" s="34"/>
    </row>
    <row r="6" spans="1:16" s="16" customFormat="1">
      <c r="A6" s="35" t="s">
        <v>10</v>
      </c>
      <c r="B6" s="35"/>
      <c r="C6" s="35"/>
      <c r="D6" s="28"/>
      <c r="E6" s="29" t="s">
        <v>11</v>
      </c>
      <c r="F6" s="29" t="s">
        <v>12</v>
      </c>
      <c r="G6" s="29" t="s">
        <v>13</v>
      </c>
      <c r="H6" s="29" t="s">
        <v>14</v>
      </c>
      <c r="I6" s="29" t="s">
        <v>15</v>
      </c>
      <c r="J6" s="31" t="s">
        <v>16</v>
      </c>
      <c r="K6" s="31" t="s">
        <v>17</v>
      </c>
      <c r="L6" s="31" t="s">
        <v>18</v>
      </c>
      <c r="M6" s="31" t="s">
        <v>19</v>
      </c>
      <c r="N6" s="32" t="s">
        <v>20</v>
      </c>
      <c r="O6" s="33"/>
      <c r="P6" s="34"/>
    </row>
    <row r="7" spans="1:16" s="16" customFormat="1">
      <c r="A7" s="17"/>
      <c r="B7" s="17"/>
      <c r="C7" s="17"/>
      <c r="D7" s="18"/>
      <c r="E7" s="29" t="s">
        <v>21</v>
      </c>
      <c r="F7" s="29" t="s">
        <v>22</v>
      </c>
      <c r="G7" s="29" t="s">
        <v>23</v>
      </c>
      <c r="H7" s="29" t="s">
        <v>24</v>
      </c>
      <c r="I7" s="29" t="s">
        <v>25</v>
      </c>
      <c r="J7" s="31" t="s">
        <v>26</v>
      </c>
      <c r="K7" s="31" t="s">
        <v>27</v>
      </c>
      <c r="L7" s="31" t="s">
        <v>28</v>
      </c>
      <c r="M7" s="31" t="s">
        <v>29</v>
      </c>
      <c r="N7" s="32" t="s">
        <v>30</v>
      </c>
      <c r="O7" s="33"/>
      <c r="P7" s="34"/>
    </row>
    <row r="8" spans="1:16" s="16" customFormat="1" ht="19.5">
      <c r="A8" s="36"/>
      <c r="B8" s="36"/>
      <c r="C8" s="36"/>
      <c r="D8" s="37"/>
      <c r="E8" s="38" t="s">
        <v>31</v>
      </c>
      <c r="F8" s="39"/>
      <c r="G8" s="38"/>
      <c r="H8" s="38" t="s">
        <v>32</v>
      </c>
      <c r="I8" s="38"/>
      <c r="J8" s="38"/>
      <c r="K8" s="38" t="s">
        <v>6</v>
      </c>
      <c r="L8" s="40" t="s">
        <v>33</v>
      </c>
      <c r="M8" s="38" t="s">
        <v>34</v>
      </c>
      <c r="N8" s="41"/>
      <c r="O8" s="42"/>
    </row>
    <row r="9" spans="1:16" ht="3" customHeight="1">
      <c r="A9" s="35" t="s">
        <v>4</v>
      </c>
      <c r="B9" s="35"/>
      <c r="C9" s="35"/>
      <c r="D9" s="28"/>
      <c r="E9" s="43"/>
      <c r="F9" s="43"/>
      <c r="G9" s="43"/>
      <c r="H9" s="43"/>
      <c r="I9" s="43"/>
      <c r="J9" s="43"/>
      <c r="K9" s="43"/>
      <c r="L9" s="43"/>
      <c r="M9" s="43"/>
      <c r="N9" s="44"/>
      <c r="O9" s="45"/>
    </row>
    <row r="10" spans="1:16">
      <c r="A10" s="47"/>
      <c r="B10" s="47"/>
      <c r="C10" s="48" t="s">
        <v>35</v>
      </c>
      <c r="D10" s="49"/>
      <c r="E10" s="50">
        <f t="shared" ref="E10:M10" si="0">SUM(E11,E22,E27,E32,E41,E44,E53,E64,E75,E83,E87,E94,E108,E114,E123,E125,E135,E140,E144,E150,E154,E157,E159)</f>
        <v>2274169993.4099998</v>
      </c>
      <c r="F10" s="50">
        <f t="shared" si="0"/>
        <v>24191139.32</v>
      </c>
      <c r="G10" s="50">
        <f t="shared" si="0"/>
        <v>39298755.050000004</v>
      </c>
      <c r="H10" s="50">
        <f t="shared" si="0"/>
        <v>42174387.910000004</v>
      </c>
      <c r="I10" s="50">
        <f t="shared" si="0"/>
        <v>20061865.909999996</v>
      </c>
      <c r="J10" s="50">
        <f t="shared" si="0"/>
        <v>2809446111.5599995</v>
      </c>
      <c r="K10" s="50">
        <f t="shared" si="0"/>
        <v>1850199885.0899999</v>
      </c>
      <c r="L10" s="50">
        <f t="shared" si="0"/>
        <v>728072968.19999993</v>
      </c>
      <c r="M10" s="50">
        <f t="shared" si="0"/>
        <v>329013046.65999997</v>
      </c>
      <c r="N10" s="51"/>
      <c r="O10" s="48" t="s">
        <v>36</v>
      </c>
    </row>
    <row r="11" spans="1:16" s="30" customFormat="1" ht="19.5">
      <c r="A11" s="47" t="s">
        <v>37</v>
      </c>
      <c r="B11" s="47"/>
      <c r="C11" s="48"/>
      <c r="D11" s="49"/>
      <c r="E11" s="50">
        <f t="shared" ref="E11:M11" si="1">SUM(E12:E21)</f>
        <v>223875615.98000002</v>
      </c>
      <c r="F11" s="50">
        <f t="shared" si="1"/>
        <v>3497983.6599999997</v>
      </c>
      <c r="G11" s="50">
        <f t="shared" si="1"/>
        <v>5439593.0799999991</v>
      </c>
      <c r="H11" s="50">
        <f t="shared" si="1"/>
        <v>9903321.2300000004</v>
      </c>
      <c r="I11" s="50">
        <f t="shared" si="1"/>
        <v>2170826.4</v>
      </c>
      <c r="J11" s="50">
        <f t="shared" si="1"/>
        <v>248767291.97999999</v>
      </c>
      <c r="K11" s="50">
        <f t="shared" si="1"/>
        <v>181014760.63999999</v>
      </c>
      <c r="L11" s="50">
        <f t="shared" si="1"/>
        <v>72031598.879999995</v>
      </c>
      <c r="M11" s="50">
        <f t="shared" si="1"/>
        <v>13939024.07</v>
      </c>
      <c r="N11" s="4"/>
      <c r="O11" s="47" t="s">
        <v>38</v>
      </c>
    </row>
    <row r="12" spans="1:16" s="16" customFormat="1" ht="19.5">
      <c r="A12" s="47"/>
      <c r="B12" s="52" t="s">
        <v>39</v>
      </c>
      <c r="C12" s="48"/>
      <c r="D12" s="49"/>
      <c r="E12" s="53">
        <f>184912.5+17809900.07</f>
        <v>17994812.57</v>
      </c>
      <c r="F12" s="53">
        <v>240378.49</v>
      </c>
      <c r="G12" s="53">
        <v>563736.65</v>
      </c>
      <c r="H12" s="53">
        <v>448935</v>
      </c>
      <c r="I12" s="53">
        <v>205090</v>
      </c>
      <c r="J12" s="53">
        <f>11793589+16796996</f>
        <v>28590585</v>
      </c>
      <c r="K12" s="53">
        <f>8333057.26+8600550.41</f>
        <v>16933607.670000002</v>
      </c>
      <c r="L12" s="53">
        <v>5438110</v>
      </c>
      <c r="M12" s="53">
        <v>1462659</v>
      </c>
      <c r="N12" s="51"/>
      <c r="O12" s="52" t="s">
        <v>40</v>
      </c>
    </row>
    <row r="13" spans="1:16" s="16" customFormat="1" ht="19.5">
      <c r="A13" s="47"/>
      <c r="B13" s="52" t="s">
        <v>41</v>
      </c>
      <c r="C13" s="48"/>
      <c r="D13" s="49"/>
      <c r="E13" s="53">
        <f>342069.12+14390042.82</f>
        <v>14732111.939999999</v>
      </c>
      <c r="F13" s="53">
        <v>321968.57</v>
      </c>
      <c r="G13" s="53">
        <v>345817.41</v>
      </c>
      <c r="H13" s="53">
        <v>958102</v>
      </c>
      <c r="I13" s="53">
        <v>226795</v>
      </c>
      <c r="J13" s="53">
        <f>7205363+8547460</f>
        <v>15752823</v>
      </c>
      <c r="K13" s="53">
        <f>7027311.41+1017053.75</f>
        <v>8044365.1600000001</v>
      </c>
      <c r="L13" s="53">
        <v>3122525</v>
      </c>
      <c r="M13" s="53">
        <v>820847</v>
      </c>
      <c r="N13" s="51"/>
      <c r="O13" s="52" t="s">
        <v>42</v>
      </c>
    </row>
    <row r="14" spans="1:16" s="16" customFormat="1" ht="19.5">
      <c r="A14" s="52"/>
      <c r="B14" s="52" t="s">
        <v>43</v>
      </c>
      <c r="C14" s="51"/>
      <c r="D14" s="54"/>
      <c r="E14" s="53">
        <f>677104.19+29869170.34</f>
        <v>30546274.530000001</v>
      </c>
      <c r="F14" s="53">
        <v>379792</v>
      </c>
      <c r="G14" s="53">
        <v>798392.33</v>
      </c>
      <c r="H14" s="53">
        <v>2461225</v>
      </c>
      <c r="I14" s="53">
        <v>288300</v>
      </c>
      <c r="J14" s="53">
        <f>9554640+10878120.68</f>
        <v>20432760.68</v>
      </c>
      <c r="K14" s="53">
        <f>10198958.44+13813563.94</f>
        <v>24012522.379999999</v>
      </c>
      <c r="L14" s="53">
        <v>11625950</v>
      </c>
      <c r="M14" s="53">
        <v>1451900.1</v>
      </c>
      <c r="N14" s="51"/>
      <c r="O14" s="52" t="s">
        <v>44</v>
      </c>
    </row>
    <row r="15" spans="1:16" s="16" customFormat="1" ht="19.5">
      <c r="A15" s="52"/>
      <c r="B15" s="52" t="s">
        <v>45</v>
      </c>
      <c r="C15" s="51"/>
      <c r="D15" s="54"/>
      <c r="E15" s="53">
        <f>1202008.82+36281557.74</f>
        <v>37483566.560000002</v>
      </c>
      <c r="F15" s="53">
        <v>553452.5</v>
      </c>
      <c r="G15" s="53">
        <v>1624249.13</v>
      </c>
      <c r="H15" s="53">
        <v>107274.23</v>
      </c>
      <c r="I15" s="53">
        <v>274166</v>
      </c>
      <c r="J15" s="53">
        <f>25063715+36552323.02</f>
        <v>61616038.020000003</v>
      </c>
      <c r="K15" s="53">
        <f>16500274.46+11306301.16</f>
        <v>27806575.620000001</v>
      </c>
      <c r="L15" s="53">
        <v>18122348.25</v>
      </c>
      <c r="M15" s="53">
        <v>3261293.96</v>
      </c>
      <c r="N15" s="51"/>
      <c r="O15" s="52" t="s">
        <v>46</v>
      </c>
    </row>
    <row r="16" spans="1:16" s="16" customFormat="1" ht="19.5">
      <c r="A16" s="52"/>
      <c r="B16" s="52" t="s">
        <v>47</v>
      </c>
      <c r="C16" s="51"/>
      <c r="D16" s="54"/>
      <c r="E16" s="53">
        <f>225609+14311916.73</f>
        <v>14537525.73</v>
      </c>
      <c r="F16" s="53">
        <v>39109.199999999997</v>
      </c>
      <c r="G16" s="53">
        <v>249341.03</v>
      </c>
      <c r="H16" s="53">
        <v>797512</v>
      </c>
      <c r="I16" s="53">
        <v>135262</v>
      </c>
      <c r="J16" s="53">
        <f>6665366+10288507</f>
        <v>16953873</v>
      </c>
      <c r="K16" s="53">
        <f>7659766.16+4651548.59</f>
        <v>12311314.75</v>
      </c>
      <c r="L16" s="53">
        <v>5116005</v>
      </c>
      <c r="M16" s="53">
        <v>1481268</v>
      </c>
      <c r="N16" s="51"/>
      <c r="O16" s="51" t="s">
        <v>48</v>
      </c>
    </row>
    <row r="17" spans="1:15" s="16" customFormat="1" ht="19.5">
      <c r="A17" s="52"/>
      <c r="B17" s="52" t="s">
        <v>49</v>
      </c>
      <c r="C17" s="51"/>
      <c r="D17" s="54"/>
      <c r="E17" s="53">
        <f>359029.29+23628515.81</f>
        <v>23987545.099999998</v>
      </c>
      <c r="F17" s="53">
        <v>338071.7</v>
      </c>
      <c r="G17" s="53">
        <v>543207.88</v>
      </c>
      <c r="H17" s="53">
        <v>1494110</v>
      </c>
      <c r="I17" s="53">
        <v>62020</v>
      </c>
      <c r="J17" s="53">
        <f>16622619+14676705</f>
        <v>31299324</v>
      </c>
      <c r="K17" s="53">
        <f>11656285+16246081</f>
        <v>27902366</v>
      </c>
      <c r="L17" s="53">
        <v>9077311</v>
      </c>
      <c r="M17" s="53">
        <v>796015</v>
      </c>
      <c r="N17" s="51"/>
      <c r="O17" s="51" t="s">
        <v>50</v>
      </c>
    </row>
    <row r="18" spans="1:15" s="16" customFormat="1" ht="19.5">
      <c r="A18" s="52"/>
      <c r="B18" s="52" t="s">
        <v>51</v>
      </c>
      <c r="C18" s="51"/>
      <c r="D18" s="54"/>
      <c r="E18" s="53">
        <f xml:space="preserve"> 287712.17+13738187.84</f>
        <v>14025900.01</v>
      </c>
      <c r="F18" s="53">
        <v>263576.40000000002</v>
      </c>
      <c r="G18" s="53">
        <v>162534.22</v>
      </c>
      <c r="H18" s="53">
        <v>729646</v>
      </c>
      <c r="I18" s="53">
        <v>166900</v>
      </c>
      <c r="J18" s="53">
        <f>6667397+10270868</f>
        <v>16938265</v>
      </c>
      <c r="K18" s="53">
        <f>7490599.13+5362747.46</f>
        <v>12853346.59</v>
      </c>
      <c r="L18" s="53">
        <v>3378520</v>
      </c>
      <c r="M18" s="53">
        <v>1688591.5</v>
      </c>
      <c r="N18" s="51"/>
      <c r="O18" s="51" t="s">
        <v>52</v>
      </c>
    </row>
    <row r="19" spans="1:15" s="16" customFormat="1" ht="19.5">
      <c r="A19" s="52"/>
      <c r="B19" s="52" t="s">
        <v>53</v>
      </c>
      <c r="C19" s="51"/>
      <c r="D19" s="54"/>
      <c r="E19" s="53">
        <f>226232.72+18744628.74</f>
        <v>18970861.459999997</v>
      </c>
      <c r="F19" s="53">
        <v>392437.8</v>
      </c>
      <c r="G19" s="53">
        <v>229356.04</v>
      </c>
      <c r="H19" s="53">
        <v>626802</v>
      </c>
      <c r="I19" s="53">
        <v>141519.4</v>
      </c>
      <c r="J19" s="53">
        <f>12044511+17372060</f>
        <v>29416571</v>
      </c>
      <c r="K19" s="53">
        <f>8649251+8576526.45</f>
        <v>17225777.449999999</v>
      </c>
      <c r="L19" s="53">
        <v>2444254</v>
      </c>
      <c r="M19" s="53">
        <v>635308</v>
      </c>
      <c r="N19" s="51"/>
      <c r="O19" s="51" t="s">
        <v>54</v>
      </c>
    </row>
    <row r="20" spans="1:15" s="16" customFormat="1" ht="19.5">
      <c r="A20" s="52"/>
      <c r="B20" s="52" t="s">
        <v>55</v>
      </c>
      <c r="C20" s="51"/>
      <c r="D20" s="54"/>
      <c r="E20" s="53">
        <f>1030897.41+37891624.21</f>
        <v>38922521.619999997</v>
      </c>
      <c r="F20" s="53">
        <v>737923.6</v>
      </c>
      <c r="G20" s="53">
        <v>729417.8</v>
      </c>
      <c r="H20" s="53">
        <v>1586990</v>
      </c>
      <c r="I20" s="53">
        <v>548214</v>
      </c>
      <c r="J20" s="53">
        <f>7162610+8788015.28</f>
        <v>15950625.279999999</v>
      </c>
      <c r="K20" s="53">
        <f>10013826.64+11640660.93</f>
        <v>21654487.57</v>
      </c>
      <c r="L20" s="53">
        <v>10948489.439999999</v>
      </c>
      <c r="M20" s="53">
        <v>1944535.51</v>
      </c>
      <c r="N20" s="51"/>
      <c r="O20" s="52" t="s">
        <v>56</v>
      </c>
    </row>
    <row r="21" spans="1:15" s="16" customFormat="1" ht="19.5">
      <c r="A21" s="52"/>
      <c r="B21" s="52" t="s">
        <v>57</v>
      </c>
      <c r="C21" s="51"/>
      <c r="D21" s="54"/>
      <c r="E21" s="53">
        <f>144311.49+12530184.97</f>
        <v>12674496.460000001</v>
      </c>
      <c r="F21" s="53">
        <v>231273.4</v>
      </c>
      <c r="G21" s="53">
        <v>193540.59</v>
      </c>
      <c r="H21" s="53">
        <v>692725</v>
      </c>
      <c r="I21" s="53">
        <v>122560</v>
      </c>
      <c r="J21" s="53">
        <f>4857387+6959040</f>
        <v>11816427</v>
      </c>
      <c r="K21" s="53">
        <f>5403134.65+6867262.8</f>
        <v>12270397.449999999</v>
      </c>
      <c r="L21" s="53">
        <v>2758086.19</v>
      </c>
      <c r="M21" s="53">
        <v>396606</v>
      </c>
      <c r="N21" s="51"/>
      <c r="O21" s="51" t="s">
        <v>58</v>
      </c>
    </row>
    <row r="22" spans="1:15" s="30" customFormat="1" ht="19.5">
      <c r="A22" s="47" t="s">
        <v>59</v>
      </c>
      <c r="B22" s="47"/>
      <c r="C22" s="4"/>
      <c r="D22" s="55"/>
      <c r="E22" s="50">
        <f t="shared" ref="E22:M22" si="2">SUM(E23:E26)</f>
        <v>54836904.039999999</v>
      </c>
      <c r="F22" s="50">
        <f t="shared" si="2"/>
        <v>381848.44999999995</v>
      </c>
      <c r="G22" s="50">
        <f t="shared" si="2"/>
        <v>494445.76</v>
      </c>
      <c r="H22" s="50">
        <f t="shared" si="2"/>
        <v>1855150.61</v>
      </c>
      <c r="I22" s="50">
        <f t="shared" si="2"/>
        <v>777560</v>
      </c>
      <c r="J22" s="50">
        <f t="shared" si="2"/>
        <v>69227885.599999994</v>
      </c>
      <c r="K22" s="50">
        <f t="shared" si="2"/>
        <v>50239356.329999998</v>
      </c>
      <c r="L22" s="50">
        <f t="shared" si="2"/>
        <v>13133435.09</v>
      </c>
      <c r="M22" s="50">
        <f t="shared" si="2"/>
        <v>6543755.2199999997</v>
      </c>
      <c r="N22" s="4"/>
      <c r="O22" s="4" t="s">
        <v>60</v>
      </c>
    </row>
    <row r="23" spans="1:15" s="16" customFormat="1" ht="19.5">
      <c r="A23" s="52"/>
      <c r="B23" s="52" t="s">
        <v>61</v>
      </c>
      <c r="C23" s="51"/>
      <c r="D23" s="54"/>
      <c r="E23" s="53">
        <f>295506.97+16637395.36</f>
        <v>16932902.329999998</v>
      </c>
      <c r="F23" s="53">
        <v>212947.55</v>
      </c>
      <c r="G23" s="53" t="s">
        <v>62</v>
      </c>
      <c r="H23" s="53">
        <v>175875.41</v>
      </c>
      <c r="I23" s="53">
        <v>211940</v>
      </c>
      <c r="J23" s="53">
        <f>10503539+13863730</f>
        <v>24367269</v>
      </c>
      <c r="K23" s="53">
        <f>7803405+7593358.33</f>
        <v>15396763.33</v>
      </c>
      <c r="L23" s="53">
        <v>4109320.59</v>
      </c>
      <c r="M23" s="53">
        <v>927670</v>
      </c>
      <c r="N23" s="51"/>
      <c r="O23" s="51" t="s">
        <v>63</v>
      </c>
    </row>
    <row r="24" spans="1:15" s="16" customFormat="1" ht="19.5">
      <c r="A24" s="52"/>
      <c r="B24" s="52" t="s">
        <v>64</v>
      </c>
      <c r="C24" s="51"/>
      <c r="D24" s="54"/>
      <c r="E24" s="53">
        <f>118197.41+12764941.89</f>
        <v>12883139.300000001</v>
      </c>
      <c r="F24" s="53">
        <v>56320.1</v>
      </c>
      <c r="G24" s="53">
        <v>269911.2</v>
      </c>
      <c r="H24" s="53">
        <v>553015</v>
      </c>
      <c r="I24" s="53">
        <v>450000</v>
      </c>
      <c r="J24" s="53">
        <f>6742662+11820260</f>
        <v>18562922</v>
      </c>
      <c r="K24" s="53">
        <f>6642178.64+5696896.87</f>
        <v>12339075.51</v>
      </c>
      <c r="L24" s="53">
        <v>3385664</v>
      </c>
      <c r="M24" s="53">
        <v>329032.21999999997</v>
      </c>
      <c r="N24" s="51"/>
      <c r="O24" s="51" t="s">
        <v>65</v>
      </c>
    </row>
    <row r="25" spans="1:15" s="16" customFormat="1" ht="19.5">
      <c r="A25" s="52"/>
      <c r="B25" s="52" t="s">
        <v>66</v>
      </c>
      <c r="C25" s="51"/>
      <c r="D25" s="54"/>
      <c r="E25" s="53">
        <f>75182.92+11746347.77</f>
        <v>11821530.689999999</v>
      </c>
      <c r="F25" s="53">
        <v>15488</v>
      </c>
      <c r="G25" s="53">
        <v>80269.7</v>
      </c>
      <c r="H25" s="53">
        <f>627228</f>
        <v>627228</v>
      </c>
      <c r="I25" s="53">
        <v>107500</v>
      </c>
      <c r="J25" s="53">
        <f>4350725+6082494.6</f>
        <v>10433219.6</v>
      </c>
      <c r="K25" s="53">
        <f>6873568.19+3304872.4</f>
        <v>10178440.59</v>
      </c>
      <c r="L25" s="53">
        <v>2894525.5</v>
      </c>
      <c r="M25" s="53">
        <v>4714235</v>
      </c>
      <c r="N25" s="51"/>
      <c r="O25" s="51" t="s">
        <v>67</v>
      </c>
    </row>
    <row r="26" spans="1:15" s="16" customFormat="1" ht="19.5">
      <c r="A26" s="52"/>
      <c r="B26" s="52" t="s">
        <v>68</v>
      </c>
      <c r="C26" s="51"/>
      <c r="D26" s="54"/>
      <c r="E26" s="53">
        <f>145175.43+13054156.29</f>
        <v>13199331.719999999</v>
      </c>
      <c r="F26" s="53">
        <v>97092.800000000003</v>
      </c>
      <c r="G26" s="53">
        <v>144264.85999999999</v>
      </c>
      <c r="H26" s="53">
        <v>499032.2</v>
      </c>
      <c r="I26" s="53">
        <v>8120</v>
      </c>
      <c r="J26" s="53">
        <f>6622082+9242393</f>
        <v>15864475</v>
      </c>
      <c r="K26" s="53">
        <f>7584948+4740128.9</f>
        <v>12325076.9</v>
      </c>
      <c r="L26" s="53">
        <v>2743925</v>
      </c>
      <c r="M26" s="53">
        <v>572818</v>
      </c>
      <c r="N26" s="51"/>
      <c r="O26" s="51" t="s">
        <v>69</v>
      </c>
    </row>
    <row r="27" spans="1:15" s="30" customFormat="1" ht="19.5">
      <c r="A27" s="47" t="s">
        <v>70</v>
      </c>
      <c r="B27" s="47"/>
      <c r="C27" s="4"/>
      <c r="D27" s="55"/>
      <c r="E27" s="50">
        <f>SUM(E28:E31)</f>
        <v>59611777.009999998</v>
      </c>
      <c r="F27" s="50">
        <f t="shared" ref="F27:M27" si="3">SUM(F28:F31)</f>
        <v>886038.39999999991</v>
      </c>
      <c r="G27" s="50">
        <f t="shared" si="3"/>
        <v>895016.07000000007</v>
      </c>
      <c r="H27" s="50">
        <f t="shared" si="3"/>
        <v>993187</v>
      </c>
      <c r="I27" s="50">
        <f t="shared" si="3"/>
        <v>366392.25</v>
      </c>
      <c r="J27" s="50">
        <f t="shared" si="3"/>
        <v>85826328</v>
      </c>
      <c r="K27" s="50">
        <f t="shared" si="3"/>
        <v>65321322.100000001</v>
      </c>
      <c r="L27" s="50">
        <f t="shared" si="3"/>
        <v>13662604</v>
      </c>
      <c r="M27" s="50">
        <f t="shared" si="3"/>
        <v>23454349</v>
      </c>
      <c r="N27" s="4"/>
      <c r="O27" s="4" t="s">
        <v>71</v>
      </c>
    </row>
    <row r="28" spans="1:15" s="16" customFormat="1" ht="19.5">
      <c r="A28" s="52"/>
      <c r="B28" s="52" t="s">
        <v>72</v>
      </c>
      <c r="C28" s="51"/>
      <c r="D28" s="54"/>
      <c r="E28" s="53">
        <f>228354.96+16449732.82</f>
        <v>16678087.780000001</v>
      </c>
      <c r="F28" s="53">
        <v>361675</v>
      </c>
      <c r="G28" s="53">
        <v>56300</v>
      </c>
      <c r="H28" s="53" t="s">
        <v>62</v>
      </c>
      <c r="I28" s="53">
        <v>106127.25</v>
      </c>
      <c r="J28" s="53">
        <f>14275075+16009747</f>
        <v>30284822</v>
      </c>
      <c r="K28" s="53">
        <f>9965272.43+8918266.43</f>
        <v>18883538.859999999</v>
      </c>
      <c r="L28" s="53">
        <v>1822620</v>
      </c>
      <c r="M28" s="53">
        <v>831087</v>
      </c>
      <c r="N28" s="51"/>
      <c r="O28" s="51" t="s">
        <v>73</v>
      </c>
    </row>
    <row r="29" spans="1:15" s="16" customFormat="1" ht="19.5">
      <c r="A29" s="52"/>
      <c r="B29" s="52" t="s">
        <v>74</v>
      </c>
      <c r="C29" s="51"/>
      <c r="D29" s="54"/>
      <c r="E29" s="53">
        <f>231065.4+12880953.92</f>
        <v>13112019.32</v>
      </c>
      <c r="F29" s="53">
        <v>142330.79999999999</v>
      </c>
      <c r="G29" s="53">
        <v>122982.83</v>
      </c>
      <c r="H29" s="53">
        <v>241372</v>
      </c>
      <c r="I29" s="53">
        <v>104824</v>
      </c>
      <c r="J29" s="53">
        <f>8546590+9258465</f>
        <v>17805055</v>
      </c>
      <c r="K29" s="53">
        <f>6517845+10042600.01</f>
        <v>16560445.01</v>
      </c>
      <c r="L29" s="53">
        <v>2514300</v>
      </c>
      <c r="M29" s="53">
        <v>1107499</v>
      </c>
      <c r="N29" s="51"/>
      <c r="O29" s="51" t="s">
        <v>75</v>
      </c>
    </row>
    <row r="30" spans="1:15" s="16" customFormat="1" ht="19.5">
      <c r="A30" s="52"/>
      <c r="B30" s="52" t="s">
        <v>76</v>
      </c>
      <c r="C30" s="51"/>
      <c r="D30" s="54"/>
      <c r="E30" s="53">
        <f>458437.16+16010974.45</f>
        <v>16469411.609999999</v>
      </c>
      <c r="F30" s="53">
        <v>373186.6</v>
      </c>
      <c r="G30" s="53">
        <v>386107.44</v>
      </c>
      <c r="H30" s="53">
        <v>454935</v>
      </c>
      <c r="I30" s="53">
        <v>118741</v>
      </c>
      <c r="J30" s="53">
        <f>10120423+12357160</f>
        <v>22477583</v>
      </c>
      <c r="K30" s="53">
        <f>7674211+7812344.66</f>
        <v>15486555.66</v>
      </c>
      <c r="L30" s="53">
        <v>7450314</v>
      </c>
      <c r="M30" s="53">
        <v>13242768</v>
      </c>
      <c r="N30" s="51"/>
      <c r="O30" s="51" t="s">
        <v>77</v>
      </c>
    </row>
    <row r="31" spans="1:15" s="16" customFormat="1" ht="19.5">
      <c r="A31" s="52"/>
      <c r="B31" s="52" t="s">
        <v>78</v>
      </c>
      <c r="C31" s="51"/>
      <c r="D31" s="54"/>
      <c r="E31" s="53">
        <f>98431.54+13253826.76</f>
        <v>13352258.299999999</v>
      </c>
      <c r="F31" s="53">
        <v>8846</v>
      </c>
      <c r="G31" s="53">
        <v>329625.8</v>
      </c>
      <c r="H31" s="53">
        <v>296880</v>
      </c>
      <c r="I31" s="53">
        <v>36700</v>
      </c>
      <c r="J31" s="53">
        <f>7235856+8023012</f>
        <v>15258868</v>
      </c>
      <c r="K31" s="53">
        <f>7462420+6928362.57</f>
        <v>14390782.57</v>
      </c>
      <c r="L31" s="53">
        <v>1875370</v>
      </c>
      <c r="M31" s="53">
        <v>8272995</v>
      </c>
      <c r="N31" s="51"/>
      <c r="O31" s="51" t="s">
        <v>79</v>
      </c>
    </row>
    <row r="32" spans="1:15" s="30" customFormat="1" ht="19.5">
      <c r="A32" s="47" t="s">
        <v>80</v>
      </c>
      <c r="B32" s="47"/>
      <c r="C32" s="4"/>
      <c r="D32" s="55"/>
      <c r="E32" s="50">
        <f>SUM(E33:E40)</f>
        <v>120646685.38</v>
      </c>
      <c r="F32" s="50">
        <f t="shared" ref="F32:M32" si="4">SUM(F33:F40)</f>
        <v>364336.15</v>
      </c>
      <c r="G32" s="50">
        <f t="shared" si="4"/>
        <v>2036530.3899999997</v>
      </c>
      <c r="H32" s="50">
        <f t="shared" si="4"/>
        <v>1403220.7</v>
      </c>
      <c r="I32" s="50">
        <f t="shared" si="4"/>
        <v>541873.24</v>
      </c>
      <c r="J32" s="50">
        <f t="shared" si="4"/>
        <v>140902203.59999999</v>
      </c>
      <c r="K32" s="50">
        <f t="shared" si="4"/>
        <v>104368443.77999999</v>
      </c>
      <c r="L32" s="50">
        <f t="shared" si="4"/>
        <v>34670122.659999996</v>
      </c>
      <c r="M32" s="50">
        <f t="shared" si="4"/>
        <v>6578275</v>
      </c>
      <c r="N32" s="4"/>
      <c r="O32" s="4" t="s">
        <v>81</v>
      </c>
    </row>
    <row r="33" spans="1:15" s="16" customFormat="1" ht="19.5">
      <c r="A33" s="52"/>
      <c r="B33" s="52" t="s">
        <v>82</v>
      </c>
      <c r="C33" s="51"/>
      <c r="D33" s="54"/>
      <c r="E33" s="53">
        <f>64412.72+12607044.69</f>
        <v>12671457.41</v>
      </c>
      <c r="F33" s="53">
        <v>10803</v>
      </c>
      <c r="G33" s="53">
        <v>275559.45</v>
      </c>
      <c r="H33" s="53" t="s">
        <v>62</v>
      </c>
      <c r="I33" s="53">
        <v>33047</v>
      </c>
      <c r="J33" s="53">
        <f>6262793+10143000</f>
        <v>16405793</v>
      </c>
      <c r="K33" s="53">
        <f>5212493+4455896.09</f>
        <v>9668389.0899999999</v>
      </c>
      <c r="L33" s="53">
        <v>4860660</v>
      </c>
      <c r="M33" s="53">
        <v>310692</v>
      </c>
      <c r="N33" s="51"/>
      <c r="O33" s="51" t="s">
        <v>83</v>
      </c>
    </row>
    <row r="34" spans="1:15" s="16" customFormat="1" ht="19.5">
      <c r="A34" s="52"/>
      <c r="B34" s="52" t="s">
        <v>84</v>
      </c>
      <c r="C34" s="51"/>
      <c r="D34" s="54"/>
      <c r="E34" s="53">
        <f>96640.73+12176396.77</f>
        <v>12273037.5</v>
      </c>
      <c r="F34" s="53">
        <v>42425.8</v>
      </c>
      <c r="G34" s="53">
        <v>213826.88</v>
      </c>
      <c r="H34" s="53" t="s">
        <v>62</v>
      </c>
      <c r="I34" s="53">
        <v>8180</v>
      </c>
      <c r="J34" s="53">
        <f>5933820+7802960</f>
        <v>13736780</v>
      </c>
      <c r="K34" s="53">
        <f>5819845+3775914.61</f>
        <v>9595759.6099999994</v>
      </c>
      <c r="L34" s="53">
        <v>3102590</v>
      </c>
      <c r="M34" s="53">
        <v>460236</v>
      </c>
      <c r="N34" s="51"/>
      <c r="O34" s="51" t="s">
        <v>85</v>
      </c>
    </row>
    <row r="35" spans="1:15" s="16" customFormat="1" ht="19.5">
      <c r="A35" s="52"/>
      <c r="B35" s="52" t="s">
        <v>86</v>
      </c>
      <c r="C35" s="51"/>
      <c r="D35" s="54"/>
      <c r="E35" s="53">
        <f>36791.35+12825506.49</f>
        <v>12862297.84</v>
      </c>
      <c r="F35" s="53">
        <v>11029.4</v>
      </c>
      <c r="G35" s="53">
        <v>111025.92</v>
      </c>
      <c r="H35" s="53">
        <v>288062.7</v>
      </c>
      <c r="I35" s="53">
        <v>30620</v>
      </c>
      <c r="J35" s="53">
        <f>5210599+5851880</f>
        <v>11062479</v>
      </c>
      <c r="K35" s="53">
        <f>4439535+4683353.85</f>
        <v>9122888.8499999996</v>
      </c>
      <c r="L35" s="53">
        <v>2131550</v>
      </c>
      <c r="M35" s="53">
        <v>347973</v>
      </c>
      <c r="N35" s="51"/>
      <c r="O35" s="51" t="s">
        <v>87</v>
      </c>
    </row>
    <row r="36" spans="1:15" s="16" customFormat="1" ht="19.5">
      <c r="A36" s="52"/>
      <c r="B36" s="52" t="s">
        <v>88</v>
      </c>
      <c r="C36" s="51"/>
      <c r="D36" s="54"/>
      <c r="E36" s="53">
        <f>104616.76+15170547.23</f>
        <v>15275163.99</v>
      </c>
      <c r="F36" s="53">
        <v>101750.6</v>
      </c>
      <c r="G36" s="53">
        <v>263633.94</v>
      </c>
      <c r="H36" s="53">
        <v>82014</v>
      </c>
      <c r="I36" s="53">
        <v>32898</v>
      </c>
      <c r="J36" s="53">
        <f>10552410.64+11127901.4</f>
        <v>21680312.039999999</v>
      </c>
      <c r="K36" s="53">
        <f>9261632.51+7690575.51</f>
        <v>16952208.02</v>
      </c>
      <c r="L36" s="53">
        <v>2799885.2</v>
      </c>
      <c r="M36" s="53">
        <v>422160</v>
      </c>
      <c r="N36" s="51"/>
      <c r="O36" s="51" t="s">
        <v>89</v>
      </c>
    </row>
    <row r="37" spans="1:15" s="16" customFormat="1" ht="19.5">
      <c r="A37" s="52"/>
      <c r="B37" s="52" t="s">
        <v>90</v>
      </c>
      <c r="C37" s="51"/>
      <c r="D37" s="54"/>
      <c r="E37" s="53">
        <f>153207.5+15484662.14</f>
        <v>15637869.640000001</v>
      </c>
      <c r="F37" s="53">
        <v>61953</v>
      </c>
      <c r="G37" s="53">
        <v>290258.42</v>
      </c>
      <c r="H37" s="53">
        <v>106833</v>
      </c>
      <c r="I37" s="53">
        <v>194700</v>
      </c>
      <c r="J37" s="53">
        <f>6845067+11601311.72</f>
        <v>18446378.719999999</v>
      </c>
      <c r="K37" s="53">
        <f>6285109+5752624.07</f>
        <v>12037733.07</v>
      </c>
      <c r="L37" s="53">
        <v>3750270</v>
      </c>
      <c r="M37" s="53">
        <v>384504</v>
      </c>
      <c r="N37" s="51"/>
      <c r="O37" s="51" t="s">
        <v>91</v>
      </c>
    </row>
    <row r="38" spans="1:15" s="16" customFormat="1" ht="19.5">
      <c r="A38" s="52"/>
      <c r="B38" s="52" t="s">
        <v>92</v>
      </c>
      <c r="C38" s="51"/>
      <c r="D38" s="54"/>
      <c r="E38" s="53">
        <f>134133.87+20176078.74</f>
        <v>20310212.609999999</v>
      </c>
      <c r="F38" s="53">
        <v>3260</v>
      </c>
      <c r="G38" s="53">
        <v>287054.86</v>
      </c>
      <c r="H38" s="53">
        <v>129130</v>
      </c>
      <c r="I38" s="53">
        <v>129468.98</v>
      </c>
      <c r="J38" s="53">
        <v>17830737</v>
      </c>
      <c r="K38" s="53">
        <f>9169110+9065663.53</f>
        <v>18234773.530000001</v>
      </c>
      <c r="L38" s="53">
        <v>8327119.3600000003</v>
      </c>
      <c r="M38" s="53">
        <v>2594651</v>
      </c>
      <c r="N38" s="51"/>
      <c r="O38" s="51" t="s">
        <v>93</v>
      </c>
    </row>
    <row r="39" spans="1:15" s="16" customFormat="1" ht="19.5">
      <c r="A39" s="52"/>
      <c r="B39" s="52" t="s">
        <v>94</v>
      </c>
      <c r="C39" s="51"/>
      <c r="D39" s="54"/>
      <c r="E39" s="53">
        <f>1005975.15+15729030.51</f>
        <v>16735005.66</v>
      </c>
      <c r="F39" s="53">
        <v>119972.8</v>
      </c>
      <c r="G39" s="53">
        <v>308387.36</v>
      </c>
      <c r="H39" s="53">
        <v>797181</v>
      </c>
      <c r="I39" s="53">
        <v>67176.759999999995</v>
      </c>
      <c r="J39" s="53">
        <f>10839474+12017610.84</f>
        <v>22857084.84</v>
      </c>
      <c r="K39" s="53">
        <f>10377992+6138818.42</f>
        <v>16516810.42</v>
      </c>
      <c r="L39" s="53">
        <v>4175647</v>
      </c>
      <c r="M39" s="53">
        <v>924333.5</v>
      </c>
      <c r="N39" s="51"/>
      <c r="O39" s="51" t="s">
        <v>95</v>
      </c>
    </row>
    <row r="40" spans="1:15" s="16" customFormat="1" ht="19.5">
      <c r="A40" s="52"/>
      <c r="B40" s="52" t="s">
        <v>96</v>
      </c>
      <c r="C40" s="51"/>
      <c r="D40" s="54"/>
      <c r="E40" s="53">
        <f>85169.32+14796471.41</f>
        <v>14881640.73</v>
      </c>
      <c r="F40" s="53">
        <v>13141.55</v>
      </c>
      <c r="G40" s="53">
        <v>286783.56</v>
      </c>
      <c r="H40" s="53" t="s">
        <v>62</v>
      </c>
      <c r="I40" s="53">
        <v>45782.5</v>
      </c>
      <c r="J40" s="53">
        <f>9282399+9600240</f>
        <v>18882639</v>
      </c>
      <c r="K40" s="53">
        <f>6953155.24+5286725.95</f>
        <v>12239881.190000001</v>
      </c>
      <c r="L40" s="53">
        <v>5522401.0999999996</v>
      </c>
      <c r="M40" s="53">
        <v>1133725.5</v>
      </c>
      <c r="N40" s="51"/>
      <c r="O40" s="51" t="s">
        <v>97</v>
      </c>
    </row>
    <row r="41" spans="1:15" s="30" customFormat="1" ht="19.5">
      <c r="A41" s="47" t="s">
        <v>98</v>
      </c>
      <c r="B41" s="47"/>
      <c r="C41" s="4"/>
      <c r="D41" s="55"/>
      <c r="E41" s="50">
        <f t="shared" ref="E41:M41" si="5">SUM(E42:E43)</f>
        <v>25509183.59</v>
      </c>
      <c r="F41" s="50">
        <f t="shared" si="5"/>
        <v>15439.4</v>
      </c>
      <c r="G41" s="50">
        <f t="shared" si="5"/>
        <v>214954.25999999998</v>
      </c>
      <c r="H41" s="50">
        <f t="shared" si="5"/>
        <v>240724</v>
      </c>
      <c r="I41" s="50">
        <f t="shared" si="5"/>
        <v>122268</v>
      </c>
      <c r="J41" s="50">
        <f t="shared" si="5"/>
        <v>27262318</v>
      </c>
      <c r="K41" s="50">
        <f t="shared" si="5"/>
        <v>19787507.350000001</v>
      </c>
      <c r="L41" s="50">
        <f t="shared" si="5"/>
        <v>5324552.5</v>
      </c>
      <c r="M41" s="50">
        <f t="shared" si="5"/>
        <v>1833794.28</v>
      </c>
      <c r="N41" s="4"/>
      <c r="O41" s="4" t="s">
        <v>99</v>
      </c>
    </row>
    <row r="42" spans="1:15" s="16" customFormat="1" ht="19.5">
      <c r="A42" s="52"/>
      <c r="B42" s="52" t="s">
        <v>100</v>
      </c>
      <c r="C42" s="51"/>
      <c r="D42" s="54"/>
      <c r="E42" s="53">
        <f>11600.86+12253540.4</f>
        <v>12265141.26</v>
      </c>
      <c r="F42" s="53">
        <v>274.60000000000002</v>
      </c>
      <c r="G42" s="53">
        <v>156039.79999999999</v>
      </c>
      <c r="H42" s="53" t="s">
        <v>62</v>
      </c>
      <c r="I42" s="53">
        <v>93558</v>
      </c>
      <c r="J42" s="53">
        <f>4825041+3206110</f>
        <v>8031151</v>
      </c>
      <c r="K42" s="53">
        <f>4915330+4091733.09</f>
        <v>9007063.0899999999</v>
      </c>
      <c r="L42" s="53">
        <v>3441130</v>
      </c>
      <c r="M42" s="53">
        <v>1161087.28</v>
      </c>
      <c r="N42" s="51"/>
      <c r="O42" s="51" t="s">
        <v>101</v>
      </c>
    </row>
    <row r="43" spans="1:15" s="16" customFormat="1" ht="19.5">
      <c r="A43" s="52"/>
      <c r="B43" s="52" t="s">
        <v>102</v>
      </c>
      <c r="C43" s="51"/>
      <c r="D43" s="54"/>
      <c r="E43" s="53">
        <f>79524.58+13164517.75</f>
        <v>13244042.33</v>
      </c>
      <c r="F43" s="53">
        <v>15164.8</v>
      </c>
      <c r="G43" s="53">
        <v>58914.46</v>
      </c>
      <c r="H43" s="53">
        <v>240724</v>
      </c>
      <c r="I43" s="53">
        <v>28710</v>
      </c>
      <c r="J43" s="53">
        <f>7424064+11807103</f>
        <v>19231167</v>
      </c>
      <c r="K43" s="53">
        <f>5817395+4963049.26</f>
        <v>10780444.26</v>
      </c>
      <c r="L43" s="53">
        <v>1883422.5</v>
      </c>
      <c r="M43" s="53">
        <v>672707</v>
      </c>
      <c r="N43" s="51"/>
      <c r="O43" s="51" t="s">
        <v>103</v>
      </c>
    </row>
    <row r="44" spans="1:15" s="30" customFormat="1" ht="19.5">
      <c r="A44" s="47" t="s">
        <v>104</v>
      </c>
      <c r="B44" s="47"/>
      <c r="C44" s="4"/>
      <c r="D44" s="55"/>
      <c r="E44" s="50">
        <f t="shared" ref="E44:M44" si="6">SUM(E45:E52)</f>
        <v>106805876.34999999</v>
      </c>
      <c r="F44" s="50">
        <f t="shared" si="6"/>
        <v>785746.4</v>
      </c>
      <c r="G44" s="50">
        <f t="shared" si="6"/>
        <v>1640502.55</v>
      </c>
      <c r="H44" s="50">
        <f t="shared" si="6"/>
        <v>2561916</v>
      </c>
      <c r="I44" s="50">
        <f t="shared" si="6"/>
        <v>499641.31</v>
      </c>
      <c r="J44" s="50">
        <f t="shared" si="6"/>
        <v>110025970</v>
      </c>
      <c r="K44" s="50">
        <f t="shared" si="6"/>
        <v>82970063.989999995</v>
      </c>
      <c r="L44" s="50">
        <f t="shared" si="6"/>
        <v>16463586.310000001</v>
      </c>
      <c r="M44" s="50">
        <f t="shared" si="6"/>
        <v>16617634.439999999</v>
      </c>
      <c r="N44" s="4"/>
      <c r="O44" s="4" t="s">
        <v>105</v>
      </c>
    </row>
    <row r="45" spans="1:15" s="16" customFormat="1" ht="19.5">
      <c r="A45" s="52"/>
      <c r="B45" s="52" t="s">
        <v>106</v>
      </c>
      <c r="C45" s="51"/>
      <c r="D45" s="54"/>
      <c r="E45" s="53">
        <f>88894.99+13740264.68</f>
        <v>13829159.67</v>
      </c>
      <c r="F45" s="53">
        <v>64042</v>
      </c>
      <c r="G45" s="53">
        <v>220282.38</v>
      </c>
      <c r="H45" s="53">
        <v>73265</v>
      </c>
      <c r="I45" s="53">
        <v>61500</v>
      </c>
      <c r="J45" s="53">
        <f>7748715+9657830</f>
        <v>17406545</v>
      </c>
      <c r="K45" s="53">
        <f>6918260.37+5821001.26</f>
        <v>12739261.629999999</v>
      </c>
      <c r="L45" s="53">
        <v>2017690</v>
      </c>
      <c r="M45" s="53">
        <v>1221173</v>
      </c>
      <c r="N45" s="51"/>
      <c r="O45" s="51" t="s">
        <v>107</v>
      </c>
    </row>
    <row r="46" spans="1:15" s="16" customFormat="1" ht="19.5">
      <c r="A46" s="52"/>
      <c r="B46" s="52" t="s">
        <v>108</v>
      </c>
      <c r="C46" s="51"/>
      <c r="D46" s="54"/>
      <c r="E46" s="53">
        <f>107242.59+12389233.42</f>
        <v>12496476.01</v>
      </c>
      <c r="F46" s="53">
        <v>10291.25</v>
      </c>
      <c r="G46" s="53">
        <v>146782.84</v>
      </c>
      <c r="H46" s="53" t="s">
        <v>62</v>
      </c>
      <c r="I46" s="53">
        <v>128820</v>
      </c>
      <c r="J46" s="53">
        <f>3721367+5305450</f>
        <v>9026817</v>
      </c>
      <c r="K46" s="53">
        <f>6314258+2917686.17</f>
        <v>9231944.1699999999</v>
      </c>
      <c r="L46" s="53">
        <v>2522990</v>
      </c>
      <c r="M46" s="53">
        <v>934826</v>
      </c>
      <c r="N46" s="51"/>
      <c r="O46" s="51" t="s">
        <v>109</v>
      </c>
    </row>
    <row r="47" spans="1:15" s="16" customFormat="1" ht="19.5">
      <c r="A47" s="52"/>
      <c r="B47" s="52" t="s">
        <v>110</v>
      </c>
      <c r="C47" s="51"/>
      <c r="D47" s="54"/>
      <c r="E47" s="53">
        <f>76450.51+11521051.11</f>
        <v>11597501.619999999</v>
      </c>
      <c r="F47" s="53">
        <v>83686.600000000006</v>
      </c>
      <c r="G47" s="53">
        <v>305113.94</v>
      </c>
      <c r="H47" s="53">
        <v>489905</v>
      </c>
      <c r="I47" s="53">
        <v>45900</v>
      </c>
      <c r="J47" s="53">
        <f>6752319+7439830</f>
        <v>14192149</v>
      </c>
      <c r="K47" s="53">
        <f xml:space="preserve"> 6873595+4956241.34</f>
        <v>11829836.34</v>
      </c>
      <c r="L47" s="53">
        <v>3056610</v>
      </c>
      <c r="M47" s="53">
        <v>657806</v>
      </c>
      <c r="N47" s="51"/>
      <c r="O47" s="51" t="s">
        <v>111</v>
      </c>
    </row>
    <row r="48" spans="1:15" s="16" customFormat="1" ht="19.5">
      <c r="A48" s="52"/>
      <c r="B48" s="52" t="s">
        <v>112</v>
      </c>
      <c r="C48" s="51"/>
      <c r="D48" s="54"/>
      <c r="E48" s="53">
        <f>71838.17+14474517.64</f>
        <v>14546355.810000001</v>
      </c>
      <c r="F48" s="53">
        <v>33386</v>
      </c>
      <c r="G48" s="53">
        <v>67258.539999999994</v>
      </c>
      <c r="H48" s="53">
        <v>408365</v>
      </c>
      <c r="I48" s="53">
        <v>18746.310000000001</v>
      </c>
      <c r="J48" s="53">
        <v>9980569</v>
      </c>
      <c r="K48" s="53">
        <f>4801739.78+2926582.06</f>
        <v>7728321.8399999999</v>
      </c>
      <c r="L48" s="53">
        <v>1355765</v>
      </c>
      <c r="M48" s="53">
        <v>987414.94</v>
      </c>
      <c r="N48" s="51"/>
      <c r="O48" s="51" t="s">
        <v>113</v>
      </c>
    </row>
    <row r="49" spans="1:15" s="16" customFormat="1" ht="19.5">
      <c r="A49" s="52"/>
      <c r="B49" s="52" t="s">
        <v>114</v>
      </c>
      <c r="C49" s="51"/>
      <c r="D49" s="54"/>
      <c r="E49" s="53">
        <f>83732.85+14647200.57</f>
        <v>14730933.42</v>
      </c>
      <c r="F49" s="53">
        <v>1314</v>
      </c>
      <c r="G49" s="53">
        <v>225705.96</v>
      </c>
      <c r="H49" s="53" t="s">
        <v>62</v>
      </c>
      <c r="I49" s="53">
        <v>29210</v>
      </c>
      <c r="J49" s="53">
        <f>5544399+7004400</f>
        <v>12548799</v>
      </c>
      <c r="K49" s="53">
        <f>6755672+3907956.86</f>
        <v>10663628.859999999</v>
      </c>
      <c r="L49" s="53">
        <v>809690</v>
      </c>
      <c r="M49" s="53">
        <v>685397.5</v>
      </c>
      <c r="N49" s="51"/>
      <c r="O49" s="51" t="s">
        <v>115</v>
      </c>
    </row>
    <row r="50" spans="1:15" s="16" customFormat="1" ht="19.5">
      <c r="A50" s="52"/>
      <c r="B50" s="52" t="s">
        <v>116</v>
      </c>
      <c r="C50" s="51"/>
      <c r="D50" s="54"/>
      <c r="E50" s="53">
        <f>519467.42+15598855.24</f>
        <v>16118322.66</v>
      </c>
      <c r="F50" s="53">
        <v>534560.75</v>
      </c>
      <c r="G50" s="53">
        <v>310011.33</v>
      </c>
      <c r="H50" s="53">
        <v>1346956</v>
      </c>
      <c r="I50" s="53">
        <v>85600</v>
      </c>
      <c r="J50" s="53">
        <f>11927847+10570685</f>
        <v>22498532</v>
      </c>
      <c r="K50" s="53">
        <f>9353423+11822098.52</f>
        <v>21175521.52</v>
      </c>
      <c r="L50" s="53">
        <v>2530378</v>
      </c>
      <c r="M50" s="53">
        <v>9873058</v>
      </c>
      <c r="N50" s="51"/>
      <c r="O50" s="51" t="s">
        <v>117</v>
      </c>
    </row>
    <row r="51" spans="1:15" s="16" customFormat="1" ht="19.5" customHeight="1">
      <c r="A51" s="52"/>
      <c r="B51" s="52" t="s">
        <v>118</v>
      </c>
      <c r="C51" s="51"/>
      <c r="D51" s="54"/>
      <c r="E51" s="53">
        <f>88988.22+11600752.72</f>
        <v>11689740.940000001</v>
      </c>
      <c r="F51" s="53">
        <v>32076.799999999999</v>
      </c>
      <c r="G51" s="53">
        <v>146057.03</v>
      </c>
      <c r="H51" s="53">
        <v>243425</v>
      </c>
      <c r="I51" s="53">
        <v>50840</v>
      </c>
      <c r="J51" s="53">
        <f>4835323+6065880</f>
        <v>10901203</v>
      </c>
      <c r="K51" s="53" t="s">
        <v>119</v>
      </c>
      <c r="L51" s="53">
        <v>1889751.74</v>
      </c>
      <c r="M51" s="53">
        <v>826603</v>
      </c>
      <c r="N51" s="51"/>
      <c r="O51" s="51" t="s">
        <v>120</v>
      </c>
    </row>
    <row r="52" spans="1:15" s="16" customFormat="1" ht="19.5">
      <c r="A52" s="52"/>
      <c r="B52" s="52" t="s">
        <v>121</v>
      </c>
      <c r="C52" s="51"/>
      <c r="D52" s="54"/>
      <c r="E52" s="53">
        <f>73323.82+11724062.4</f>
        <v>11797386.220000001</v>
      </c>
      <c r="F52" s="53">
        <v>26389</v>
      </c>
      <c r="G52" s="53">
        <v>219290.53</v>
      </c>
      <c r="H52" s="53" t="s">
        <v>62</v>
      </c>
      <c r="I52" s="53">
        <v>79025</v>
      </c>
      <c r="J52" s="53">
        <f>4724856+8746500</f>
        <v>13471356</v>
      </c>
      <c r="K52" s="53">
        <f>6857212+2744337.63</f>
        <v>9601549.629999999</v>
      </c>
      <c r="L52" s="53">
        <v>2280711.5699999998</v>
      </c>
      <c r="M52" s="53">
        <v>1431356</v>
      </c>
      <c r="N52" s="51"/>
      <c r="O52" s="51" t="s">
        <v>122</v>
      </c>
    </row>
    <row r="53" spans="1:15" s="30" customFormat="1" ht="19.5">
      <c r="A53" s="47" t="s">
        <v>123</v>
      </c>
      <c r="B53" s="47"/>
      <c r="C53" s="4"/>
      <c r="D53" s="55"/>
      <c r="E53" s="50">
        <f>SUM(E54:E63)</f>
        <v>157616337.30000001</v>
      </c>
      <c r="F53" s="50">
        <f t="shared" ref="F53:M53" si="7">SUM(F54:F63)</f>
        <v>879372.71</v>
      </c>
      <c r="G53" s="50">
        <f t="shared" si="7"/>
        <v>3781325.97</v>
      </c>
      <c r="H53" s="50">
        <f t="shared" si="7"/>
        <v>2805782.85</v>
      </c>
      <c r="I53" s="50">
        <f t="shared" si="7"/>
        <v>1354140.06</v>
      </c>
      <c r="J53" s="50">
        <f t="shared" si="7"/>
        <v>220211089.53999999</v>
      </c>
      <c r="K53" s="50">
        <f t="shared" si="7"/>
        <v>131796003.20999999</v>
      </c>
      <c r="L53" s="50">
        <f t="shared" si="7"/>
        <v>54842536.129999995</v>
      </c>
      <c r="M53" s="50">
        <f t="shared" si="7"/>
        <v>26131978.449999999</v>
      </c>
      <c r="N53" s="4"/>
      <c r="O53" s="4" t="s">
        <v>124</v>
      </c>
    </row>
    <row r="54" spans="1:15" s="16" customFormat="1" ht="19.5">
      <c r="A54" s="52"/>
      <c r="B54" s="52" t="s">
        <v>125</v>
      </c>
      <c r="C54" s="51"/>
      <c r="D54" s="54"/>
      <c r="E54" s="53">
        <f>528544.32+17273913.45</f>
        <v>17802457.77</v>
      </c>
      <c r="F54" s="53">
        <v>202945</v>
      </c>
      <c r="G54" s="53">
        <v>264893.21000000002</v>
      </c>
      <c r="H54" s="53" t="s">
        <v>62</v>
      </c>
      <c r="I54" s="53">
        <v>84357</v>
      </c>
      <c r="J54" s="53">
        <f>14031877+13229590</f>
        <v>27261467</v>
      </c>
      <c r="K54" s="53">
        <f>7088143.21+7749829.36</f>
        <v>14837972.57</v>
      </c>
      <c r="L54" s="53">
        <v>10249290</v>
      </c>
      <c r="M54" s="53">
        <v>3319315.5</v>
      </c>
      <c r="N54" s="51"/>
      <c r="O54" s="51" t="s">
        <v>126</v>
      </c>
    </row>
    <row r="55" spans="1:15" s="16" customFormat="1" ht="19.5">
      <c r="A55" s="52"/>
      <c r="B55" s="52" t="s">
        <v>127</v>
      </c>
      <c r="C55" s="51"/>
      <c r="D55" s="54"/>
      <c r="E55" s="53">
        <f>230877.23+14934074.86</f>
        <v>15164952.09</v>
      </c>
      <c r="F55" s="53">
        <v>4180.3999999999996</v>
      </c>
      <c r="G55" s="53">
        <v>363567.32</v>
      </c>
      <c r="H55" s="53" t="s">
        <v>62</v>
      </c>
      <c r="I55" s="53">
        <v>170925</v>
      </c>
      <c r="J55" s="53">
        <f>11779098+12669923</f>
        <v>24449021</v>
      </c>
      <c r="K55" s="53">
        <f>7438200+6033277.04</f>
        <v>13471477.039999999</v>
      </c>
      <c r="L55" s="53">
        <v>6662527.6699999999</v>
      </c>
      <c r="M55" s="53">
        <v>781729.5</v>
      </c>
      <c r="N55" s="51"/>
      <c r="O55" s="51" t="s">
        <v>128</v>
      </c>
    </row>
    <row r="56" spans="1:15" s="16" customFormat="1" ht="19.5">
      <c r="A56" s="52"/>
      <c r="B56" s="52" t="s">
        <v>129</v>
      </c>
      <c r="C56" s="51"/>
      <c r="D56" s="54"/>
      <c r="E56" s="53">
        <f>214728.09+13073238.21</f>
        <v>13287966.300000001</v>
      </c>
      <c r="F56" s="53">
        <v>157912.31</v>
      </c>
      <c r="G56" s="53">
        <v>109053.91</v>
      </c>
      <c r="H56" s="53" t="s">
        <v>62</v>
      </c>
      <c r="I56" s="53">
        <v>53000</v>
      </c>
      <c r="J56" s="53">
        <f>8559679+10004200</f>
        <v>18563879</v>
      </c>
      <c r="K56" s="53">
        <f>6857343.12+6720519.41</f>
        <v>13577862.530000001</v>
      </c>
      <c r="L56" s="53">
        <v>4000512.86</v>
      </c>
      <c r="M56" s="53">
        <v>309482.09999999998</v>
      </c>
      <c r="N56" s="51"/>
      <c r="O56" s="51" t="s">
        <v>130</v>
      </c>
    </row>
    <row r="57" spans="1:15" s="16" customFormat="1" ht="19.5">
      <c r="A57" s="52"/>
      <c r="B57" s="52" t="s">
        <v>131</v>
      </c>
      <c r="C57" s="51"/>
      <c r="D57" s="54"/>
      <c r="E57" s="53">
        <f>190944.5+16224407.2</f>
        <v>16415351.699999999</v>
      </c>
      <c r="F57" s="53">
        <v>16717</v>
      </c>
      <c r="G57" s="53">
        <v>269389.96999999997</v>
      </c>
      <c r="H57" s="53">
        <v>757440</v>
      </c>
      <c r="I57" s="53">
        <v>103938</v>
      </c>
      <c r="J57" s="53">
        <f>12793853+8456961</f>
        <v>21250814</v>
      </c>
      <c r="K57" s="53">
        <f>8314108.61+7373072.85</f>
        <v>15687181.460000001</v>
      </c>
      <c r="L57" s="53">
        <v>5279289.54</v>
      </c>
      <c r="M57" s="53">
        <v>7674226.71</v>
      </c>
      <c r="N57" s="51"/>
      <c r="O57" s="51" t="s">
        <v>132</v>
      </c>
    </row>
    <row r="58" spans="1:15" s="16" customFormat="1" ht="19.5">
      <c r="A58" s="52"/>
      <c r="B58" s="52" t="s">
        <v>133</v>
      </c>
      <c r="C58" s="51"/>
      <c r="D58" s="54"/>
      <c r="E58" s="53">
        <f>342748.46+14757331.94</f>
        <v>15100080.4</v>
      </c>
      <c r="F58" s="53">
        <v>114772.15</v>
      </c>
      <c r="G58" s="53">
        <v>375417.62</v>
      </c>
      <c r="H58" s="53">
        <v>31685</v>
      </c>
      <c r="I58" s="53">
        <v>330300</v>
      </c>
      <c r="J58" s="53">
        <f>10302979+8094915</f>
        <v>18397894</v>
      </c>
      <c r="K58" s="53">
        <f>6837138.45+7479159.45</f>
        <v>14316297.9</v>
      </c>
      <c r="L58" s="53">
        <v>4062898</v>
      </c>
      <c r="M58" s="53">
        <v>641400</v>
      </c>
      <c r="N58" s="51"/>
      <c r="O58" s="51" t="s">
        <v>134</v>
      </c>
    </row>
    <row r="59" spans="1:15" s="16" customFormat="1" ht="19.5">
      <c r="A59" s="52"/>
      <c r="B59" s="52" t="s">
        <v>135</v>
      </c>
      <c r="C59" s="51"/>
      <c r="D59" s="54"/>
      <c r="E59" s="53">
        <f>456243.6+18831111.23</f>
        <v>19287354.830000002</v>
      </c>
      <c r="F59" s="53">
        <v>83160</v>
      </c>
      <c r="G59" s="53">
        <v>996361.53</v>
      </c>
      <c r="H59" s="53" t="s">
        <v>62</v>
      </c>
      <c r="I59" s="53">
        <v>175575</v>
      </c>
      <c r="J59" s="53">
        <f>12504679+11532242</f>
        <v>24036921</v>
      </c>
      <c r="K59" s="53">
        <f>8023517+8523864.39</f>
        <v>16547381.390000001</v>
      </c>
      <c r="L59" s="53">
        <v>2721189.78</v>
      </c>
      <c r="M59" s="53">
        <v>1467760</v>
      </c>
      <c r="N59" s="51"/>
      <c r="O59" s="51" t="s">
        <v>136</v>
      </c>
    </row>
    <row r="60" spans="1:15" s="16" customFormat="1" ht="19.5">
      <c r="A60" s="52"/>
      <c r="B60" s="52" t="s">
        <v>137</v>
      </c>
      <c r="C60" s="51"/>
      <c r="D60" s="54"/>
      <c r="E60" s="53">
        <f>158678.88+12462567.05</f>
        <v>12621245.930000002</v>
      </c>
      <c r="F60" s="53">
        <v>53340</v>
      </c>
      <c r="G60" s="53">
        <v>451020.79999999999</v>
      </c>
      <c r="H60" s="53">
        <v>404125.85</v>
      </c>
      <c r="I60" s="53">
        <v>159190.06</v>
      </c>
      <c r="J60" s="53">
        <f>6629388+7293368</f>
        <v>13922756</v>
      </c>
      <c r="K60" s="53">
        <f>6132555.38+5750361.78</f>
        <v>11882917.16</v>
      </c>
      <c r="L60" s="53">
        <v>3834992.73</v>
      </c>
      <c r="M60" s="53">
        <v>401733</v>
      </c>
      <c r="N60" s="51"/>
      <c r="O60" s="51" t="s">
        <v>138</v>
      </c>
    </row>
    <row r="61" spans="1:15" s="16" customFormat="1" ht="19.5">
      <c r="A61" s="52"/>
      <c r="B61" s="52" t="s">
        <v>139</v>
      </c>
      <c r="C61" s="51"/>
      <c r="D61" s="54"/>
      <c r="E61" s="53">
        <f>181769.23+14021425.94</f>
        <v>14203195.17</v>
      </c>
      <c r="F61" s="53">
        <v>150869.85</v>
      </c>
      <c r="G61" s="53">
        <v>291536.45</v>
      </c>
      <c r="H61" s="53">
        <v>1168131</v>
      </c>
      <c r="I61" s="53">
        <v>94650</v>
      </c>
      <c r="J61" s="53">
        <f>9210139+11478529</f>
        <v>20688668</v>
      </c>
      <c r="K61" s="53">
        <f>8183668.16+6707388.28</f>
        <v>14891056.440000001</v>
      </c>
      <c r="L61" s="53">
        <v>4074414.01</v>
      </c>
      <c r="M61" s="53">
        <v>979989.41</v>
      </c>
      <c r="N61" s="51"/>
      <c r="O61" s="51" t="s">
        <v>140</v>
      </c>
    </row>
    <row r="62" spans="1:15" s="16" customFormat="1" ht="19.5">
      <c r="A62" s="52"/>
      <c r="B62" s="52" t="s">
        <v>141</v>
      </c>
      <c r="C62" s="51"/>
      <c r="D62" s="54"/>
      <c r="E62" s="53">
        <f>140163.8+14970442.87</f>
        <v>15110606.67</v>
      </c>
      <c r="F62" s="53">
        <v>14506</v>
      </c>
      <c r="G62" s="53">
        <v>202804.22</v>
      </c>
      <c r="H62" s="53" t="s">
        <v>62</v>
      </c>
      <c r="I62" s="53">
        <v>115600</v>
      </c>
      <c r="J62" s="53">
        <f>12043426+13987002.54</f>
        <v>26030428.539999999</v>
      </c>
      <c r="K62" s="53">
        <f>8803061+7780795.72</f>
        <v>16583856.719999999</v>
      </c>
      <c r="L62" s="53">
        <v>7972056.54</v>
      </c>
      <c r="M62" s="53">
        <v>9316505.2300000004</v>
      </c>
      <c r="N62" s="51"/>
      <c r="O62" s="51" t="s">
        <v>142</v>
      </c>
    </row>
    <row r="63" spans="1:15" s="16" customFormat="1" ht="18.75" customHeight="1">
      <c r="A63" s="52"/>
      <c r="B63" s="52" t="s">
        <v>143</v>
      </c>
      <c r="C63" s="51"/>
      <c r="D63" s="54"/>
      <c r="E63" s="53">
        <f>373918.17+18249208.27</f>
        <v>18623126.440000001</v>
      </c>
      <c r="F63" s="53">
        <v>80970</v>
      </c>
      <c r="G63" s="53">
        <v>457280.94</v>
      </c>
      <c r="H63" s="53">
        <v>444401</v>
      </c>
      <c r="I63" s="53">
        <v>66605</v>
      </c>
      <c r="J63" s="53">
        <f>15739231+9870010</f>
        <v>25609241</v>
      </c>
      <c r="K63" s="53" t="s">
        <v>144</v>
      </c>
      <c r="L63" s="53">
        <v>5985365</v>
      </c>
      <c r="M63" s="53">
        <v>1239837</v>
      </c>
      <c r="N63" s="51"/>
      <c r="O63" s="51" t="s">
        <v>145</v>
      </c>
    </row>
    <row r="64" spans="1:15" s="30" customFormat="1" ht="19.5">
      <c r="A64" s="47" t="s">
        <v>146</v>
      </c>
      <c r="B64" s="47"/>
      <c r="C64" s="4"/>
      <c r="D64" s="55"/>
      <c r="E64" s="50">
        <f>SUM(E65:E74)</f>
        <v>206474537.59000003</v>
      </c>
      <c r="F64" s="50">
        <f t="shared" ref="F64:M64" si="8">SUM(F65:F74)</f>
        <v>1990005.94</v>
      </c>
      <c r="G64" s="50">
        <f t="shared" si="8"/>
        <v>5684558.3400000008</v>
      </c>
      <c r="H64" s="50">
        <f t="shared" si="8"/>
        <v>2215078.42</v>
      </c>
      <c r="I64" s="50">
        <f t="shared" si="8"/>
        <v>3832200.5</v>
      </c>
      <c r="J64" s="50">
        <f t="shared" si="8"/>
        <v>309890272.19</v>
      </c>
      <c r="K64" s="50">
        <f t="shared" si="8"/>
        <v>178005930.96000001</v>
      </c>
      <c r="L64" s="50">
        <f t="shared" si="8"/>
        <v>93708230.609999999</v>
      </c>
      <c r="M64" s="50">
        <f t="shared" si="8"/>
        <v>48507886.159999996</v>
      </c>
      <c r="N64" s="4"/>
      <c r="O64" s="4" t="s">
        <v>147</v>
      </c>
    </row>
    <row r="65" spans="1:15" s="16" customFormat="1" ht="19.5">
      <c r="A65" s="52"/>
      <c r="B65" s="52" t="s">
        <v>148</v>
      </c>
      <c r="C65" s="51"/>
      <c r="D65" s="54"/>
      <c r="E65" s="53">
        <f>414389.4+16862350.92</f>
        <v>17276740.32</v>
      </c>
      <c r="F65" s="53">
        <v>199819.3</v>
      </c>
      <c r="G65" s="53">
        <v>386945.67</v>
      </c>
      <c r="H65" s="53" t="s">
        <v>62</v>
      </c>
      <c r="I65" s="53">
        <v>2314050</v>
      </c>
      <c r="J65" s="53">
        <f>10239696+12783740</f>
        <v>23023436</v>
      </c>
      <c r="K65" s="53">
        <f>6839173.8+6262879.99</f>
        <v>13102053.789999999</v>
      </c>
      <c r="L65" s="53">
        <v>8906211.2100000009</v>
      </c>
      <c r="M65" s="53">
        <v>814159.16</v>
      </c>
      <c r="N65" s="51"/>
      <c r="O65" s="51" t="s">
        <v>149</v>
      </c>
    </row>
    <row r="66" spans="1:15" s="16" customFormat="1" ht="19.5">
      <c r="A66" s="52"/>
      <c r="B66" s="52" t="s">
        <v>150</v>
      </c>
      <c r="C66" s="51"/>
      <c r="D66" s="54"/>
      <c r="E66" s="53">
        <f>83139.09+12029093.13</f>
        <v>12112232.220000001</v>
      </c>
      <c r="F66" s="53">
        <v>6258.8</v>
      </c>
      <c r="G66" s="53">
        <v>150264</v>
      </c>
      <c r="H66" s="53">
        <v>86522</v>
      </c>
      <c r="I66" s="53">
        <v>89690</v>
      </c>
      <c r="J66" s="53">
        <v>6312400</v>
      </c>
      <c r="K66" s="53">
        <f>7023755.07+4469939.65</f>
        <v>11493694.720000001</v>
      </c>
      <c r="L66" s="53">
        <v>3929878</v>
      </c>
      <c r="M66" s="53">
        <v>913322</v>
      </c>
      <c r="N66" s="51"/>
      <c r="O66" s="51" t="s">
        <v>151</v>
      </c>
    </row>
    <row r="67" spans="1:15" s="16" customFormat="1" ht="19.5">
      <c r="A67" s="52"/>
      <c r="B67" s="52" t="s">
        <v>152</v>
      </c>
      <c r="C67" s="51"/>
      <c r="D67" s="54"/>
      <c r="E67" s="53">
        <f>181880.23+17468547.66</f>
        <v>17650427.890000001</v>
      </c>
      <c r="F67" s="53">
        <v>6635</v>
      </c>
      <c r="G67" s="53" t="s">
        <v>62</v>
      </c>
      <c r="H67" s="53">
        <v>204498.25</v>
      </c>
      <c r="I67" s="53">
        <v>93300</v>
      </c>
      <c r="J67" s="53">
        <f>13519949+32967985.48</f>
        <v>46487934.480000004</v>
      </c>
      <c r="K67" s="53">
        <f>6420206.67+6206634.26</f>
        <v>12626840.93</v>
      </c>
      <c r="L67" s="53">
        <v>6743280</v>
      </c>
      <c r="M67" s="53">
        <v>514410</v>
      </c>
      <c r="N67" s="51"/>
      <c r="O67" s="51" t="s">
        <v>153</v>
      </c>
    </row>
    <row r="68" spans="1:15" s="16" customFormat="1" ht="19.5">
      <c r="A68" s="52"/>
      <c r="B68" s="52" t="s">
        <v>154</v>
      </c>
      <c r="C68" s="51"/>
      <c r="D68" s="54"/>
      <c r="E68" s="53">
        <f>388088.3+23377962.09</f>
        <v>23766050.390000001</v>
      </c>
      <c r="F68" s="53">
        <v>19189.8</v>
      </c>
      <c r="G68" s="53" t="s">
        <v>62</v>
      </c>
      <c r="H68" s="53">
        <v>391428.17</v>
      </c>
      <c r="I68" s="53">
        <v>287950</v>
      </c>
      <c r="J68" s="53">
        <f>19587159+20902094.83</f>
        <v>40489253.829999998</v>
      </c>
      <c r="K68" s="53">
        <f>10582409.5+10773691.01</f>
        <v>21356100.509999998</v>
      </c>
      <c r="L68" s="53">
        <v>12516996.029999999</v>
      </c>
      <c r="M68" s="53">
        <v>19866780</v>
      </c>
      <c r="N68" s="51"/>
      <c r="O68" s="51" t="s">
        <v>155</v>
      </c>
    </row>
    <row r="69" spans="1:15" s="16" customFormat="1" ht="19.5">
      <c r="A69" s="52"/>
      <c r="B69" s="52" t="s">
        <v>156</v>
      </c>
      <c r="C69" s="51"/>
      <c r="D69" s="54"/>
      <c r="E69" s="53">
        <f>4248656.85+46248613.75</f>
        <v>50497270.600000001</v>
      </c>
      <c r="F69" s="53">
        <v>1147107</v>
      </c>
      <c r="G69" s="53">
        <v>3881584.58</v>
      </c>
      <c r="H69" s="53" t="s">
        <v>62</v>
      </c>
      <c r="I69" s="53">
        <v>461833.5</v>
      </c>
      <c r="J69" s="53">
        <f>47116047+37778307.88</f>
        <v>84894354.879999995</v>
      </c>
      <c r="K69" s="53">
        <f>13309311.88+30476932.06</f>
        <v>43786243.939999998</v>
      </c>
      <c r="L69" s="53">
        <v>20609479.370000001</v>
      </c>
      <c r="M69" s="53">
        <v>2174218</v>
      </c>
      <c r="N69" s="51"/>
      <c r="O69" s="51" t="s">
        <v>157</v>
      </c>
    </row>
    <row r="70" spans="1:15" s="16" customFormat="1" ht="19.5">
      <c r="A70" s="52"/>
      <c r="B70" s="52" t="s">
        <v>158</v>
      </c>
      <c r="C70" s="51"/>
      <c r="D70" s="54"/>
      <c r="E70" s="53">
        <f>310971+14814325.74</f>
        <v>15125296.74</v>
      </c>
      <c r="F70" s="53">
        <v>1930.3</v>
      </c>
      <c r="G70" s="53">
        <v>233600.53</v>
      </c>
      <c r="H70" s="53">
        <v>639910</v>
      </c>
      <c r="I70" s="53">
        <v>57265</v>
      </c>
      <c r="J70" s="53">
        <f>8897158+11518190</f>
        <v>20415348</v>
      </c>
      <c r="K70" s="53">
        <f>7720250+4597964.04</f>
        <v>12318214.039999999</v>
      </c>
      <c r="L70" s="53">
        <v>7920600</v>
      </c>
      <c r="M70" s="53">
        <v>570338</v>
      </c>
      <c r="N70" s="51"/>
      <c r="O70" s="51" t="s">
        <v>159</v>
      </c>
    </row>
    <row r="71" spans="1:15" s="16" customFormat="1" ht="19.5">
      <c r="A71" s="52"/>
      <c r="B71" s="52" t="s">
        <v>160</v>
      </c>
      <c r="C71" s="51"/>
      <c r="D71" s="54"/>
      <c r="E71" s="53">
        <f>229584.2+16120438.26</f>
        <v>16350022.459999999</v>
      </c>
      <c r="F71" s="53">
        <v>221813.94</v>
      </c>
      <c r="G71" s="53">
        <v>358610.7</v>
      </c>
      <c r="H71" s="53" t="s">
        <v>62</v>
      </c>
      <c r="I71" s="53">
        <v>143197</v>
      </c>
      <c r="J71" s="53">
        <f>13216636+8677896</f>
        <v>21894532</v>
      </c>
      <c r="K71" s="53">
        <f>9763576+7661431.09</f>
        <v>17425007.09</v>
      </c>
      <c r="L71" s="53">
        <v>5618317.96</v>
      </c>
      <c r="M71" s="53">
        <v>8860547</v>
      </c>
      <c r="N71" s="51"/>
      <c r="O71" s="51" t="s">
        <v>161</v>
      </c>
    </row>
    <row r="72" spans="1:15" s="16" customFormat="1" ht="19.5">
      <c r="A72" s="52"/>
      <c r="B72" s="52" t="s">
        <v>162</v>
      </c>
      <c r="C72" s="51"/>
      <c r="D72" s="54"/>
      <c r="E72" s="53">
        <f>226311.28+22689774.56</f>
        <v>22916085.84</v>
      </c>
      <c r="F72" s="53">
        <v>80313.5</v>
      </c>
      <c r="G72" s="53">
        <v>271218.96000000002</v>
      </c>
      <c r="H72" s="53">
        <v>736070</v>
      </c>
      <c r="I72" s="53">
        <v>198230</v>
      </c>
      <c r="J72" s="53">
        <v>19366360</v>
      </c>
      <c r="K72" s="53">
        <f>9440141+9134567.36</f>
        <v>18574708.359999999</v>
      </c>
      <c r="L72" s="53">
        <v>11024218.039999999</v>
      </c>
      <c r="M72" s="53">
        <v>499587</v>
      </c>
      <c r="N72" s="51"/>
      <c r="O72" s="51" t="s">
        <v>163</v>
      </c>
    </row>
    <row r="73" spans="1:15" s="16" customFormat="1" ht="19.5">
      <c r="A73" s="52"/>
      <c r="B73" s="52" t="s">
        <v>164</v>
      </c>
      <c r="C73" s="51"/>
      <c r="D73" s="54"/>
      <c r="E73" s="53">
        <f>1160345.06+17282904.52</f>
        <v>18443249.579999998</v>
      </c>
      <c r="F73" s="53">
        <v>305842.2</v>
      </c>
      <c r="G73" s="53">
        <v>286680.58</v>
      </c>
      <c r="H73" s="53" t="s">
        <v>62</v>
      </c>
      <c r="I73" s="53">
        <v>129200</v>
      </c>
      <c r="J73" s="53">
        <f>14794395+16640678</f>
        <v>31435073</v>
      </c>
      <c r="K73" s="53">
        <f>9851107+8346312.21</f>
        <v>18197419.210000001</v>
      </c>
      <c r="L73" s="53">
        <v>10674050</v>
      </c>
      <c r="M73" s="53">
        <v>14011837</v>
      </c>
      <c r="N73" s="51"/>
      <c r="O73" s="51" t="s">
        <v>165</v>
      </c>
    </row>
    <row r="74" spans="1:15" s="16" customFormat="1" ht="19.5">
      <c r="A74" s="52"/>
      <c r="B74" s="52" t="s">
        <v>166</v>
      </c>
      <c r="C74" s="51"/>
      <c r="D74" s="54"/>
      <c r="E74" s="53">
        <f>43585.47+12293576.08</f>
        <v>12337161.550000001</v>
      </c>
      <c r="F74" s="53">
        <v>1096.0999999999999</v>
      </c>
      <c r="G74" s="53">
        <v>115653.32</v>
      </c>
      <c r="H74" s="53">
        <v>156650</v>
      </c>
      <c r="I74" s="53">
        <v>57485</v>
      </c>
      <c r="J74" s="53">
        <f>5268720+10302860</f>
        <v>15571580</v>
      </c>
      <c r="K74" s="53">
        <f>6086933+3038715.37</f>
        <v>9125648.370000001</v>
      </c>
      <c r="L74" s="53">
        <v>5765200</v>
      </c>
      <c r="M74" s="53">
        <v>282688</v>
      </c>
      <c r="N74" s="51"/>
      <c r="O74" s="51" t="s">
        <v>167</v>
      </c>
    </row>
    <row r="75" spans="1:15" s="30" customFormat="1" ht="19.5">
      <c r="A75" s="47" t="s">
        <v>168</v>
      </c>
      <c r="B75" s="47"/>
      <c r="C75" s="4"/>
      <c r="D75" s="55"/>
      <c r="E75" s="50">
        <f t="shared" ref="E75:M75" si="9">SUM(E76:E82)</f>
        <v>139361967.04999998</v>
      </c>
      <c r="F75" s="50">
        <f t="shared" si="9"/>
        <v>1764655.85</v>
      </c>
      <c r="G75" s="50">
        <f t="shared" si="9"/>
        <v>1962741.0599999998</v>
      </c>
      <c r="H75" s="50">
        <f t="shared" si="9"/>
        <v>1268501</v>
      </c>
      <c r="I75" s="50">
        <f t="shared" si="9"/>
        <v>802569</v>
      </c>
      <c r="J75" s="50">
        <f t="shared" si="9"/>
        <v>178129505</v>
      </c>
      <c r="K75" s="50">
        <f t="shared" si="9"/>
        <v>104939815.13</v>
      </c>
      <c r="L75" s="50">
        <f t="shared" si="9"/>
        <v>47327273.030000001</v>
      </c>
      <c r="M75" s="50">
        <f t="shared" si="9"/>
        <v>7589931.0499999998</v>
      </c>
      <c r="N75" s="4"/>
      <c r="O75" s="4" t="s">
        <v>169</v>
      </c>
    </row>
    <row r="76" spans="1:15" s="16" customFormat="1" ht="19.5">
      <c r="A76" s="52"/>
      <c r="B76" s="52" t="s">
        <v>170</v>
      </c>
      <c r="C76" s="51"/>
      <c r="D76" s="54"/>
      <c r="E76" s="53">
        <f>112392+22154393.85</f>
        <v>22266785.850000001</v>
      </c>
      <c r="F76" s="53">
        <v>133936.79999999999</v>
      </c>
      <c r="G76" s="53">
        <v>428429.33</v>
      </c>
      <c r="H76" s="53" t="s">
        <v>62</v>
      </c>
      <c r="I76" s="53">
        <v>167772</v>
      </c>
      <c r="J76" s="53">
        <f>25079244+17668540</f>
        <v>42747784</v>
      </c>
      <c r="K76" s="53">
        <f>9668667+9213841.12</f>
        <v>18882508.119999997</v>
      </c>
      <c r="L76" s="53">
        <v>10037898</v>
      </c>
      <c r="M76" s="53">
        <v>1719300</v>
      </c>
      <c r="N76" s="51"/>
      <c r="O76" s="51" t="s">
        <v>171</v>
      </c>
    </row>
    <row r="77" spans="1:15" s="16" customFormat="1" ht="19.5">
      <c r="A77" s="52"/>
      <c r="B77" s="52" t="s">
        <v>172</v>
      </c>
      <c r="C77" s="51"/>
      <c r="D77" s="54"/>
      <c r="E77" s="53">
        <f>255936.02+19022407.04</f>
        <v>19278343.059999999</v>
      </c>
      <c r="F77" s="53">
        <v>84124.3</v>
      </c>
      <c r="G77" s="53">
        <v>203840.61</v>
      </c>
      <c r="H77" s="53">
        <v>996318</v>
      </c>
      <c r="I77" s="53">
        <v>77352</v>
      </c>
      <c r="J77" s="53">
        <f>15281985+12899579</f>
        <v>28181564</v>
      </c>
      <c r="K77" s="53">
        <f>9003359+9817853.9</f>
        <v>18821212.899999999</v>
      </c>
      <c r="L77" s="53">
        <v>6647956</v>
      </c>
      <c r="M77" s="53">
        <v>1204235</v>
      </c>
      <c r="N77" s="51"/>
      <c r="O77" s="51" t="s">
        <v>173</v>
      </c>
    </row>
    <row r="78" spans="1:15" s="16" customFormat="1" ht="19.5">
      <c r="A78" s="52"/>
      <c r="B78" s="52" t="s">
        <v>174</v>
      </c>
      <c r="C78" s="51"/>
      <c r="D78" s="54"/>
      <c r="E78" s="53">
        <f>342794.96+23180370.14</f>
        <v>23523165.100000001</v>
      </c>
      <c r="F78" s="53">
        <v>70357.8</v>
      </c>
      <c r="G78" s="53">
        <v>352772.3</v>
      </c>
      <c r="H78" s="53" t="s">
        <v>62</v>
      </c>
      <c r="I78" s="53">
        <v>131420</v>
      </c>
      <c r="J78" s="53">
        <f>13349738+16712325</f>
        <v>30062063</v>
      </c>
      <c r="K78" s="53">
        <f>8865778+6871030.57</f>
        <v>15736808.57</v>
      </c>
      <c r="L78" s="53">
        <v>5897233.2000000002</v>
      </c>
      <c r="M78" s="53">
        <v>551306</v>
      </c>
      <c r="N78" s="51"/>
      <c r="O78" s="51" t="s">
        <v>175</v>
      </c>
    </row>
    <row r="79" spans="1:15" s="16" customFormat="1" ht="21" customHeight="1">
      <c r="A79" s="52"/>
      <c r="B79" s="52" t="s">
        <v>176</v>
      </c>
      <c r="C79" s="51"/>
      <c r="D79" s="54"/>
      <c r="E79" s="53">
        <f>1442346.31+14840312.28</f>
        <v>16282658.59</v>
      </c>
      <c r="F79" s="53">
        <v>85577</v>
      </c>
      <c r="G79" s="53">
        <v>208134.89</v>
      </c>
      <c r="H79" s="53" t="s">
        <v>62</v>
      </c>
      <c r="I79" s="53">
        <v>117280</v>
      </c>
      <c r="J79" s="53">
        <f>7450780+10619874</f>
        <v>18070654</v>
      </c>
      <c r="K79" s="53" t="s">
        <v>177</v>
      </c>
      <c r="L79" s="53">
        <v>7524161</v>
      </c>
      <c r="M79" s="53">
        <v>510870</v>
      </c>
      <c r="N79" s="51"/>
      <c r="O79" s="51" t="s">
        <v>178</v>
      </c>
    </row>
    <row r="80" spans="1:15" s="16" customFormat="1" ht="19.5">
      <c r="A80" s="52"/>
      <c r="B80" s="52" t="s">
        <v>179</v>
      </c>
      <c r="C80" s="51"/>
      <c r="D80" s="54"/>
      <c r="E80" s="53">
        <f>153439.83+20179108.47</f>
        <v>20332548.299999997</v>
      </c>
      <c r="F80" s="53">
        <v>32007.200000000001</v>
      </c>
      <c r="G80" s="53">
        <v>187622.99</v>
      </c>
      <c r="H80" s="53" t="s">
        <v>62</v>
      </c>
      <c r="I80" s="53">
        <v>80820</v>
      </c>
      <c r="J80" s="53">
        <f>14035162+13659195</f>
        <v>27694357</v>
      </c>
      <c r="K80" s="53">
        <f>10119727.2+9274840.31</f>
        <v>19394567.509999998</v>
      </c>
      <c r="L80" s="53">
        <v>4434000</v>
      </c>
      <c r="M80" s="53">
        <v>1864886</v>
      </c>
      <c r="N80" s="51"/>
      <c r="O80" s="51" t="s">
        <v>180</v>
      </c>
    </row>
    <row r="81" spans="1:15" s="16" customFormat="1" ht="19.5">
      <c r="A81" s="52"/>
      <c r="B81" s="52" t="s">
        <v>181</v>
      </c>
      <c r="C81" s="51"/>
      <c r="D81" s="54"/>
      <c r="E81" s="53">
        <f>109643.59+11119981.87</f>
        <v>11229625.459999999</v>
      </c>
      <c r="F81" s="53">
        <v>28848</v>
      </c>
      <c r="G81" s="53">
        <v>193210.76</v>
      </c>
      <c r="H81" s="53">
        <v>30507</v>
      </c>
      <c r="I81" s="53">
        <v>50139</v>
      </c>
      <c r="J81" s="53">
        <f>4922379+2732944</f>
        <v>7655323</v>
      </c>
      <c r="K81" s="53">
        <f>5098697+3001739.15</f>
        <v>8100436.1500000004</v>
      </c>
      <c r="L81" s="53">
        <v>2245486.1</v>
      </c>
      <c r="M81" s="53">
        <v>429862.05</v>
      </c>
      <c r="N81" s="51"/>
      <c r="O81" s="51" t="s">
        <v>182</v>
      </c>
    </row>
    <row r="82" spans="1:15" s="16" customFormat="1" ht="19.5">
      <c r="A82" s="52"/>
      <c r="B82" s="52" t="s">
        <v>183</v>
      </c>
      <c r="C82" s="51"/>
      <c r="D82" s="54"/>
      <c r="E82" s="53">
        <f>5118774.71+21330065.98</f>
        <v>26448840.690000001</v>
      </c>
      <c r="F82" s="53">
        <v>1329804.75</v>
      </c>
      <c r="G82" s="53">
        <v>388730.18</v>
      </c>
      <c r="H82" s="53">
        <v>241676</v>
      </c>
      <c r="I82" s="53">
        <v>177786</v>
      </c>
      <c r="J82" s="53">
        <f>10690670+13027090</f>
        <v>23717760</v>
      </c>
      <c r="K82" s="53">
        <f>12246370.2+11757911.68</f>
        <v>24004281.879999999</v>
      </c>
      <c r="L82" s="53">
        <v>10540538.73</v>
      </c>
      <c r="M82" s="53">
        <v>1309472</v>
      </c>
      <c r="N82" s="51"/>
      <c r="O82" s="51" t="s">
        <v>184</v>
      </c>
    </row>
    <row r="83" spans="1:15" s="30" customFormat="1" ht="19.5">
      <c r="A83" s="47" t="s">
        <v>185</v>
      </c>
      <c r="B83" s="47"/>
      <c r="C83" s="4"/>
      <c r="D83" s="55"/>
      <c r="E83" s="50">
        <f>SUM(E84:E86)</f>
        <v>53366171.690000005</v>
      </c>
      <c r="F83" s="50">
        <f t="shared" ref="F83:M83" si="10">SUM(F84:F86)</f>
        <v>924145.55999999994</v>
      </c>
      <c r="G83" s="50">
        <f t="shared" si="10"/>
        <v>805041.48</v>
      </c>
      <c r="H83" s="50">
        <f t="shared" si="10"/>
        <v>1278684</v>
      </c>
      <c r="I83" s="50">
        <f t="shared" si="10"/>
        <v>227835</v>
      </c>
      <c r="J83" s="50">
        <f t="shared" si="10"/>
        <v>72619209</v>
      </c>
      <c r="K83" s="50">
        <f t="shared" si="10"/>
        <v>47124620.239999995</v>
      </c>
      <c r="L83" s="50">
        <f t="shared" si="10"/>
        <v>10516751</v>
      </c>
      <c r="M83" s="50">
        <f t="shared" si="10"/>
        <v>2598548</v>
      </c>
      <c r="N83" s="4"/>
      <c r="O83" s="4" t="s">
        <v>186</v>
      </c>
    </row>
    <row r="84" spans="1:15" s="16" customFormat="1" ht="19.5">
      <c r="A84" s="52"/>
      <c r="B84" s="52" t="s">
        <v>187</v>
      </c>
      <c r="C84" s="51"/>
      <c r="D84" s="54"/>
      <c r="E84" s="53">
        <f>125141.47+15994524.78</f>
        <v>16119666.25</v>
      </c>
      <c r="F84" s="53">
        <v>112815.36</v>
      </c>
      <c r="G84" s="53">
        <v>62725.599999999999</v>
      </c>
      <c r="H84" s="53">
        <v>760018</v>
      </c>
      <c r="I84" s="53">
        <v>11094</v>
      </c>
      <c r="J84" s="53">
        <f>8877248+11899758</f>
        <v>20777006</v>
      </c>
      <c r="K84" s="53">
        <f>7711909+8285444.86</f>
        <v>15997353.859999999</v>
      </c>
      <c r="L84" s="53">
        <v>2966501</v>
      </c>
      <c r="M84" s="53">
        <v>1053789</v>
      </c>
      <c r="N84" s="51"/>
      <c r="O84" s="51" t="s">
        <v>188</v>
      </c>
    </row>
    <row r="85" spans="1:15" s="16" customFormat="1" ht="19.5">
      <c r="A85" s="52"/>
      <c r="B85" s="52" t="s">
        <v>189</v>
      </c>
      <c r="C85" s="51"/>
      <c r="D85" s="54"/>
      <c r="E85" s="53">
        <f>222227.36+18181396.84</f>
        <v>18403624.199999999</v>
      </c>
      <c r="F85" s="53">
        <v>240789</v>
      </c>
      <c r="G85" s="53">
        <v>330700.73</v>
      </c>
      <c r="H85" s="53">
        <v>128182</v>
      </c>
      <c r="I85" s="53">
        <v>157720</v>
      </c>
      <c r="J85" s="53">
        <f>12814840+12236866</f>
        <v>25051706</v>
      </c>
      <c r="K85" s="53">
        <f>7631741.82+6885136.54</f>
        <v>14516878.359999999</v>
      </c>
      <c r="L85" s="53">
        <v>5364120</v>
      </c>
      <c r="M85" s="53">
        <v>446219</v>
      </c>
      <c r="N85" s="51"/>
      <c r="O85" s="51" t="s">
        <v>190</v>
      </c>
    </row>
    <row r="86" spans="1:15" s="16" customFormat="1" ht="19.5">
      <c r="A86" s="52"/>
      <c r="B86" s="52" t="s">
        <v>191</v>
      </c>
      <c r="C86" s="51"/>
      <c r="D86" s="54"/>
      <c r="E86" s="53">
        <f>567631.57+18275249.67</f>
        <v>18842881.240000002</v>
      </c>
      <c r="F86" s="53">
        <v>570541.19999999995</v>
      </c>
      <c r="G86" s="53">
        <v>411615.15</v>
      </c>
      <c r="H86" s="53">
        <v>390484</v>
      </c>
      <c r="I86" s="53">
        <v>59021</v>
      </c>
      <c r="J86" s="53">
        <f>11278568+15511929</f>
        <v>26790497</v>
      </c>
      <c r="K86" s="53">
        <f>9089793.94+7520594.08</f>
        <v>16610388.02</v>
      </c>
      <c r="L86" s="53">
        <v>2186130</v>
      </c>
      <c r="M86" s="53">
        <v>1098540</v>
      </c>
      <c r="N86" s="51"/>
      <c r="O86" s="51" t="s">
        <v>192</v>
      </c>
    </row>
    <row r="87" spans="1:15" s="30" customFormat="1" ht="19.5">
      <c r="A87" s="47" t="s">
        <v>193</v>
      </c>
      <c r="B87" s="47"/>
      <c r="C87" s="4"/>
      <c r="D87" s="55"/>
      <c r="E87" s="50">
        <f>SUM(E88:E93)</f>
        <v>103844837.53</v>
      </c>
      <c r="F87" s="50">
        <f t="shared" ref="F87:M87" si="11">SUM(F88:F93)</f>
        <v>1716854.2000000002</v>
      </c>
      <c r="G87" s="50">
        <f t="shared" si="11"/>
        <v>1125958.6100000001</v>
      </c>
      <c r="H87" s="50">
        <f t="shared" si="11"/>
        <v>1893307.0900000003</v>
      </c>
      <c r="I87" s="50">
        <f t="shared" si="11"/>
        <v>904675.36</v>
      </c>
      <c r="J87" s="50">
        <f t="shared" si="11"/>
        <v>140901919.76999998</v>
      </c>
      <c r="K87" s="50">
        <f t="shared" si="11"/>
        <v>81344521.739999995</v>
      </c>
      <c r="L87" s="50">
        <f t="shared" si="11"/>
        <v>48308011.640000001</v>
      </c>
      <c r="M87" s="50">
        <f t="shared" si="11"/>
        <v>17699722.079999998</v>
      </c>
      <c r="N87" s="4"/>
      <c r="O87" s="4" t="s">
        <v>194</v>
      </c>
    </row>
    <row r="88" spans="1:15" s="16" customFormat="1" ht="19.5">
      <c r="A88" s="52"/>
      <c r="B88" s="52" t="s">
        <v>195</v>
      </c>
      <c r="C88" s="51"/>
      <c r="D88" s="54"/>
      <c r="E88" s="53">
        <f>354435.2+17873897.79</f>
        <v>18228332.989999998</v>
      </c>
      <c r="F88" s="53">
        <v>202061</v>
      </c>
      <c r="G88" s="53" t="s">
        <v>62</v>
      </c>
      <c r="H88" s="53">
        <v>663778</v>
      </c>
      <c r="I88" s="53">
        <v>46368</v>
      </c>
      <c r="J88" s="53">
        <f>20704985.77+9262660</f>
        <v>29967645.77</v>
      </c>
      <c r="K88" s="53">
        <f>8812991.91+7441664.48</f>
        <v>16254656.390000001</v>
      </c>
      <c r="L88" s="53">
        <v>2803854</v>
      </c>
      <c r="M88" s="53">
        <v>4122941.38</v>
      </c>
      <c r="N88" s="51"/>
      <c r="O88" s="51" t="s">
        <v>196</v>
      </c>
    </row>
    <row r="89" spans="1:15" s="16" customFormat="1" ht="19.5">
      <c r="A89" s="52"/>
      <c r="B89" s="52" t="s">
        <v>197</v>
      </c>
      <c r="C89" s="51"/>
      <c r="D89" s="54"/>
      <c r="E89" s="53">
        <f>131027.37+15219780.84</f>
        <v>15350808.209999999</v>
      </c>
      <c r="F89" s="53">
        <v>1531.2</v>
      </c>
      <c r="G89" s="53">
        <v>12948</v>
      </c>
      <c r="H89" s="53">
        <v>203808.41</v>
      </c>
      <c r="I89" s="53">
        <v>62900</v>
      </c>
      <c r="J89" s="53">
        <f>7054785+15619216</f>
        <v>22674001</v>
      </c>
      <c r="K89" s="53">
        <f>6730108.03+7597369.98</f>
        <v>14327478.010000002</v>
      </c>
      <c r="L89" s="53">
        <v>10201057.640000001</v>
      </c>
      <c r="M89" s="53">
        <v>8133679.7000000002</v>
      </c>
      <c r="N89" s="51"/>
      <c r="O89" s="51" t="s">
        <v>198</v>
      </c>
    </row>
    <row r="90" spans="1:15" s="16" customFormat="1" ht="19.5">
      <c r="A90" s="52"/>
      <c r="B90" s="52" t="s">
        <v>199</v>
      </c>
      <c r="C90" s="51"/>
      <c r="D90" s="54"/>
      <c r="E90" s="53">
        <f>615668.09+21125579.99</f>
        <v>21741248.079999998</v>
      </c>
      <c r="F90" s="53">
        <v>308553.2</v>
      </c>
      <c r="G90" s="53">
        <v>292029.51</v>
      </c>
      <c r="H90" s="53">
        <v>185263</v>
      </c>
      <c r="I90" s="53">
        <v>83912</v>
      </c>
      <c r="J90" s="53">
        <f>7095891+17283718</f>
        <v>24379609</v>
      </c>
      <c r="K90" s="53">
        <f>8761877+8737158.71</f>
        <v>17499035.710000001</v>
      </c>
      <c r="L90" s="53">
        <v>7930410</v>
      </c>
      <c r="M90" s="53">
        <v>2156320</v>
      </c>
      <c r="N90" s="51"/>
      <c r="O90" s="51" t="s">
        <v>200</v>
      </c>
    </row>
    <row r="91" spans="1:15" s="16" customFormat="1" ht="19.5">
      <c r="A91" s="52"/>
      <c r="B91" s="52" t="s">
        <v>201</v>
      </c>
      <c r="C91" s="51"/>
      <c r="D91" s="54"/>
      <c r="E91" s="53">
        <f>223203.1+22985615.53</f>
        <v>23208818.630000003</v>
      </c>
      <c r="F91" s="53">
        <v>510078</v>
      </c>
      <c r="G91" s="53">
        <v>321529.52</v>
      </c>
      <c r="H91" s="53">
        <v>840457.68</v>
      </c>
      <c r="I91" s="53">
        <v>386114</v>
      </c>
      <c r="J91" s="53">
        <v>13578477</v>
      </c>
      <c r="K91" s="53">
        <f>8400059+9728965.3</f>
        <v>18129024.300000001</v>
      </c>
      <c r="L91" s="53">
        <v>10186540</v>
      </c>
      <c r="M91" s="53">
        <v>1562041</v>
      </c>
      <c r="N91" s="51"/>
      <c r="O91" s="51" t="s">
        <v>202</v>
      </c>
    </row>
    <row r="92" spans="1:15" s="16" customFormat="1" ht="19.5">
      <c r="A92" s="52"/>
      <c r="B92" s="52" t="s">
        <v>203</v>
      </c>
      <c r="C92" s="51"/>
      <c r="D92" s="54"/>
      <c r="E92" s="53" t="s">
        <v>62</v>
      </c>
      <c r="F92" s="53" t="s">
        <v>62</v>
      </c>
      <c r="G92" s="53" t="s">
        <v>62</v>
      </c>
      <c r="H92" s="53" t="s">
        <v>62</v>
      </c>
      <c r="I92" s="53" t="s">
        <v>62</v>
      </c>
      <c r="J92" s="53" t="s">
        <v>62</v>
      </c>
      <c r="K92" s="53" t="s">
        <v>62</v>
      </c>
      <c r="L92" s="53" t="s">
        <v>62</v>
      </c>
      <c r="M92" s="53" t="s">
        <v>62</v>
      </c>
      <c r="N92" s="51"/>
      <c r="O92" s="51" t="s">
        <v>204</v>
      </c>
    </row>
    <row r="93" spans="1:15" s="16" customFormat="1" ht="19.5">
      <c r="A93" s="52"/>
      <c r="B93" s="52" t="s">
        <v>205</v>
      </c>
      <c r="C93" s="51"/>
      <c r="D93" s="54"/>
      <c r="E93" s="53">
        <f>662324.77+24653304.85</f>
        <v>25315629.620000001</v>
      </c>
      <c r="F93" s="53">
        <v>694630.8</v>
      </c>
      <c r="G93" s="53">
        <v>499451.58</v>
      </c>
      <c r="H93" s="53" t="s">
        <v>62</v>
      </c>
      <c r="I93" s="53">
        <v>325381.36</v>
      </c>
      <c r="J93" s="53">
        <f>25364425+24937762</f>
        <v>50302187</v>
      </c>
      <c r="K93" s="53">
        <f>8094096+7040231.33</f>
        <v>15134327.33</v>
      </c>
      <c r="L93" s="53">
        <v>17186150</v>
      </c>
      <c r="M93" s="53">
        <v>1724740</v>
      </c>
      <c r="N93" s="51"/>
      <c r="O93" s="51" t="s">
        <v>206</v>
      </c>
    </row>
    <row r="94" spans="1:15" s="30" customFormat="1" ht="19.5">
      <c r="A94" s="47" t="s">
        <v>207</v>
      </c>
      <c r="B94" s="47"/>
      <c r="C94" s="4"/>
      <c r="D94" s="55"/>
      <c r="E94" s="50">
        <f t="shared" ref="E94:M94" si="12">SUM(E95:E107)</f>
        <v>172501861.23000002</v>
      </c>
      <c r="F94" s="50">
        <f t="shared" si="12"/>
        <v>786155.6100000001</v>
      </c>
      <c r="G94" s="50">
        <f t="shared" si="12"/>
        <v>2022898.15</v>
      </c>
      <c r="H94" s="50">
        <f t="shared" si="12"/>
        <v>2406551.0099999998</v>
      </c>
      <c r="I94" s="50">
        <f t="shared" si="12"/>
        <v>1856531.58</v>
      </c>
      <c r="J94" s="50">
        <f t="shared" si="12"/>
        <v>217428844.80000001</v>
      </c>
      <c r="K94" s="50">
        <f t="shared" si="12"/>
        <v>146587170.06</v>
      </c>
      <c r="L94" s="50">
        <f t="shared" si="12"/>
        <v>38858642.689999998</v>
      </c>
      <c r="M94" s="50">
        <f t="shared" si="12"/>
        <v>25178948.280000001</v>
      </c>
      <c r="N94" s="4"/>
      <c r="O94" s="4" t="s">
        <v>208</v>
      </c>
    </row>
    <row r="95" spans="1:15" s="16" customFormat="1" ht="19.5">
      <c r="A95" s="52"/>
      <c r="B95" s="52" t="s">
        <v>209</v>
      </c>
      <c r="C95" s="51"/>
      <c r="D95" s="54"/>
      <c r="E95" s="53">
        <f>108675.99+12825003.83</f>
        <v>12933679.82</v>
      </c>
      <c r="F95" s="53">
        <v>439052</v>
      </c>
      <c r="G95" s="53">
        <v>117471.66</v>
      </c>
      <c r="H95" s="53">
        <v>498092</v>
      </c>
      <c r="I95" s="53">
        <v>183900</v>
      </c>
      <c r="J95" s="53">
        <f>6700023+8800435</f>
        <v>15500458</v>
      </c>
      <c r="K95" s="53">
        <f>6359171+4724443.68</f>
        <v>11083614.68</v>
      </c>
      <c r="L95" s="53">
        <v>1254040</v>
      </c>
      <c r="M95" s="53">
        <v>1876765</v>
      </c>
      <c r="N95" s="51"/>
      <c r="O95" s="51" t="s">
        <v>210</v>
      </c>
    </row>
    <row r="96" spans="1:15" s="16" customFormat="1" ht="19.5">
      <c r="A96" s="52"/>
      <c r="B96" s="52" t="s">
        <v>211</v>
      </c>
      <c r="C96" s="51"/>
      <c r="D96" s="54"/>
      <c r="E96" s="53">
        <f>110942.53+13578152.68</f>
        <v>13689095.209999999</v>
      </c>
      <c r="F96" s="53">
        <v>15522.4</v>
      </c>
      <c r="G96" s="53">
        <v>132357.01999999999</v>
      </c>
      <c r="H96" s="53" t="s">
        <v>62</v>
      </c>
      <c r="I96" s="53">
        <v>191430</v>
      </c>
      <c r="J96" s="53">
        <f>8315841+17543250</f>
        <v>25859091</v>
      </c>
      <c r="K96" s="53">
        <f>8230515+5722437.94</f>
        <v>13952952.940000001</v>
      </c>
      <c r="L96" s="53">
        <v>8720354</v>
      </c>
      <c r="M96" s="53">
        <v>14126629.699999999</v>
      </c>
      <c r="N96" s="51"/>
      <c r="O96" s="51" t="s">
        <v>212</v>
      </c>
    </row>
    <row r="97" spans="1:15" s="16" customFormat="1" ht="19.5">
      <c r="A97" s="52"/>
      <c r="B97" s="52" t="s">
        <v>213</v>
      </c>
      <c r="C97" s="51"/>
      <c r="D97" s="54"/>
      <c r="E97" s="53">
        <f>138045.96+20506755.21</f>
        <v>20644801.170000002</v>
      </c>
      <c r="F97" s="53">
        <v>59308.76</v>
      </c>
      <c r="G97" s="53">
        <v>364606.6</v>
      </c>
      <c r="H97" s="53">
        <v>717766</v>
      </c>
      <c r="I97" s="53">
        <v>212720</v>
      </c>
      <c r="J97" s="53">
        <f>16458324+20823747</f>
        <v>37282071</v>
      </c>
      <c r="K97" s="53">
        <f>11715677+11670494.98</f>
        <v>23386171.98</v>
      </c>
      <c r="L97" s="53">
        <v>5582317.5</v>
      </c>
      <c r="M97" s="53">
        <v>1837992</v>
      </c>
      <c r="N97" s="51"/>
      <c r="O97" s="51" t="s">
        <v>214</v>
      </c>
    </row>
    <row r="98" spans="1:15" s="16" customFormat="1" ht="19.5">
      <c r="A98" s="52"/>
      <c r="B98" s="52" t="s">
        <v>215</v>
      </c>
      <c r="C98" s="51"/>
      <c r="D98" s="54"/>
      <c r="E98" s="53">
        <f>96607.06+12537117.31</f>
        <v>12633724.370000001</v>
      </c>
      <c r="F98" s="53">
        <v>946.2</v>
      </c>
      <c r="G98" s="53">
        <v>129216.13</v>
      </c>
      <c r="H98" s="53" t="s">
        <v>62</v>
      </c>
      <c r="I98" s="53">
        <v>433039</v>
      </c>
      <c r="J98" s="53">
        <f>5678915+8125100</f>
        <v>13804015</v>
      </c>
      <c r="K98" s="53">
        <f>5155550.31+3484159.79</f>
        <v>8639710.0999999996</v>
      </c>
      <c r="L98" s="53">
        <v>1876820</v>
      </c>
      <c r="M98" s="53">
        <v>335568.1</v>
      </c>
      <c r="N98" s="51"/>
      <c r="O98" s="51" t="s">
        <v>216</v>
      </c>
    </row>
    <row r="99" spans="1:15" s="16" customFormat="1" ht="19.5">
      <c r="A99" s="52"/>
      <c r="B99" s="52" t="s">
        <v>217</v>
      </c>
      <c r="C99" s="51"/>
      <c r="D99" s="54"/>
      <c r="E99" s="53">
        <f>68360.99+11893701.69</f>
        <v>11962062.68</v>
      </c>
      <c r="F99" s="53">
        <v>14728</v>
      </c>
      <c r="G99" s="53">
        <v>122734.15</v>
      </c>
      <c r="H99" s="53" t="s">
        <v>62</v>
      </c>
      <c r="I99" s="53">
        <v>73171</v>
      </c>
      <c r="J99" s="53">
        <f>5120856+6772290</f>
        <v>11893146</v>
      </c>
      <c r="K99" s="53">
        <f>6022205.3+3011981.5</f>
        <v>9034186.8000000007</v>
      </c>
      <c r="L99" s="53">
        <v>1186715</v>
      </c>
      <c r="M99" s="53">
        <v>1103876.6200000001</v>
      </c>
      <c r="N99" s="51"/>
      <c r="O99" s="51" t="s">
        <v>218</v>
      </c>
    </row>
    <row r="100" spans="1:15" s="16" customFormat="1" ht="19.5">
      <c r="A100" s="52"/>
      <c r="B100" s="52" t="s">
        <v>219</v>
      </c>
      <c r="C100" s="51"/>
      <c r="D100" s="54"/>
      <c r="E100" s="53">
        <f>41859.38+11771534.45</f>
        <v>11813393.83</v>
      </c>
      <c r="F100" s="53">
        <v>3994.8</v>
      </c>
      <c r="G100" s="53">
        <v>128081</v>
      </c>
      <c r="H100" s="53" t="s">
        <v>62</v>
      </c>
      <c r="I100" s="53">
        <v>7230</v>
      </c>
      <c r="J100" s="53">
        <f>4032630+5549800</f>
        <v>9582430</v>
      </c>
      <c r="K100" s="53">
        <f>5776858+3372576.29</f>
        <v>9149434.2899999991</v>
      </c>
      <c r="L100" s="53">
        <v>2954700</v>
      </c>
      <c r="M100" s="53">
        <v>349977</v>
      </c>
      <c r="N100" s="51"/>
      <c r="O100" s="51" t="s">
        <v>220</v>
      </c>
    </row>
    <row r="101" spans="1:15" s="16" customFormat="1" ht="19.5">
      <c r="A101" s="52"/>
      <c r="B101" s="52" t="s">
        <v>221</v>
      </c>
      <c r="C101" s="51"/>
      <c r="D101" s="54"/>
      <c r="E101" s="53">
        <f>44366.4+12422489.25</f>
        <v>12466855.65</v>
      </c>
      <c r="F101" s="53">
        <v>1370</v>
      </c>
      <c r="G101" s="53">
        <v>170446.61</v>
      </c>
      <c r="H101" s="53" t="s">
        <v>62</v>
      </c>
      <c r="I101" s="53" t="s">
        <v>222</v>
      </c>
      <c r="J101" s="53">
        <f>4246784+11025427</f>
        <v>15272211</v>
      </c>
      <c r="K101" s="53">
        <f>5320894+3815196.33</f>
        <v>9136090.3300000001</v>
      </c>
      <c r="L101" s="53">
        <v>1753788</v>
      </c>
      <c r="M101" s="53">
        <v>719072</v>
      </c>
      <c r="N101" s="51"/>
      <c r="O101" s="51" t="s">
        <v>223</v>
      </c>
    </row>
    <row r="102" spans="1:15" s="16" customFormat="1" ht="19.5">
      <c r="A102" s="52"/>
      <c r="B102" s="52" t="s">
        <v>224</v>
      </c>
      <c r="C102" s="51"/>
      <c r="D102" s="54"/>
      <c r="E102" s="53">
        <f>208802.23+12751555.94</f>
        <v>12960358.17</v>
      </c>
      <c r="F102" s="53">
        <v>36272.25</v>
      </c>
      <c r="G102" s="53">
        <v>130073.77</v>
      </c>
      <c r="H102" s="53" t="s">
        <v>62</v>
      </c>
      <c r="I102" s="53">
        <v>105390</v>
      </c>
      <c r="J102" s="53">
        <f>6231188+8503143.18</f>
        <v>14734331.18</v>
      </c>
      <c r="K102" s="53">
        <f>6175525.14+6099718.62</f>
        <v>12275243.76</v>
      </c>
      <c r="L102" s="53">
        <v>1493100</v>
      </c>
      <c r="M102" s="53">
        <v>688583</v>
      </c>
      <c r="N102" s="51"/>
      <c r="O102" s="51" t="s">
        <v>225</v>
      </c>
    </row>
    <row r="103" spans="1:15" s="16" customFormat="1" ht="19.5">
      <c r="A103" s="52"/>
      <c r="B103" s="52" t="s">
        <v>226</v>
      </c>
      <c r="C103" s="51"/>
      <c r="D103" s="54"/>
      <c r="E103" s="53">
        <f>79417.7+15372509.29</f>
        <v>15451926.989999998</v>
      </c>
      <c r="F103" s="53">
        <v>71181</v>
      </c>
      <c r="G103" s="53">
        <v>260757.91</v>
      </c>
      <c r="H103" s="53" t="s">
        <v>62</v>
      </c>
      <c r="I103" s="53">
        <v>218650</v>
      </c>
      <c r="J103" s="53">
        <f>9083127+9579600</f>
        <v>18662727</v>
      </c>
      <c r="K103" s="53">
        <f>6072427.42+3070460.55</f>
        <v>9142887.9699999988</v>
      </c>
      <c r="L103" s="53">
        <v>4850000</v>
      </c>
      <c r="M103" s="53">
        <v>651597</v>
      </c>
      <c r="N103" s="51"/>
      <c r="O103" s="51" t="s">
        <v>227</v>
      </c>
    </row>
    <row r="104" spans="1:15" s="16" customFormat="1" ht="19.5">
      <c r="A104" s="52"/>
      <c r="B104" s="52" t="s">
        <v>228</v>
      </c>
      <c r="C104" s="51"/>
      <c r="D104" s="54"/>
      <c r="E104" s="53">
        <f>70954.72+11618887.7</f>
        <v>11689842.42</v>
      </c>
      <c r="F104" s="53">
        <v>66569</v>
      </c>
      <c r="G104" s="53">
        <v>86763.32</v>
      </c>
      <c r="H104" s="53">
        <v>565360</v>
      </c>
      <c r="I104" s="53">
        <v>28227.5</v>
      </c>
      <c r="J104" s="53">
        <v>4766830</v>
      </c>
      <c r="K104" s="53">
        <f>5372450.86+5775130.15</f>
        <v>11147581.010000002</v>
      </c>
      <c r="L104" s="53">
        <v>1992704.19</v>
      </c>
      <c r="M104" s="53">
        <v>418916</v>
      </c>
      <c r="N104" s="51"/>
      <c r="O104" s="51" t="s">
        <v>229</v>
      </c>
    </row>
    <row r="105" spans="1:15" s="16" customFormat="1" ht="19.5">
      <c r="A105" s="52"/>
      <c r="B105" s="52" t="s">
        <v>230</v>
      </c>
      <c r="C105" s="51"/>
      <c r="D105" s="54"/>
      <c r="E105" s="53">
        <f>44816.29+11885369.58</f>
        <v>11930185.869999999</v>
      </c>
      <c r="F105" s="53">
        <v>1339.2</v>
      </c>
      <c r="G105" s="53">
        <v>143374.95000000001</v>
      </c>
      <c r="H105" s="53">
        <v>340123.01</v>
      </c>
      <c r="I105" s="53">
        <v>287207.08</v>
      </c>
      <c r="J105" s="53">
        <f>9184878+21900661.84</f>
        <v>31085539.84</v>
      </c>
      <c r="K105" s="53">
        <f>6475872.59+6414003.66</f>
        <v>12889876.25</v>
      </c>
      <c r="L105" s="53">
        <v>2853727</v>
      </c>
      <c r="M105" s="53">
        <v>1961722</v>
      </c>
      <c r="N105" s="51"/>
      <c r="O105" s="51" t="s">
        <v>231</v>
      </c>
    </row>
    <row r="106" spans="1:15" s="16" customFormat="1" ht="19.5">
      <c r="A106" s="52"/>
      <c r="B106" s="52" t="s">
        <v>232</v>
      </c>
      <c r="C106" s="51"/>
      <c r="D106" s="54"/>
      <c r="E106" s="53">
        <f>116155.64+12484703.89</f>
        <v>12600859.530000001</v>
      </c>
      <c r="F106" s="53">
        <v>52117</v>
      </c>
      <c r="G106" s="53">
        <v>111487.1</v>
      </c>
      <c r="H106" s="53">
        <v>285210</v>
      </c>
      <c r="I106" s="53">
        <v>94909</v>
      </c>
      <c r="J106" s="53">
        <f>5271331+7485800</f>
        <v>12757131</v>
      </c>
      <c r="K106" s="53">
        <f>6634404.1+3498769.69</f>
        <v>10133173.789999999</v>
      </c>
      <c r="L106" s="53">
        <v>3493760</v>
      </c>
      <c r="M106" s="53">
        <v>638100.86</v>
      </c>
      <c r="N106" s="51"/>
      <c r="O106" s="51" t="s">
        <v>233</v>
      </c>
    </row>
    <row r="107" spans="1:15" s="16" customFormat="1" ht="19.5">
      <c r="A107" s="52"/>
      <c r="B107" s="52" t="s">
        <v>234</v>
      </c>
      <c r="C107" s="51"/>
      <c r="D107" s="54"/>
      <c r="E107" s="53">
        <f>43687.09+11681388.43</f>
        <v>11725075.52</v>
      </c>
      <c r="F107" s="53">
        <v>23755</v>
      </c>
      <c r="G107" s="53">
        <v>125527.93</v>
      </c>
      <c r="H107" s="53" t="s">
        <v>62</v>
      </c>
      <c r="I107" s="53">
        <v>20658</v>
      </c>
      <c r="J107" s="53">
        <f>3692239+2536624.78</f>
        <v>6228863.7799999993</v>
      </c>
      <c r="K107" s="53">
        <f>4483177.54+2133068.62</f>
        <v>6616246.1600000001</v>
      </c>
      <c r="L107" s="53">
        <v>846617</v>
      </c>
      <c r="M107" s="53">
        <v>470149</v>
      </c>
      <c r="N107" s="51"/>
      <c r="O107" s="51" t="s">
        <v>235</v>
      </c>
    </row>
    <row r="108" spans="1:15" s="30" customFormat="1" ht="19.5">
      <c r="A108" s="47" t="s">
        <v>236</v>
      </c>
      <c r="B108" s="47"/>
      <c r="C108" s="4"/>
      <c r="D108" s="55"/>
      <c r="E108" s="50">
        <f>SUM(E109:E113)</f>
        <v>107126765.33000001</v>
      </c>
      <c r="F108" s="50">
        <f t="shared" ref="F108:M108" si="13">SUM(F109:F113)</f>
        <v>613430.18999999994</v>
      </c>
      <c r="G108" s="50">
        <f t="shared" si="13"/>
        <v>1843904.59</v>
      </c>
      <c r="H108" s="50">
        <f t="shared" si="13"/>
        <v>49247</v>
      </c>
      <c r="I108" s="50">
        <f t="shared" si="13"/>
        <v>929103.4</v>
      </c>
      <c r="J108" s="50">
        <f t="shared" si="13"/>
        <v>151923450</v>
      </c>
      <c r="K108" s="50">
        <f t="shared" si="13"/>
        <v>95342679.659999996</v>
      </c>
      <c r="L108" s="50">
        <f t="shared" si="13"/>
        <v>53229266.869999997</v>
      </c>
      <c r="M108" s="50">
        <f t="shared" si="13"/>
        <v>34974251.049999997</v>
      </c>
      <c r="N108" s="4"/>
      <c r="O108" s="4" t="s">
        <v>237</v>
      </c>
    </row>
    <row r="109" spans="1:15" s="16" customFormat="1" ht="19.5">
      <c r="A109" s="52"/>
      <c r="B109" s="52" t="s">
        <v>238</v>
      </c>
      <c r="C109" s="51"/>
      <c r="D109" s="54"/>
      <c r="E109" s="53">
        <f>66997.66+16200880.56</f>
        <v>16267878.220000001</v>
      </c>
      <c r="F109" s="53">
        <v>14866.4</v>
      </c>
      <c r="G109" s="53">
        <v>237759.59</v>
      </c>
      <c r="H109" s="53">
        <v>47705</v>
      </c>
      <c r="I109" s="53">
        <v>114400</v>
      </c>
      <c r="J109" s="53">
        <f>13420388+12640086</f>
        <v>26060474</v>
      </c>
      <c r="K109" s="53">
        <f>7562339.26+7800710.97</f>
        <v>15363050.23</v>
      </c>
      <c r="L109" s="53">
        <v>3809650</v>
      </c>
      <c r="M109" s="53">
        <v>1457088</v>
      </c>
      <c r="N109" s="51"/>
      <c r="O109" s="51" t="s">
        <v>239</v>
      </c>
    </row>
    <row r="110" spans="1:15" s="16" customFormat="1" ht="19.5">
      <c r="A110" s="52"/>
      <c r="B110" s="52" t="s">
        <v>240</v>
      </c>
      <c r="C110" s="51"/>
      <c r="D110" s="54"/>
      <c r="E110" s="53">
        <f>115344.69+21704701.64</f>
        <v>21820046.330000002</v>
      </c>
      <c r="F110" s="53">
        <v>197910.8</v>
      </c>
      <c r="G110" s="53">
        <v>648982.75</v>
      </c>
      <c r="H110" s="53">
        <v>1542</v>
      </c>
      <c r="I110" s="53">
        <v>493289</v>
      </c>
      <c r="J110" s="53">
        <f>20463235+15932443</f>
        <v>36395678</v>
      </c>
      <c r="K110" s="53">
        <f>8268524+6700409.57</f>
        <v>14968933.57</v>
      </c>
      <c r="L110" s="53">
        <v>9211444.5399999991</v>
      </c>
      <c r="M110" s="53">
        <v>15312187.960000001</v>
      </c>
      <c r="N110" s="51"/>
      <c r="O110" s="51" t="s">
        <v>241</v>
      </c>
    </row>
    <row r="111" spans="1:15" s="16" customFormat="1" ht="19.5">
      <c r="A111" s="52"/>
      <c r="B111" s="52" t="s">
        <v>242</v>
      </c>
      <c r="C111" s="51"/>
      <c r="D111" s="54"/>
      <c r="E111" s="53">
        <f>463892.19+28420283.39</f>
        <v>28884175.580000002</v>
      </c>
      <c r="F111" s="53">
        <v>198591.5</v>
      </c>
      <c r="G111" s="53">
        <v>226133.12</v>
      </c>
      <c r="H111" s="53" t="s">
        <v>62</v>
      </c>
      <c r="I111" s="53">
        <v>190361</v>
      </c>
      <c r="J111" s="53">
        <f>22627518+20638792</f>
        <v>43266310</v>
      </c>
      <c r="K111" s="53">
        <f>12235279+11333255.03</f>
        <v>23568534.030000001</v>
      </c>
      <c r="L111" s="53">
        <v>23073047</v>
      </c>
      <c r="M111" s="53">
        <v>2458427.09</v>
      </c>
      <c r="N111" s="51"/>
      <c r="O111" s="51" t="s">
        <v>243</v>
      </c>
    </row>
    <row r="112" spans="1:15" s="16" customFormat="1" ht="19.5">
      <c r="A112" s="52"/>
      <c r="B112" s="52" t="s">
        <v>244</v>
      </c>
      <c r="C112" s="51"/>
      <c r="D112" s="54"/>
      <c r="E112" s="53">
        <f>283528.48+20317370.62</f>
        <v>20600899.100000001</v>
      </c>
      <c r="F112" s="53">
        <v>155383.49</v>
      </c>
      <c r="G112" s="53">
        <v>387813.05</v>
      </c>
      <c r="H112" s="53" t="s">
        <v>62</v>
      </c>
      <c r="I112" s="53">
        <v>57000</v>
      </c>
      <c r="J112" s="53">
        <f>17727562+14247850</f>
        <v>31975412</v>
      </c>
      <c r="K112" s="53">
        <f>10395162+8535873.21</f>
        <v>18931035.210000001</v>
      </c>
      <c r="L112" s="53">
        <v>11213850</v>
      </c>
      <c r="M112" s="53">
        <v>14387183</v>
      </c>
      <c r="N112" s="51"/>
      <c r="O112" s="51" t="s">
        <v>245</v>
      </c>
    </row>
    <row r="113" spans="1:15" s="16" customFormat="1" ht="19.5">
      <c r="A113" s="52"/>
      <c r="B113" s="52" t="s">
        <v>246</v>
      </c>
      <c r="C113" s="51"/>
      <c r="D113" s="54"/>
      <c r="E113" s="53">
        <f>374427.15+19179338.95</f>
        <v>19553766.099999998</v>
      </c>
      <c r="F113" s="53">
        <v>46678</v>
      </c>
      <c r="G113" s="53">
        <v>343216.08</v>
      </c>
      <c r="H113" s="53" t="s">
        <v>62</v>
      </c>
      <c r="I113" s="53">
        <v>74053.399999999994</v>
      </c>
      <c r="J113" s="53">
        <v>14225576</v>
      </c>
      <c r="K113" s="53">
        <f>10543838+11967288.62</f>
        <v>22511126.619999997</v>
      </c>
      <c r="L113" s="53">
        <v>5921275.3300000001</v>
      </c>
      <c r="M113" s="53">
        <v>1359365</v>
      </c>
      <c r="N113" s="51"/>
      <c r="O113" s="51" t="s">
        <v>247</v>
      </c>
    </row>
    <row r="114" spans="1:15" s="30" customFormat="1" ht="19.5">
      <c r="A114" s="47" t="s">
        <v>248</v>
      </c>
      <c r="B114" s="47"/>
      <c r="C114" s="4"/>
      <c r="D114" s="55"/>
      <c r="E114" s="50">
        <f>SUM(E115:E122)</f>
        <v>139448439.50999999</v>
      </c>
      <c r="F114" s="50">
        <f t="shared" ref="F114:M114" si="14">SUM(F115:F122)</f>
        <v>1011206.31</v>
      </c>
      <c r="G114" s="50">
        <f t="shared" si="14"/>
        <v>1994803.64</v>
      </c>
      <c r="H114" s="50">
        <f t="shared" si="14"/>
        <v>0</v>
      </c>
      <c r="I114" s="50">
        <f t="shared" si="14"/>
        <v>1229477.69</v>
      </c>
      <c r="J114" s="50">
        <f t="shared" si="14"/>
        <v>197163171</v>
      </c>
      <c r="K114" s="50">
        <f t="shared" si="14"/>
        <v>116332378.59999999</v>
      </c>
      <c r="L114" s="50">
        <f t="shared" si="14"/>
        <v>54522467.340000004</v>
      </c>
      <c r="M114" s="50">
        <f t="shared" si="14"/>
        <v>25895090.52</v>
      </c>
      <c r="N114" s="4"/>
      <c r="O114" s="4" t="s">
        <v>249</v>
      </c>
    </row>
    <row r="115" spans="1:15" s="16" customFormat="1" ht="19.5">
      <c r="A115" s="52"/>
      <c r="B115" s="52" t="s">
        <v>250</v>
      </c>
      <c r="C115" s="51"/>
      <c r="D115" s="54"/>
      <c r="E115" s="53">
        <f>104487.29+12640165.44</f>
        <v>12744652.729999999</v>
      </c>
      <c r="F115" s="53">
        <v>64957</v>
      </c>
      <c r="G115" s="53">
        <v>162219.29</v>
      </c>
      <c r="H115" s="53" t="s">
        <v>62</v>
      </c>
      <c r="I115" s="53">
        <v>153500</v>
      </c>
      <c r="J115" s="53">
        <f>8655268+8611434</f>
        <v>17266702</v>
      </c>
      <c r="K115" s="53">
        <f>5617296.31+4389506.27</f>
        <v>10006802.579999998</v>
      </c>
      <c r="L115" s="53">
        <v>4799399.5</v>
      </c>
      <c r="M115" s="53">
        <v>1559727.29</v>
      </c>
      <c r="N115" s="51"/>
      <c r="O115" s="51" t="s">
        <v>251</v>
      </c>
    </row>
    <row r="116" spans="1:15" s="16" customFormat="1" ht="19.5">
      <c r="A116" s="52"/>
      <c r="B116" s="52" t="s">
        <v>252</v>
      </c>
      <c r="C116" s="51"/>
      <c r="D116" s="54"/>
      <c r="E116" s="53">
        <f>112599.69+14010022.5</f>
        <v>14122622.189999999</v>
      </c>
      <c r="F116" s="53">
        <v>3532.4</v>
      </c>
      <c r="G116" s="53">
        <v>170882.1</v>
      </c>
      <c r="H116" s="53" t="s">
        <v>62</v>
      </c>
      <c r="I116" s="53">
        <v>229019</v>
      </c>
      <c r="J116" s="53">
        <f>8558011+14746960</f>
        <v>23304971</v>
      </c>
      <c r="K116" s="53">
        <f>6725620+5183493.15</f>
        <v>11909113.15</v>
      </c>
      <c r="L116" s="53">
        <v>3519571.7</v>
      </c>
      <c r="M116" s="53">
        <v>487044</v>
      </c>
      <c r="N116" s="51"/>
      <c r="O116" s="51" t="s">
        <v>253</v>
      </c>
    </row>
    <row r="117" spans="1:15" s="16" customFormat="1" ht="19.5">
      <c r="A117" s="52"/>
      <c r="B117" s="52" t="s">
        <v>254</v>
      </c>
      <c r="C117" s="51"/>
      <c r="D117" s="54"/>
      <c r="E117" s="53">
        <f>694510.33+20626925.71</f>
        <v>21321436.039999999</v>
      </c>
      <c r="F117" s="53">
        <v>18909.8</v>
      </c>
      <c r="G117" s="53">
        <v>389562.31</v>
      </c>
      <c r="H117" s="53" t="s">
        <v>62</v>
      </c>
      <c r="I117" s="53">
        <v>200833.55</v>
      </c>
      <c r="J117" s="53">
        <f>16621080+21966455</f>
        <v>38587535</v>
      </c>
      <c r="K117" s="53">
        <f>10201167+9230363.81</f>
        <v>19431530.810000002</v>
      </c>
      <c r="L117" s="53">
        <v>7652018.6399999997</v>
      </c>
      <c r="M117" s="53">
        <v>1182109</v>
      </c>
      <c r="N117" s="51"/>
      <c r="O117" s="51" t="s">
        <v>255</v>
      </c>
    </row>
    <row r="118" spans="1:15" s="16" customFormat="1" ht="19.5">
      <c r="A118" s="52"/>
      <c r="B118" s="52" t="s">
        <v>256</v>
      </c>
      <c r="C118" s="51"/>
      <c r="D118" s="54"/>
      <c r="E118" s="53">
        <f>122892.77+15272630.83</f>
        <v>15395523.6</v>
      </c>
      <c r="F118" s="53">
        <v>56577.41</v>
      </c>
      <c r="G118" s="53">
        <v>170425.60000000001</v>
      </c>
      <c r="H118" s="53" t="s">
        <v>62</v>
      </c>
      <c r="I118" s="53">
        <v>56250</v>
      </c>
      <c r="J118" s="53">
        <f>10915059+15100837</f>
        <v>26015896</v>
      </c>
      <c r="K118" s="53">
        <f>9056120.87+8038515.23</f>
        <v>17094636.100000001</v>
      </c>
      <c r="L118" s="53">
        <v>4741923</v>
      </c>
      <c r="M118" s="53">
        <v>1751771</v>
      </c>
      <c r="N118" s="51"/>
      <c r="O118" s="51" t="s">
        <v>257</v>
      </c>
    </row>
    <row r="119" spans="1:15" s="16" customFormat="1" ht="19.5">
      <c r="A119" s="52"/>
      <c r="B119" s="52" t="s">
        <v>258</v>
      </c>
      <c r="C119" s="51"/>
      <c r="D119" s="54"/>
      <c r="E119" s="53">
        <f>189921.2+15619281.01</f>
        <v>15809202.209999999</v>
      </c>
      <c r="F119" s="53">
        <v>305761.84000000003</v>
      </c>
      <c r="G119" s="53">
        <v>239648.82</v>
      </c>
      <c r="H119" s="53" t="s">
        <v>62</v>
      </c>
      <c r="I119" s="53">
        <v>105091.14</v>
      </c>
      <c r="J119" s="53">
        <v>10382865</v>
      </c>
      <c r="K119" s="53">
        <f>7531884.97+6015509.83</f>
        <v>13547394.800000001</v>
      </c>
      <c r="L119" s="53">
        <v>9237386.5</v>
      </c>
      <c r="M119" s="53">
        <v>1110293</v>
      </c>
      <c r="N119" s="51"/>
      <c r="O119" s="51" t="s">
        <v>259</v>
      </c>
    </row>
    <row r="120" spans="1:15" s="16" customFormat="1" ht="19.5">
      <c r="A120" s="52"/>
      <c r="B120" s="52" t="s">
        <v>260</v>
      </c>
      <c r="C120" s="51"/>
      <c r="D120" s="54"/>
      <c r="E120" s="53">
        <f>1087376.24+18618731.94</f>
        <v>19706108.18</v>
      </c>
      <c r="F120" s="53">
        <v>255687.46</v>
      </c>
      <c r="G120" s="53">
        <v>243402.11</v>
      </c>
      <c r="H120" s="53" t="s">
        <v>62</v>
      </c>
      <c r="I120" s="53">
        <v>101650</v>
      </c>
      <c r="J120" s="53">
        <f>7422375+12133700</f>
        <v>19556075</v>
      </c>
      <c r="K120" s="53">
        <f>8167707+3472447.33</f>
        <v>11640154.33</v>
      </c>
      <c r="L120" s="53">
        <v>6823400</v>
      </c>
      <c r="M120" s="53">
        <v>746300.23</v>
      </c>
      <c r="N120" s="51"/>
      <c r="O120" s="51" t="s">
        <v>261</v>
      </c>
    </row>
    <row r="121" spans="1:15" s="16" customFormat="1" ht="19.5">
      <c r="A121" s="52"/>
      <c r="B121" s="52" t="s">
        <v>262</v>
      </c>
      <c r="C121" s="51"/>
      <c r="D121" s="54"/>
      <c r="E121" s="53">
        <f>253675.05+17764893.23</f>
        <v>18018568.280000001</v>
      </c>
      <c r="F121" s="53">
        <v>26188.6</v>
      </c>
      <c r="G121" s="53">
        <v>396309.24</v>
      </c>
      <c r="H121" s="53" t="s">
        <v>62</v>
      </c>
      <c r="I121" s="53">
        <v>277400</v>
      </c>
      <c r="J121" s="53">
        <v>24436885</v>
      </c>
      <c r="K121" s="53">
        <f>8120839.69+5598742.96</f>
        <v>13719582.65</v>
      </c>
      <c r="L121" s="53">
        <v>8662382</v>
      </c>
      <c r="M121" s="53">
        <v>676367</v>
      </c>
      <c r="N121" s="51"/>
      <c r="O121" s="51" t="s">
        <v>263</v>
      </c>
    </row>
    <row r="122" spans="1:15" s="16" customFormat="1" ht="19.5">
      <c r="A122" s="52"/>
      <c r="B122" s="52" t="s">
        <v>264</v>
      </c>
      <c r="C122" s="51"/>
      <c r="D122" s="54"/>
      <c r="E122" s="53">
        <f>390823.78+21939502.5</f>
        <v>22330326.280000001</v>
      </c>
      <c r="F122" s="53">
        <v>279591.8</v>
      </c>
      <c r="G122" s="53">
        <v>222354.17</v>
      </c>
      <c r="H122" s="53" t="s">
        <v>62</v>
      </c>
      <c r="I122" s="53">
        <v>105734</v>
      </c>
      <c r="J122" s="53">
        <f>19729952+17882290</f>
        <v>37612242</v>
      </c>
      <c r="K122" s="53">
        <f>10614816+8368348.18</f>
        <v>18983164.18</v>
      </c>
      <c r="L122" s="53">
        <v>9086386</v>
      </c>
      <c r="M122" s="53">
        <v>18381479</v>
      </c>
      <c r="N122" s="51"/>
      <c r="O122" s="51" t="s">
        <v>265</v>
      </c>
    </row>
    <row r="123" spans="1:15" s="30" customFormat="1" ht="19.5">
      <c r="A123" s="47" t="s">
        <v>266</v>
      </c>
      <c r="B123" s="47"/>
      <c r="C123" s="4"/>
      <c r="D123" s="55"/>
      <c r="E123" s="50">
        <f t="shared" ref="E123:M123" si="15">SUM(E124:E124)</f>
        <v>23198693.309999999</v>
      </c>
      <c r="F123" s="50">
        <f t="shared" si="15"/>
        <v>471615</v>
      </c>
      <c r="G123" s="50">
        <f t="shared" si="15"/>
        <v>489437.58</v>
      </c>
      <c r="H123" s="50">
        <f t="shared" si="15"/>
        <v>3421980</v>
      </c>
      <c r="I123" s="50">
        <f t="shared" si="15"/>
        <v>62260.9</v>
      </c>
      <c r="J123" s="50">
        <f t="shared" si="15"/>
        <v>33246186</v>
      </c>
      <c r="K123" s="50">
        <f t="shared" si="15"/>
        <v>20221941.140000001</v>
      </c>
      <c r="L123" s="50">
        <f t="shared" si="15"/>
        <v>11488171.91</v>
      </c>
      <c r="M123" s="50">
        <f t="shared" si="15"/>
        <v>1498241.5</v>
      </c>
      <c r="N123" s="4"/>
      <c r="O123" s="4" t="s">
        <v>267</v>
      </c>
    </row>
    <row r="124" spans="1:15" s="16" customFormat="1" ht="19.5">
      <c r="A124" s="52"/>
      <c r="B124" s="52" t="s">
        <v>268</v>
      </c>
      <c r="C124" s="51"/>
      <c r="D124" s="54"/>
      <c r="E124" s="53">
        <f>2991115.11+20207578.2</f>
        <v>23198693.309999999</v>
      </c>
      <c r="F124" s="53">
        <v>471615</v>
      </c>
      <c r="G124" s="53">
        <v>489437.58</v>
      </c>
      <c r="H124" s="53">
        <v>3421980</v>
      </c>
      <c r="I124" s="53">
        <v>62260.9</v>
      </c>
      <c r="J124" s="53">
        <f>13581376+19664810</f>
        <v>33246186</v>
      </c>
      <c r="K124" s="53">
        <f>8641814.23+11580126.91</f>
        <v>20221941.140000001</v>
      </c>
      <c r="L124" s="53">
        <v>11488171.91</v>
      </c>
      <c r="M124" s="53">
        <v>1498241.5</v>
      </c>
      <c r="N124" s="51"/>
      <c r="O124" s="51" t="s">
        <v>269</v>
      </c>
    </row>
    <row r="125" spans="1:15" s="30" customFormat="1" ht="19.5">
      <c r="A125" s="47" t="s">
        <v>270</v>
      </c>
      <c r="B125" s="47"/>
      <c r="C125" s="4"/>
      <c r="D125" s="55"/>
      <c r="E125" s="50">
        <f>SUM(E126:E134)</f>
        <v>114020493.03</v>
      </c>
      <c r="F125" s="50">
        <f t="shared" ref="F125:M125" si="16">SUM(F126:F134)</f>
        <v>678176.37000000011</v>
      </c>
      <c r="G125" s="50">
        <f t="shared" si="16"/>
        <v>1945983.43</v>
      </c>
      <c r="H125" s="50">
        <f t="shared" si="16"/>
        <v>1557267</v>
      </c>
      <c r="I125" s="50">
        <f t="shared" si="16"/>
        <v>1197620</v>
      </c>
      <c r="J125" s="50">
        <f t="shared" si="16"/>
        <v>136515587.86000001</v>
      </c>
      <c r="K125" s="50">
        <f t="shared" si="16"/>
        <v>99209391.469999999</v>
      </c>
      <c r="L125" s="50">
        <f t="shared" si="16"/>
        <v>27296076.850000001</v>
      </c>
      <c r="M125" s="50">
        <f t="shared" si="16"/>
        <v>19892183.280000001</v>
      </c>
      <c r="N125" s="4"/>
      <c r="O125" s="4" t="s">
        <v>271</v>
      </c>
    </row>
    <row r="126" spans="1:15" s="16" customFormat="1" ht="19.5">
      <c r="A126" s="52"/>
      <c r="B126" s="52" t="s">
        <v>272</v>
      </c>
      <c r="C126" s="51"/>
      <c r="D126" s="54"/>
      <c r="E126" s="53">
        <f>138345.42+14448909.38</f>
        <v>14587254.800000001</v>
      </c>
      <c r="F126" s="53">
        <v>23308.55</v>
      </c>
      <c r="G126" s="53">
        <v>148622.95000000001</v>
      </c>
      <c r="H126" s="53">
        <v>65961</v>
      </c>
      <c r="I126" s="53">
        <v>219030</v>
      </c>
      <c r="J126" s="53">
        <f>9662451+13088295.22</f>
        <v>22750746.219999999</v>
      </c>
      <c r="K126" s="53">
        <f>6313160.51+5914372.21</f>
        <v>12227532.719999999</v>
      </c>
      <c r="L126" s="53">
        <v>4425783</v>
      </c>
      <c r="M126" s="53">
        <v>1623773</v>
      </c>
      <c r="N126" s="51"/>
      <c r="O126" s="51" t="s">
        <v>273</v>
      </c>
    </row>
    <row r="127" spans="1:15" s="16" customFormat="1" ht="19.5">
      <c r="A127" s="52"/>
      <c r="B127" s="52" t="s">
        <v>274</v>
      </c>
      <c r="C127" s="51"/>
      <c r="D127" s="54"/>
      <c r="E127" s="53">
        <f>264734.62+12456995.72</f>
        <v>12721730.34</v>
      </c>
      <c r="F127" s="53">
        <v>903.5</v>
      </c>
      <c r="G127" s="53">
        <v>904814.47</v>
      </c>
      <c r="H127" s="53" t="s">
        <v>62</v>
      </c>
      <c r="I127" s="53">
        <v>111570</v>
      </c>
      <c r="J127" s="53">
        <f>8108766+10893675</f>
        <v>19002441</v>
      </c>
      <c r="K127" s="53">
        <f>5885590.25+5297348.81</f>
        <v>11182939.059999999</v>
      </c>
      <c r="L127" s="53">
        <v>2768430</v>
      </c>
      <c r="M127" s="53">
        <v>1224426</v>
      </c>
      <c r="N127" s="51"/>
      <c r="O127" s="51" t="s">
        <v>275</v>
      </c>
    </row>
    <row r="128" spans="1:15" s="16" customFormat="1" ht="19.5">
      <c r="A128" s="52"/>
      <c r="B128" s="52" t="s">
        <v>276</v>
      </c>
      <c r="C128" s="51"/>
      <c r="D128" s="54"/>
      <c r="E128" s="53">
        <f>244375.13+16035787.94</f>
        <v>16280163.07</v>
      </c>
      <c r="F128" s="53">
        <v>34212.75</v>
      </c>
      <c r="G128" s="53">
        <v>182288.07</v>
      </c>
      <c r="H128" s="53" t="s">
        <v>62</v>
      </c>
      <c r="I128" s="53">
        <v>164550</v>
      </c>
      <c r="J128" s="53">
        <f>11210245+12509450</f>
        <v>23719695</v>
      </c>
      <c r="K128" s="53">
        <f>7483033+5540209.31</f>
        <v>13023242.309999999</v>
      </c>
      <c r="L128" s="53">
        <v>4908992.54</v>
      </c>
      <c r="M128" s="53">
        <v>1314790</v>
      </c>
      <c r="N128" s="51"/>
      <c r="O128" s="51" t="s">
        <v>277</v>
      </c>
    </row>
    <row r="129" spans="1:15" s="16" customFormat="1" ht="19.5">
      <c r="A129" s="52"/>
      <c r="B129" s="52" t="s">
        <v>278</v>
      </c>
      <c r="C129" s="51"/>
      <c r="D129" s="54"/>
      <c r="E129" s="53">
        <f>55322.17+12336793.62</f>
        <v>12392115.789999999</v>
      </c>
      <c r="F129" s="53">
        <v>78994.5</v>
      </c>
      <c r="G129" s="53">
        <v>119980.27</v>
      </c>
      <c r="H129" s="53">
        <v>341295</v>
      </c>
      <c r="I129" s="53">
        <v>177201</v>
      </c>
      <c r="J129" s="53">
        <f>7630705+5501800</f>
        <v>13132505</v>
      </c>
      <c r="K129" s="53">
        <f>7041288.25+6020084.29</f>
        <v>13061372.539999999</v>
      </c>
      <c r="L129" s="53">
        <v>363200</v>
      </c>
      <c r="M129" s="53">
        <v>613425</v>
      </c>
      <c r="N129" s="51"/>
      <c r="O129" s="51" t="s">
        <v>279</v>
      </c>
    </row>
    <row r="130" spans="1:15" s="16" customFormat="1" ht="19.5">
      <c r="A130" s="52"/>
      <c r="B130" s="52" t="s">
        <v>280</v>
      </c>
      <c r="C130" s="51"/>
      <c r="D130" s="54"/>
      <c r="E130" s="53">
        <f>53339.02+11607987.83</f>
        <v>11661326.85</v>
      </c>
      <c r="F130" s="53">
        <v>32684</v>
      </c>
      <c r="G130" s="53">
        <v>82332.45</v>
      </c>
      <c r="H130" s="53">
        <v>282797</v>
      </c>
      <c r="I130" s="53">
        <v>132605</v>
      </c>
      <c r="J130" s="53">
        <f>4012578+3697308.64</f>
        <v>7709886.6400000006</v>
      </c>
      <c r="K130" s="53">
        <f>6158016.13+5160956.38</f>
        <v>11318972.51</v>
      </c>
      <c r="L130" s="53">
        <v>2979660</v>
      </c>
      <c r="M130" s="53">
        <v>1221977</v>
      </c>
      <c r="N130" s="51"/>
      <c r="O130" s="51" t="s">
        <v>281</v>
      </c>
    </row>
    <row r="131" spans="1:15" s="16" customFormat="1" ht="19.5">
      <c r="A131" s="52"/>
      <c r="B131" s="52" t="s">
        <v>282</v>
      </c>
      <c r="C131" s="51"/>
      <c r="D131" s="54"/>
      <c r="E131" s="53" t="s">
        <v>62</v>
      </c>
      <c r="F131" s="53" t="s">
        <v>62</v>
      </c>
      <c r="G131" s="53" t="s">
        <v>62</v>
      </c>
      <c r="H131" s="53" t="s">
        <v>62</v>
      </c>
      <c r="I131" s="53" t="s">
        <v>62</v>
      </c>
      <c r="J131" s="53" t="s">
        <v>62</v>
      </c>
      <c r="K131" s="53" t="s">
        <v>62</v>
      </c>
      <c r="L131" s="53" t="s">
        <v>62</v>
      </c>
      <c r="M131" s="53" t="s">
        <v>62</v>
      </c>
      <c r="N131" s="51"/>
      <c r="O131" s="51" t="s">
        <v>283</v>
      </c>
    </row>
    <row r="132" spans="1:15" s="16" customFormat="1" ht="19.5">
      <c r="A132" s="52"/>
      <c r="B132" s="52" t="s">
        <v>284</v>
      </c>
      <c r="C132" s="51"/>
      <c r="D132" s="54"/>
      <c r="E132" s="53">
        <f>59907.18+13394663.13</f>
        <v>13454570.310000001</v>
      </c>
      <c r="F132" s="53">
        <v>103577.27</v>
      </c>
      <c r="G132" s="53">
        <v>52757.8</v>
      </c>
      <c r="H132" s="53">
        <v>205238</v>
      </c>
      <c r="I132" s="53">
        <v>67000</v>
      </c>
      <c r="J132" s="53">
        <f>3764855+4468770</f>
        <v>8233625</v>
      </c>
      <c r="K132" s="53">
        <f>5001635.57+4026688.76</f>
        <v>9028324.3300000001</v>
      </c>
      <c r="L132" s="53">
        <v>3498585.64</v>
      </c>
      <c r="M132" s="53">
        <v>892570</v>
      </c>
      <c r="N132" s="51"/>
      <c r="O132" s="51" t="s">
        <v>285</v>
      </c>
    </row>
    <row r="133" spans="1:15" s="16" customFormat="1" ht="19.5">
      <c r="A133" s="52"/>
      <c r="B133" s="52" t="s">
        <v>286</v>
      </c>
      <c r="C133" s="51"/>
      <c r="D133" s="54"/>
      <c r="E133" s="53">
        <f>726962.53+17575983.31</f>
        <v>18302945.84</v>
      </c>
      <c r="F133" s="53">
        <v>372053</v>
      </c>
      <c r="G133" s="53">
        <v>174245.72</v>
      </c>
      <c r="H133" s="53">
        <v>175316</v>
      </c>
      <c r="I133" s="53">
        <v>283642</v>
      </c>
      <c r="J133" s="53">
        <f>9248746+12364554</f>
        <v>21613300</v>
      </c>
      <c r="K133" s="53">
        <f>6869644+5755205.42</f>
        <v>12624849.42</v>
      </c>
      <c r="L133" s="53">
        <v>6833240</v>
      </c>
      <c r="M133" s="53">
        <v>1671243.28</v>
      </c>
      <c r="N133" s="51"/>
      <c r="O133" s="51" t="s">
        <v>287</v>
      </c>
    </row>
    <row r="134" spans="1:15" s="16" customFormat="1" ht="19.5">
      <c r="A134" s="52"/>
      <c r="B134" s="52" t="s">
        <v>288</v>
      </c>
      <c r="C134" s="51"/>
      <c r="D134" s="54"/>
      <c r="E134" s="53">
        <f>239654.35+14380731.68</f>
        <v>14620386.029999999</v>
      </c>
      <c r="F134" s="53">
        <v>32442.799999999999</v>
      </c>
      <c r="G134" s="53">
        <v>280941.7</v>
      </c>
      <c r="H134" s="53">
        <v>486660</v>
      </c>
      <c r="I134" s="53">
        <v>42022</v>
      </c>
      <c r="J134" s="53">
        <f>8965664+11387725</f>
        <v>20353389</v>
      </c>
      <c r="K134" s="53">
        <f>8230065+8512093.58</f>
        <v>16742158.58</v>
      </c>
      <c r="L134" s="53">
        <v>1518185.67</v>
      </c>
      <c r="M134" s="53">
        <v>11329979</v>
      </c>
      <c r="N134" s="51"/>
      <c r="O134" s="51" t="s">
        <v>289</v>
      </c>
    </row>
    <row r="135" spans="1:15" s="30" customFormat="1" ht="19.5">
      <c r="A135" s="47" t="s">
        <v>290</v>
      </c>
      <c r="B135" s="47"/>
      <c r="C135" s="4"/>
      <c r="D135" s="55"/>
      <c r="E135" s="50">
        <f>SUM(E136:E139)</f>
        <v>79801978.549999997</v>
      </c>
      <c r="F135" s="50">
        <f t="shared" ref="F135:M135" si="17">SUM(F136:F139)</f>
        <v>639952.9</v>
      </c>
      <c r="G135" s="50">
        <f t="shared" si="17"/>
        <v>1841936.62</v>
      </c>
      <c r="H135" s="50">
        <f t="shared" si="17"/>
        <v>1509278</v>
      </c>
      <c r="I135" s="50">
        <f t="shared" si="17"/>
        <v>593576.40999999992</v>
      </c>
      <c r="J135" s="50">
        <f t="shared" si="17"/>
        <v>132869790</v>
      </c>
      <c r="K135" s="50">
        <f t="shared" si="17"/>
        <v>76864847.49000001</v>
      </c>
      <c r="L135" s="50">
        <f t="shared" si="17"/>
        <v>39920765.670000002</v>
      </c>
      <c r="M135" s="50">
        <f t="shared" si="17"/>
        <v>14767899.699999999</v>
      </c>
      <c r="N135" s="4"/>
      <c r="O135" s="4" t="s">
        <v>291</v>
      </c>
    </row>
    <row r="136" spans="1:15" s="16" customFormat="1" ht="19.5">
      <c r="A136" s="52"/>
      <c r="B136" s="52" t="s">
        <v>292</v>
      </c>
      <c r="C136" s="51"/>
      <c r="D136" s="54"/>
      <c r="E136" s="53">
        <f>114626.59+21161177.43</f>
        <v>21275804.02</v>
      </c>
      <c r="F136" s="53">
        <v>12447</v>
      </c>
      <c r="G136" s="53">
        <v>388597.94</v>
      </c>
      <c r="H136" s="53" t="s">
        <v>62</v>
      </c>
      <c r="I136" s="53">
        <v>61400</v>
      </c>
      <c r="J136" s="53">
        <f>24877079+13726300</f>
        <v>38603379</v>
      </c>
      <c r="K136" s="53">
        <f>9648161+7742504.88</f>
        <v>17390665.879999999</v>
      </c>
      <c r="L136" s="53">
        <v>11461548.42</v>
      </c>
      <c r="M136" s="53">
        <v>4047940.7</v>
      </c>
      <c r="N136" s="51"/>
      <c r="O136" s="51" t="s">
        <v>293</v>
      </c>
    </row>
    <row r="137" spans="1:15" s="16" customFormat="1" ht="19.5">
      <c r="A137" s="52"/>
      <c r="B137" s="52" t="s">
        <v>294</v>
      </c>
      <c r="C137" s="51"/>
      <c r="D137" s="54"/>
      <c r="E137" s="53">
        <f>154682.77+15156217.04</f>
        <v>15310899.809999999</v>
      </c>
      <c r="F137" s="53">
        <v>28279.9</v>
      </c>
      <c r="G137" s="53">
        <v>343977.76</v>
      </c>
      <c r="H137" s="53">
        <v>324662</v>
      </c>
      <c r="I137" s="53">
        <v>51016</v>
      </c>
      <c r="J137" s="53">
        <f>10524497+6929470</f>
        <v>17453967</v>
      </c>
      <c r="K137" s="53">
        <f>9182243+5017322.12</f>
        <v>14199565.120000001</v>
      </c>
      <c r="L137" s="53">
        <v>11105028</v>
      </c>
      <c r="M137" s="53">
        <v>6668389</v>
      </c>
      <c r="N137" s="51"/>
      <c r="O137" s="51" t="s">
        <v>295</v>
      </c>
    </row>
    <row r="138" spans="1:15" s="16" customFormat="1" ht="19.5">
      <c r="A138" s="52"/>
      <c r="B138" s="52" t="s">
        <v>296</v>
      </c>
      <c r="C138" s="51"/>
      <c r="D138" s="54"/>
      <c r="E138" s="53">
        <f>711269.47+25279836.17</f>
        <v>25991105.640000001</v>
      </c>
      <c r="F138" s="53">
        <v>580589</v>
      </c>
      <c r="G138" s="53">
        <v>747393.92</v>
      </c>
      <c r="H138" s="53">
        <v>1184616</v>
      </c>
      <c r="I138" s="53">
        <v>130560</v>
      </c>
      <c r="J138" s="53">
        <f>32132004+15261168</f>
        <v>47393172</v>
      </c>
      <c r="K138" s="53">
        <f>10731997+16450656.6</f>
        <v>27182653.600000001</v>
      </c>
      <c r="L138" s="53">
        <v>8332766.6900000004</v>
      </c>
      <c r="M138" s="53">
        <v>3239250</v>
      </c>
      <c r="N138" s="51"/>
      <c r="O138" s="51" t="s">
        <v>297</v>
      </c>
    </row>
    <row r="139" spans="1:15" s="16" customFormat="1" ht="19.5">
      <c r="A139" s="52"/>
      <c r="B139" s="52" t="s">
        <v>298</v>
      </c>
      <c r="C139" s="51"/>
      <c r="D139" s="54"/>
      <c r="E139" s="53">
        <f>202991.65+17021177.43</f>
        <v>17224169.079999998</v>
      </c>
      <c r="F139" s="53">
        <v>18637</v>
      </c>
      <c r="G139" s="53">
        <v>361967</v>
      </c>
      <c r="H139" s="53" t="s">
        <v>62</v>
      </c>
      <c r="I139" s="53">
        <v>350600.41</v>
      </c>
      <c r="J139" s="53">
        <f>15375446+14043826</f>
        <v>29419272</v>
      </c>
      <c r="K139" s="53">
        <f>5329904+12762058.89</f>
        <v>18091962.890000001</v>
      </c>
      <c r="L139" s="53">
        <v>9021422.5600000005</v>
      </c>
      <c r="M139" s="53">
        <v>812320</v>
      </c>
      <c r="N139" s="51"/>
      <c r="O139" s="51" t="s">
        <v>299</v>
      </c>
    </row>
    <row r="140" spans="1:15" s="30" customFormat="1" ht="19.5">
      <c r="A140" s="47" t="s">
        <v>300</v>
      </c>
      <c r="B140" s="47"/>
      <c r="C140" s="4"/>
      <c r="D140" s="55"/>
      <c r="E140" s="50">
        <f>SUM(E141:E143)</f>
        <v>146577556.30000001</v>
      </c>
      <c r="F140" s="50">
        <f t="shared" ref="F140:M140" si="18">SUM(F141:F143)</f>
        <v>1416614</v>
      </c>
      <c r="G140" s="50">
        <f t="shared" si="18"/>
        <v>566715.59</v>
      </c>
      <c r="H140" s="50">
        <f t="shared" si="18"/>
        <v>2075778</v>
      </c>
      <c r="I140" s="50">
        <f t="shared" si="18"/>
        <v>321450</v>
      </c>
      <c r="J140" s="50">
        <f t="shared" si="18"/>
        <v>40361777</v>
      </c>
      <c r="K140" s="50">
        <f t="shared" si="18"/>
        <v>42213600.850000001</v>
      </c>
      <c r="L140" s="50">
        <f t="shared" si="18"/>
        <v>15350618.4</v>
      </c>
      <c r="M140" s="50">
        <f t="shared" si="18"/>
        <v>8984488.6400000006</v>
      </c>
      <c r="N140" s="4"/>
      <c r="O140" s="4" t="s">
        <v>301</v>
      </c>
    </row>
    <row r="141" spans="1:15" s="16" customFormat="1" ht="19.5">
      <c r="A141" s="52"/>
      <c r="B141" s="52" t="s">
        <v>302</v>
      </c>
      <c r="C141" s="51"/>
      <c r="D141" s="54"/>
      <c r="E141" s="53">
        <f>68632.01+12007221.44</f>
        <v>12075853.449999999</v>
      </c>
      <c r="F141" s="53">
        <v>647781</v>
      </c>
      <c r="G141" s="53">
        <v>109241.02</v>
      </c>
      <c r="H141" s="53">
        <v>67314</v>
      </c>
      <c r="I141" s="53">
        <v>138100</v>
      </c>
      <c r="J141" s="53">
        <f>5658231+6842912</f>
        <v>12501143</v>
      </c>
      <c r="K141" s="53">
        <f>4830768+4842113.87</f>
        <v>9672881.870000001</v>
      </c>
      <c r="L141" s="53">
        <v>4400821.9000000004</v>
      </c>
      <c r="M141" s="53">
        <v>651987</v>
      </c>
      <c r="N141" s="51"/>
      <c r="O141" s="51" t="s">
        <v>303</v>
      </c>
    </row>
    <row r="142" spans="1:15" s="16" customFormat="1" ht="19.5">
      <c r="A142" s="52"/>
      <c r="B142" s="52" t="s">
        <v>304</v>
      </c>
      <c r="C142" s="51"/>
      <c r="D142" s="54"/>
      <c r="E142" s="53">
        <f>3387490.98+114240234.07</f>
        <v>117627725.05</v>
      </c>
      <c r="F142" s="53">
        <v>261015</v>
      </c>
      <c r="G142" s="53">
        <v>149013.59</v>
      </c>
      <c r="H142" s="53">
        <v>1186504</v>
      </c>
      <c r="I142" s="53">
        <v>62020</v>
      </c>
      <c r="J142" s="53">
        <f>8756748+9137530</f>
        <v>17894278</v>
      </c>
      <c r="K142" s="53">
        <f>7951247+10011966.48</f>
        <v>17963213.48</v>
      </c>
      <c r="L142" s="53">
        <v>5259940</v>
      </c>
      <c r="M142" s="53">
        <v>7342406</v>
      </c>
      <c r="N142" s="51"/>
      <c r="O142" s="51" t="s">
        <v>305</v>
      </c>
    </row>
    <row r="143" spans="1:15" s="16" customFormat="1" ht="19.5">
      <c r="A143" s="52"/>
      <c r="B143" s="52" t="s">
        <v>306</v>
      </c>
      <c r="C143" s="51"/>
      <c r="D143" s="54"/>
      <c r="E143" s="53">
        <f>303548.58+16570429.22</f>
        <v>16873977.800000001</v>
      </c>
      <c r="F143" s="53">
        <v>507818</v>
      </c>
      <c r="G143" s="53">
        <v>308460.98</v>
      </c>
      <c r="H143" s="53">
        <v>821960</v>
      </c>
      <c r="I143" s="53">
        <v>121330</v>
      </c>
      <c r="J143" s="53">
        <v>9966356</v>
      </c>
      <c r="K143" s="53">
        <f>6660635.43+7916870.07</f>
        <v>14577505.5</v>
      </c>
      <c r="L143" s="53">
        <v>5689856.5</v>
      </c>
      <c r="M143" s="53">
        <v>990095.64</v>
      </c>
      <c r="N143" s="51"/>
      <c r="O143" s="51" t="s">
        <v>307</v>
      </c>
    </row>
    <row r="144" spans="1:15" s="30" customFormat="1" ht="19.5">
      <c r="A144" s="47" t="s">
        <v>308</v>
      </c>
      <c r="B144" s="47"/>
      <c r="C144" s="4"/>
      <c r="D144" s="55"/>
      <c r="E144" s="50">
        <f>SUM(E145:E149)</f>
        <v>71143420.510000005</v>
      </c>
      <c r="F144" s="50">
        <f t="shared" ref="F144:M144" si="19">SUM(F145:F149)</f>
        <v>3009561.81</v>
      </c>
      <c r="G144" s="50">
        <f t="shared" si="19"/>
        <v>786473.05999999982</v>
      </c>
      <c r="H144" s="50">
        <f t="shared" si="19"/>
        <v>1816744</v>
      </c>
      <c r="I144" s="50">
        <f t="shared" si="19"/>
        <v>971588.46</v>
      </c>
      <c r="J144" s="50">
        <f t="shared" si="19"/>
        <v>59370542</v>
      </c>
      <c r="K144" s="50">
        <f t="shared" si="19"/>
        <v>66968655.069999993</v>
      </c>
      <c r="L144" s="50">
        <f t="shared" si="19"/>
        <v>24411611.010000002</v>
      </c>
      <c r="M144" s="50">
        <f t="shared" si="19"/>
        <v>5657543</v>
      </c>
      <c r="N144" s="4"/>
      <c r="O144" s="4" t="s">
        <v>309</v>
      </c>
    </row>
    <row r="145" spans="1:15" s="16" customFormat="1" ht="19.5">
      <c r="A145" s="52"/>
      <c r="B145" s="52" t="s">
        <v>310</v>
      </c>
      <c r="C145" s="51"/>
      <c r="D145" s="54"/>
      <c r="E145" s="53">
        <f>34689.9+11719545.31</f>
        <v>11754235.210000001</v>
      </c>
      <c r="F145" s="53">
        <v>1398.2</v>
      </c>
      <c r="G145" s="53">
        <v>134700.95000000001</v>
      </c>
      <c r="H145" s="53" t="s">
        <v>62</v>
      </c>
      <c r="I145" s="53">
        <v>82700</v>
      </c>
      <c r="J145" s="53">
        <v>5677115</v>
      </c>
      <c r="K145" s="53">
        <f>4089219+3576362.68</f>
        <v>7665581.6799999997</v>
      </c>
      <c r="L145" s="53">
        <v>1981245</v>
      </c>
      <c r="M145" s="53">
        <v>1026484</v>
      </c>
      <c r="N145" s="51"/>
      <c r="O145" s="51" t="s">
        <v>311</v>
      </c>
    </row>
    <row r="146" spans="1:15" s="16" customFormat="1" ht="19.5">
      <c r="A146" s="52"/>
      <c r="B146" s="52" t="s">
        <v>312</v>
      </c>
      <c r="C146" s="51"/>
      <c r="D146" s="54"/>
      <c r="E146" s="53">
        <f>234283.7+17997346.8</f>
        <v>18231630.5</v>
      </c>
      <c r="F146" s="53">
        <v>178648.61</v>
      </c>
      <c r="G146" s="53">
        <v>420620.98</v>
      </c>
      <c r="H146" s="53">
        <v>1247000</v>
      </c>
      <c r="I146" s="53">
        <v>203520</v>
      </c>
      <c r="J146" s="53">
        <f>12612942+12482920</f>
        <v>25095862</v>
      </c>
      <c r="K146" s="53">
        <f>8320712+9833252.03</f>
        <v>18153964.030000001</v>
      </c>
      <c r="L146" s="53">
        <v>14658045.98</v>
      </c>
      <c r="M146" s="53">
        <v>1779765</v>
      </c>
      <c r="N146" s="51"/>
      <c r="O146" s="51" t="s">
        <v>313</v>
      </c>
    </row>
    <row r="147" spans="1:15" s="16" customFormat="1" ht="22.5" customHeight="1">
      <c r="A147" s="52"/>
      <c r="B147" s="52" t="s">
        <v>314</v>
      </c>
      <c r="C147" s="51"/>
      <c r="D147" s="54"/>
      <c r="E147" s="53">
        <f>70369.42+14184066.51</f>
        <v>14254435.93</v>
      </c>
      <c r="F147" s="53">
        <v>160990</v>
      </c>
      <c r="G147" s="53">
        <v>92566.58</v>
      </c>
      <c r="H147" s="53">
        <v>242250</v>
      </c>
      <c r="I147" s="53">
        <v>142947</v>
      </c>
      <c r="J147" s="53" t="s">
        <v>315</v>
      </c>
      <c r="K147" s="53">
        <f>5961307+6844257.84</f>
        <v>12805564.84</v>
      </c>
      <c r="L147" s="53">
        <v>2950040</v>
      </c>
      <c r="M147" s="53">
        <v>771538</v>
      </c>
      <c r="N147" s="51"/>
      <c r="O147" s="51" t="s">
        <v>316</v>
      </c>
    </row>
    <row r="148" spans="1:15" s="16" customFormat="1" ht="19.5">
      <c r="A148" s="52"/>
      <c r="B148" s="52" t="s">
        <v>317</v>
      </c>
      <c r="C148" s="51"/>
      <c r="D148" s="54"/>
      <c r="E148" s="53">
        <f>97730.34+12180445.89</f>
        <v>12278176.23</v>
      </c>
      <c r="F148" s="53">
        <v>4250</v>
      </c>
      <c r="G148" s="53">
        <v>138584.54999999999</v>
      </c>
      <c r="H148" s="53" t="s">
        <v>62</v>
      </c>
      <c r="I148" s="53">
        <v>74052</v>
      </c>
      <c r="J148" s="53">
        <f>4885871+6943630</f>
        <v>11829501</v>
      </c>
      <c r="K148" s="53">
        <f>6031773+3705782.51</f>
        <v>9737555.5099999998</v>
      </c>
      <c r="L148" s="53">
        <v>2799710</v>
      </c>
      <c r="M148" s="53">
        <v>745689</v>
      </c>
      <c r="N148" s="51"/>
      <c r="O148" s="51" t="s">
        <v>318</v>
      </c>
    </row>
    <row r="149" spans="1:15" s="16" customFormat="1" ht="19.5">
      <c r="A149" s="52"/>
      <c r="B149" s="52" t="s">
        <v>319</v>
      </c>
      <c r="C149" s="51"/>
      <c r="D149" s="54"/>
      <c r="E149" s="53">
        <f>337171.08+14287771.56</f>
        <v>14624942.640000001</v>
      </c>
      <c r="F149" s="53">
        <v>2664275</v>
      </c>
      <c r="G149" s="53" t="s">
        <v>62</v>
      </c>
      <c r="H149" s="53">
        <v>327494</v>
      </c>
      <c r="I149" s="53">
        <v>468369.46</v>
      </c>
      <c r="J149" s="53">
        <f>7396206+9371858</f>
        <v>16768064</v>
      </c>
      <c r="K149" s="53">
        <f>6227874.9+12378114.11</f>
        <v>18605989.009999998</v>
      </c>
      <c r="L149" s="53">
        <v>2022570.03</v>
      </c>
      <c r="M149" s="53">
        <v>1334067</v>
      </c>
      <c r="N149" s="51"/>
      <c r="O149" s="51" t="s">
        <v>320</v>
      </c>
    </row>
    <row r="150" spans="1:15" s="30" customFormat="1" ht="19.5">
      <c r="A150" s="47" t="s">
        <v>321</v>
      </c>
      <c r="B150" s="47"/>
      <c r="C150" s="4"/>
      <c r="D150" s="55"/>
      <c r="E150" s="50">
        <f t="shared" ref="E150:M150" si="20">SUM(E151:E153)</f>
        <v>62542851.460000008</v>
      </c>
      <c r="F150" s="50">
        <f t="shared" si="20"/>
        <v>1258725.4099999999</v>
      </c>
      <c r="G150" s="50">
        <f t="shared" si="20"/>
        <v>1786885.5</v>
      </c>
      <c r="H150" s="50">
        <f t="shared" si="20"/>
        <v>329173</v>
      </c>
      <c r="I150" s="50">
        <f t="shared" si="20"/>
        <v>425394.63</v>
      </c>
      <c r="J150" s="50">
        <f t="shared" si="20"/>
        <v>91262218.469999999</v>
      </c>
      <c r="K150" s="50">
        <f t="shared" si="20"/>
        <v>49185640.060000002</v>
      </c>
      <c r="L150" s="50">
        <f t="shared" si="20"/>
        <v>22047579.449999999</v>
      </c>
      <c r="M150" s="50">
        <f t="shared" si="20"/>
        <v>3705962.89</v>
      </c>
      <c r="N150" s="4"/>
      <c r="O150" s="4" t="s">
        <v>322</v>
      </c>
    </row>
    <row r="151" spans="1:15" s="16" customFormat="1" ht="19.5">
      <c r="A151" s="52"/>
      <c r="B151" s="52" t="s">
        <v>323</v>
      </c>
      <c r="C151" s="51"/>
      <c r="D151" s="54"/>
      <c r="E151" s="53">
        <f>385284.23+20106485.16</f>
        <v>20491769.390000001</v>
      </c>
      <c r="F151" s="53">
        <v>702355.71</v>
      </c>
      <c r="G151" s="53">
        <v>372798.32</v>
      </c>
      <c r="H151" s="53">
        <v>127209</v>
      </c>
      <c r="I151" s="53">
        <v>41886</v>
      </c>
      <c r="J151" s="53">
        <f>13530098+17662783</f>
        <v>31192881</v>
      </c>
      <c r="K151" s="53">
        <f>9010919+6267237.42</f>
        <v>15278156.42</v>
      </c>
      <c r="L151" s="53">
        <v>3373071.45</v>
      </c>
      <c r="M151" s="53">
        <v>1036604</v>
      </c>
      <c r="N151" s="51"/>
      <c r="O151" s="51" t="s">
        <v>324</v>
      </c>
    </row>
    <row r="152" spans="1:15" s="16" customFormat="1" ht="19.5">
      <c r="A152" s="52"/>
      <c r="B152" s="52" t="s">
        <v>325</v>
      </c>
      <c r="C152" s="51"/>
      <c r="D152" s="54"/>
      <c r="E152" s="53">
        <f>314025.96+22779109.42</f>
        <v>23093135.380000003</v>
      </c>
      <c r="F152" s="53">
        <v>217993.1</v>
      </c>
      <c r="G152" s="53">
        <v>678958.42</v>
      </c>
      <c r="H152" s="53">
        <v>66022</v>
      </c>
      <c r="I152" s="53">
        <v>217330.2</v>
      </c>
      <c r="J152" s="53">
        <f>18046854+19947837</f>
        <v>37994691</v>
      </c>
      <c r="K152" s="53">
        <f>10457570.42+10156568.59</f>
        <v>20614139.009999998</v>
      </c>
      <c r="L152" s="53">
        <v>8800083</v>
      </c>
      <c r="M152" s="53">
        <v>2108071.89</v>
      </c>
      <c r="N152" s="51"/>
      <c r="O152" s="51" t="s">
        <v>326</v>
      </c>
    </row>
    <row r="153" spans="1:15" s="16" customFormat="1" ht="19.5">
      <c r="A153" s="52"/>
      <c r="B153" s="52" t="s">
        <v>327</v>
      </c>
      <c r="C153" s="51"/>
      <c r="D153" s="54"/>
      <c r="E153" s="53">
        <f>683032.01+18274914.68</f>
        <v>18957946.690000001</v>
      </c>
      <c r="F153" s="53">
        <v>338376.6</v>
      </c>
      <c r="G153" s="53">
        <v>735128.76</v>
      </c>
      <c r="H153" s="53">
        <v>135942</v>
      </c>
      <c r="I153" s="53">
        <v>166178.43</v>
      </c>
      <c r="J153" s="53">
        <f>10392120+11682526.47</f>
        <v>22074646.469999999</v>
      </c>
      <c r="K153" s="53">
        <f>7635449.45+5657895.18</f>
        <v>13293344.629999999</v>
      </c>
      <c r="L153" s="53">
        <v>9874425</v>
      </c>
      <c r="M153" s="53">
        <v>561287</v>
      </c>
      <c r="N153" s="51"/>
      <c r="O153" s="51" t="s">
        <v>328</v>
      </c>
    </row>
    <row r="154" spans="1:15" s="30" customFormat="1" ht="19.5">
      <c r="A154" s="47" t="s">
        <v>329</v>
      </c>
      <c r="B154" s="47"/>
      <c r="C154" s="4"/>
      <c r="D154" s="55"/>
      <c r="E154" s="50">
        <f t="shared" ref="E154:M154" si="21">SUM(E155:E156)</f>
        <v>41425479.68</v>
      </c>
      <c r="F154" s="50">
        <f t="shared" si="21"/>
        <v>212894.1</v>
      </c>
      <c r="G154" s="50">
        <f t="shared" si="21"/>
        <v>506338.45999999996</v>
      </c>
      <c r="H154" s="50">
        <f t="shared" si="21"/>
        <v>338460</v>
      </c>
      <c r="I154" s="50">
        <f t="shared" si="21"/>
        <v>136091</v>
      </c>
      <c r="J154" s="50">
        <f t="shared" si="21"/>
        <v>45995004</v>
      </c>
      <c r="K154" s="50">
        <f t="shared" si="21"/>
        <v>33395212.32</v>
      </c>
      <c r="L154" s="50">
        <f t="shared" si="21"/>
        <v>9871138.8900000006</v>
      </c>
      <c r="M154" s="50">
        <f t="shared" si="21"/>
        <v>11989229.060000001</v>
      </c>
      <c r="N154" s="4"/>
      <c r="O154" s="4" t="s">
        <v>330</v>
      </c>
    </row>
    <row r="155" spans="1:15" s="16" customFormat="1" ht="19.5">
      <c r="A155" s="52"/>
      <c r="B155" s="52" t="s">
        <v>331</v>
      </c>
      <c r="C155" s="51"/>
      <c r="D155" s="54"/>
      <c r="E155" s="53">
        <f>168932.2+25716465.43</f>
        <v>25885397.629999999</v>
      </c>
      <c r="F155" s="53">
        <v>196251.6</v>
      </c>
      <c r="G155" s="53">
        <v>283685.81</v>
      </c>
      <c r="H155" s="53" t="s">
        <v>62</v>
      </c>
      <c r="I155" s="53">
        <v>67641</v>
      </c>
      <c r="J155" s="53">
        <f>12034003+9491837</f>
        <v>21525840</v>
      </c>
      <c r="K155" s="53">
        <f>7776064.13+8628291.35</f>
        <v>16404355.48</v>
      </c>
      <c r="L155" s="53">
        <v>4071702.7</v>
      </c>
      <c r="M155" s="53">
        <v>675079.06</v>
      </c>
      <c r="N155" s="51"/>
      <c r="O155" s="56" t="s">
        <v>332</v>
      </c>
    </row>
    <row r="156" spans="1:15" s="16" customFormat="1" ht="19.5">
      <c r="A156" s="52"/>
      <c r="B156" s="52" t="s">
        <v>333</v>
      </c>
      <c r="C156" s="51"/>
      <c r="D156" s="54"/>
      <c r="E156" s="53">
        <f>227710.27+15312371.78</f>
        <v>15540082.049999999</v>
      </c>
      <c r="F156" s="53">
        <v>16642.5</v>
      </c>
      <c r="G156" s="53">
        <v>222652.65</v>
      </c>
      <c r="H156" s="53">
        <v>338460</v>
      </c>
      <c r="I156" s="53">
        <v>68450</v>
      </c>
      <c r="J156" s="53">
        <f>10118787+14350377</f>
        <v>24469164</v>
      </c>
      <c r="K156" s="53">
        <f>8152298+8838558.84</f>
        <v>16990856.84</v>
      </c>
      <c r="L156" s="53">
        <v>5799436.1900000004</v>
      </c>
      <c r="M156" s="53">
        <v>11314150</v>
      </c>
      <c r="N156" s="51"/>
      <c r="O156" s="51" t="s">
        <v>334</v>
      </c>
    </row>
    <row r="157" spans="1:15" s="30" customFormat="1" ht="19.5">
      <c r="A157" s="47" t="s">
        <v>335</v>
      </c>
      <c r="B157" s="47"/>
      <c r="C157" s="4"/>
      <c r="D157" s="55"/>
      <c r="E157" s="50">
        <f t="shared" ref="E157:M157" si="22">SUM(E158:E158)</f>
        <v>30190925.510000002</v>
      </c>
      <c r="F157" s="50">
        <f t="shared" si="22"/>
        <v>498057.5</v>
      </c>
      <c r="G157" s="50">
        <f t="shared" si="22"/>
        <v>579223.63</v>
      </c>
      <c r="H157" s="50">
        <f t="shared" si="22"/>
        <v>1164930</v>
      </c>
      <c r="I157" s="50">
        <f t="shared" si="22"/>
        <v>327343.2</v>
      </c>
      <c r="J157" s="50">
        <f t="shared" si="22"/>
        <v>45308194</v>
      </c>
      <c r="K157" s="50">
        <f t="shared" si="22"/>
        <v>25305930.460000001</v>
      </c>
      <c r="L157" s="50">
        <f t="shared" si="22"/>
        <v>13421214</v>
      </c>
      <c r="M157" s="50">
        <f t="shared" si="22"/>
        <v>837823.5</v>
      </c>
      <c r="N157" s="4"/>
      <c r="O157" s="4" t="s">
        <v>336</v>
      </c>
    </row>
    <row r="158" spans="1:15" s="16" customFormat="1" ht="19.5">
      <c r="A158" s="52"/>
      <c r="B158" s="52" t="s">
        <v>337</v>
      </c>
      <c r="C158" s="51"/>
      <c r="D158" s="54"/>
      <c r="E158" s="53">
        <f>855620.76+29335304.75</f>
        <v>30190925.510000002</v>
      </c>
      <c r="F158" s="53">
        <v>498057.5</v>
      </c>
      <c r="G158" s="53">
        <v>579223.63</v>
      </c>
      <c r="H158" s="53">
        <v>1164930</v>
      </c>
      <c r="I158" s="53">
        <v>327343.2</v>
      </c>
      <c r="J158" s="53">
        <f>25080634+20227560</f>
        <v>45308194</v>
      </c>
      <c r="K158" s="53">
        <f>10435594.79+14870335.67</f>
        <v>25305930.460000001</v>
      </c>
      <c r="L158" s="53">
        <v>13421214</v>
      </c>
      <c r="M158" s="53">
        <v>837823.5</v>
      </c>
      <c r="N158" s="51"/>
      <c r="O158" s="51" t="s">
        <v>338</v>
      </c>
    </row>
    <row r="159" spans="1:15" s="30" customFormat="1" ht="19.5">
      <c r="A159" s="47" t="s">
        <v>339</v>
      </c>
      <c r="B159" s="47"/>
      <c r="C159" s="4"/>
      <c r="D159" s="55"/>
      <c r="E159" s="50">
        <f t="shared" ref="E159:M159" si="23">SUM(E160:E161)</f>
        <v>34241635.480000004</v>
      </c>
      <c r="F159" s="50">
        <f t="shared" si="23"/>
        <v>388323.4</v>
      </c>
      <c r="G159" s="50">
        <f t="shared" si="23"/>
        <v>853487.23</v>
      </c>
      <c r="H159" s="50">
        <f t="shared" si="23"/>
        <v>1086107</v>
      </c>
      <c r="I159" s="50">
        <f t="shared" si="23"/>
        <v>411447.52</v>
      </c>
      <c r="J159" s="50">
        <f t="shared" si="23"/>
        <v>54237353.75</v>
      </c>
      <c r="K159" s="50">
        <f t="shared" si="23"/>
        <v>31660092.440000001</v>
      </c>
      <c r="L159" s="50">
        <f t="shared" si="23"/>
        <v>7666713.2699999996</v>
      </c>
      <c r="M159" s="50">
        <f t="shared" si="23"/>
        <v>4136487.49</v>
      </c>
      <c r="N159" s="4"/>
      <c r="O159" s="4" t="s">
        <v>340</v>
      </c>
    </row>
    <row r="160" spans="1:15" s="16" customFormat="1" ht="19.5">
      <c r="A160" s="52"/>
      <c r="B160" s="52" t="s">
        <v>341</v>
      </c>
      <c r="C160" s="51"/>
      <c r="D160" s="54"/>
      <c r="E160" s="53">
        <f>179076.64+13824660.76</f>
        <v>14003737.4</v>
      </c>
      <c r="F160" s="53">
        <v>246343.4</v>
      </c>
      <c r="G160" s="53">
        <v>253477.78</v>
      </c>
      <c r="H160" s="53">
        <v>38434</v>
      </c>
      <c r="I160" s="53">
        <v>256216.02</v>
      </c>
      <c r="J160" s="53">
        <f>8583706.55+14824617</f>
        <v>23408323.550000001</v>
      </c>
      <c r="K160" s="53">
        <f>7460428+4897079.03</f>
        <v>12357507.030000001</v>
      </c>
      <c r="L160" s="53">
        <v>3368098</v>
      </c>
      <c r="M160" s="53">
        <v>2418164.4900000002</v>
      </c>
      <c r="N160" s="51"/>
      <c r="O160" s="51" t="s">
        <v>342</v>
      </c>
    </row>
    <row r="161" spans="1:15" s="16" customFormat="1" ht="19.5">
      <c r="A161" s="52"/>
      <c r="B161" s="52" t="s">
        <v>343</v>
      </c>
      <c r="C161" s="51"/>
      <c r="D161" s="54"/>
      <c r="E161" s="53">
        <f>396819.37+19841078.71</f>
        <v>20237898.080000002</v>
      </c>
      <c r="F161" s="53">
        <v>141980</v>
      </c>
      <c r="G161" s="53">
        <v>600009.44999999995</v>
      </c>
      <c r="H161" s="53">
        <v>1047673</v>
      </c>
      <c r="I161" s="53">
        <v>155231.5</v>
      </c>
      <c r="J161" s="53">
        <f>14679218+16149812.2</f>
        <v>30829030.199999999</v>
      </c>
      <c r="K161" s="53">
        <f>8637539+10665046.41</f>
        <v>19302585.41</v>
      </c>
      <c r="L161" s="53">
        <v>4298615.2699999996</v>
      </c>
      <c r="M161" s="53">
        <v>1718323</v>
      </c>
      <c r="N161" s="51"/>
      <c r="O161" s="51" t="s">
        <v>344</v>
      </c>
    </row>
    <row r="162" spans="1:15" ht="3" customHeight="1">
      <c r="A162" s="57"/>
      <c r="B162" s="57"/>
      <c r="C162" s="57"/>
      <c r="D162" s="58"/>
      <c r="E162" s="59"/>
      <c r="F162" s="59"/>
      <c r="G162" s="59"/>
      <c r="H162" s="59"/>
      <c r="I162" s="59"/>
      <c r="J162" s="59"/>
      <c r="K162" s="59"/>
      <c r="L162" s="59"/>
      <c r="M162" s="59"/>
      <c r="N162" s="57"/>
      <c r="O162" s="57"/>
    </row>
    <row r="163" spans="1:15" ht="3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</row>
    <row r="164" spans="1:15">
      <c r="B164" s="16" t="s">
        <v>345</v>
      </c>
      <c r="C164" s="16"/>
      <c r="D164" s="16"/>
      <c r="E164" s="16"/>
      <c r="G164" s="61"/>
    </row>
    <row r="165" spans="1:15">
      <c r="B165" s="16" t="s">
        <v>346</v>
      </c>
      <c r="C165" s="16"/>
      <c r="D165" s="16"/>
      <c r="E165" s="16"/>
      <c r="G165" s="61"/>
    </row>
  </sheetData>
  <mergeCells count="10">
    <mergeCell ref="A6:D6"/>
    <mergeCell ref="N6:O6"/>
    <mergeCell ref="N7:O7"/>
    <mergeCell ref="A9:D9"/>
    <mergeCell ref="E3:J3"/>
    <mergeCell ref="K3:M3"/>
    <mergeCell ref="E4:J4"/>
    <mergeCell ref="K4:M4"/>
    <mergeCell ref="A5:D5"/>
    <mergeCell ref="N5:O5"/>
  </mergeCells>
  <pageMargins left="0.59055118110236227" right="0.35433070866141736" top="0.59055118110236227" bottom="0.39370078740157483" header="0.51181102362204722" footer="0.51181102362204722"/>
  <pageSetup paperSize="9" scale="7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T-16.3</vt:lpstr>
      <vt:lpstr>'T-16.3'!Print_Area</vt:lpstr>
      <vt:lpstr>'T-16.3'!Print_Titles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2015-11-03T06:34:34Z</dcterms:created>
  <dcterms:modified xsi:type="dcterms:W3CDTF">2015-11-03T06:36:15Z</dcterms:modified>
</cp:coreProperties>
</file>