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675" yWindow="-375" windowWidth="11790" windowHeight="9990" tabRatio="656"/>
  </bookViews>
  <sheets>
    <sheet name="16.3 " sheetId="28" r:id="rId1"/>
    <sheet name="16.3  (2)" sheetId="42" r:id="rId2"/>
    <sheet name="16.3  (3)" sheetId="43" r:id="rId3"/>
    <sheet name="16.3  (4)" sheetId="44" r:id="rId4"/>
    <sheet name="16.3  (5)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_xlnm.Print_Area" localSheetId="0">'16.3 '!$A$1:$R$28</definedName>
    <definedName name="_xlnm.Print_Area" localSheetId="2">'16.3  (3)'!$A$1:$R$29</definedName>
    <definedName name="_xlnm.Print_Area" localSheetId="4">'16.3  (5)'!$A$1:$R$31</definedName>
  </definedNames>
  <calcPr calcId="125725"/>
</workbook>
</file>

<file path=xl/calcChain.xml><?xml version="1.0" encoding="utf-8"?>
<calcChain xmlns="http://schemas.openxmlformats.org/spreadsheetml/2006/main">
  <c r="H39" i="28"/>
  <c r="H40"/>
  <c r="H41"/>
  <c r="H42"/>
  <c r="H43"/>
  <c r="H44"/>
  <c r="H46"/>
  <c r="H47"/>
  <c r="H48"/>
  <c r="H49"/>
  <c r="H50"/>
  <c r="H52"/>
  <c r="H53"/>
  <c r="H54"/>
  <c r="H55"/>
  <c r="H56"/>
  <c r="H57"/>
  <c r="H38" l="1"/>
  <c r="H45"/>
  <c r="O19" i="45"/>
  <c r="N19"/>
  <c r="M19"/>
  <c r="L19"/>
  <c r="K19" s="1"/>
  <c r="O18"/>
  <c r="O17" s="1"/>
  <c r="N18"/>
  <c r="M18"/>
  <c r="L18"/>
  <c r="K18" s="1"/>
  <c r="J19"/>
  <c r="I19"/>
  <c r="G19"/>
  <c r="F19"/>
  <c r="E19"/>
  <c r="J18"/>
  <c r="I18"/>
  <c r="G18"/>
  <c r="F18"/>
  <c r="E18"/>
  <c r="O16"/>
  <c r="O15" s="1"/>
  <c r="N16"/>
  <c r="M16"/>
  <c r="L16"/>
  <c r="K16" s="1"/>
  <c r="J16"/>
  <c r="J15" s="1"/>
  <c r="I16"/>
  <c r="G16"/>
  <c r="F16"/>
  <c r="E16"/>
  <c r="O14"/>
  <c r="N14"/>
  <c r="M14"/>
  <c r="L14"/>
  <c r="K14" s="1"/>
  <c r="O13"/>
  <c r="N13"/>
  <c r="M13"/>
  <c r="L13"/>
  <c r="K13" s="1"/>
  <c r="O12"/>
  <c r="N12"/>
  <c r="M12"/>
  <c r="L12"/>
  <c r="K12" s="1"/>
  <c r="O11"/>
  <c r="N11"/>
  <c r="M11"/>
  <c r="L11"/>
  <c r="K11" s="1"/>
  <c r="J14"/>
  <c r="I14"/>
  <c r="G14"/>
  <c r="F14"/>
  <c r="E14"/>
  <c r="D14" s="1"/>
  <c r="J13"/>
  <c r="I13"/>
  <c r="G13"/>
  <c r="F13"/>
  <c r="E13"/>
  <c r="J12"/>
  <c r="I12"/>
  <c r="G12"/>
  <c r="F12"/>
  <c r="E12"/>
  <c r="J11"/>
  <c r="I11"/>
  <c r="G11"/>
  <c r="F11"/>
  <c r="E11"/>
  <c r="O27" i="44"/>
  <c r="N27"/>
  <c r="M27"/>
  <c r="L27"/>
  <c r="K27" s="1"/>
  <c r="O26"/>
  <c r="N26"/>
  <c r="M26"/>
  <c r="L26"/>
  <c r="K26" s="1"/>
  <c r="O25"/>
  <c r="N25"/>
  <c r="M25"/>
  <c r="L25"/>
  <c r="K25" s="1"/>
  <c r="O24"/>
  <c r="N24"/>
  <c r="M24"/>
  <c r="L24"/>
  <c r="K24" s="1"/>
  <c r="O23"/>
  <c r="N23"/>
  <c r="M23"/>
  <c r="L23"/>
  <c r="K23" s="1"/>
  <c r="O22"/>
  <c r="N22"/>
  <c r="M22"/>
  <c r="L22"/>
  <c r="K22" s="1"/>
  <c r="N21"/>
  <c r="M21"/>
  <c r="L21"/>
  <c r="K21" s="1"/>
  <c r="J27"/>
  <c r="I27"/>
  <c r="G27"/>
  <c r="F27"/>
  <c r="E27"/>
  <c r="J26"/>
  <c r="I26"/>
  <c r="G26"/>
  <c r="F26"/>
  <c r="E26"/>
  <c r="J25"/>
  <c r="I25"/>
  <c r="G25"/>
  <c r="F25"/>
  <c r="E25"/>
  <c r="J24"/>
  <c r="I24"/>
  <c r="G24"/>
  <c r="F24"/>
  <c r="E24"/>
  <c r="J23"/>
  <c r="I23"/>
  <c r="G23"/>
  <c r="F23"/>
  <c r="E23"/>
  <c r="J22"/>
  <c r="I22"/>
  <c r="G22"/>
  <c r="F22"/>
  <c r="E22"/>
  <c r="J21"/>
  <c r="J20" s="1"/>
  <c r="I21"/>
  <c r="I20" s="1"/>
  <c r="G21"/>
  <c r="F21"/>
  <c r="E21"/>
  <c r="O19"/>
  <c r="N19"/>
  <c r="M19"/>
  <c r="L19"/>
  <c r="K19" s="1"/>
  <c r="O18"/>
  <c r="N18"/>
  <c r="M18"/>
  <c r="L18"/>
  <c r="K18" s="1"/>
  <c r="O17"/>
  <c r="N17"/>
  <c r="M17"/>
  <c r="L17"/>
  <c r="K17" s="1"/>
  <c r="O16"/>
  <c r="N16"/>
  <c r="M16"/>
  <c r="L16"/>
  <c r="K16" s="1"/>
  <c r="O15"/>
  <c r="O14" s="1"/>
  <c r="N15"/>
  <c r="N14" s="1"/>
  <c r="M15"/>
  <c r="L15"/>
  <c r="K15" s="1"/>
  <c r="J19"/>
  <c r="I19"/>
  <c r="G19"/>
  <c r="F19"/>
  <c r="E19"/>
  <c r="J18"/>
  <c r="I18"/>
  <c r="G18"/>
  <c r="F18"/>
  <c r="E18"/>
  <c r="J17"/>
  <c r="I17"/>
  <c r="G17"/>
  <c r="F17"/>
  <c r="E17"/>
  <c r="J16"/>
  <c r="I16"/>
  <c r="G16"/>
  <c r="F16"/>
  <c r="E16"/>
  <c r="J15"/>
  <c r="I15"/>
  <c r="G15"/>
  <c r="F15"/>
  <c r="E15"/>
  <c r="O13"/>
  <c r="N13"/>
  <c r="M13"/>
  <c r="L13"/>
  <c r="O12"/>
  <c r="N12"/>
  <c r="M12"/>
  <c r="L12"/>
  <c r="O11"/>
  <c r="N11"/>
  <c r="N10" s="1"/>
  <c r="M11"/>
  <c r="L11"/>
  <c r="J13"/>
  <c r="I13"/>
  <c r="G13"/>
  <c r="F13"/>
  <c r="E13"/>
  <c r="D13" s="1"/>
  <c r="J12"/>
  <c r="I12"/>
  <c r="G12"/>
  <c r="F12"/>
  <c r="E12"/>
  <c r="J11"/>
  <c r="I11"/>
  <c r="F11"/>
  <c r="F10" s="1"/>
  <c r="E11"/>
  <c r="K13"/>
  <c r="K12"/>
  <c r="I10"/>
  <c r="K11"/>
  <c r="O29" i="43"/>
  <c r="N29"/>
  <c r="M29"/>
  <c r="L29"/>
  <c r="O28"/>
  <c r="N28"/>
  <c r="M28"/>
  <c r="L28"/>
  <c r="N27"/>
  <c r="M27"/>
  <c r="L27"/>
  <c r="O26"/>
  <c r="O25" s="1"/>
  <c r="N26"/>
  <c r="M26"/>
  <c r="L26"/>
  <c r="J29"/>
  <c r="I29"/>
  <c r="G29"/>
  <c r="F29"/>
  <c r="E29"/>
  <c r="D29" s="1"/>
  <c r="J28"/>
  <c r="I28"/>
  <c r="G28"/>
  <c r="F28"/>
  <c r="E28"/>
  <c r="J27"/>
  <c r="I27"/>
  <c r="G27"/>
  <c r="F27"/>
  <c r="E27"/>
  <c r="J26"/>
  <c r="I26"/>
  <c r="G26"/>
  <c r="G25" s="1"/>
  <c r="F26"/>
  <c r="E26"/>
  <c r="O24"/>
  <c r="N24"/>
  <c r="M24"/>
  <c r="L24"/>
  <c r="O23"/>
  <c r="N23"/>
  <c r="M23"/>
  <c r="L23"/>
  <c r="O22"/>
  <c r="N22"/>
  <c r="M22"/>
  <c r="L22"/>
  <c r="O21"/>
  <c r="N21"/>
  <c r="M21"/>
  <c r="L21"/>
  <c r="O20"/>
  <c r="N20"/>
  <c r="M20"/>
  <c r="L20"/>
  <c r="O19"/>
  <c r="N19"/>
  <c r="M19"/>
  <c r="L19"/>
  <c r="O18"/>
  <c r="N18"/>
  <c r="M18"/>
  <c r="L18"/>
  <c r="O17"/>
  <c r="N17"/>
  <c r="M17"/>
  <c r="L17"/>
  <c r="J24"/>
  <c r="I24"/>
  <c r="F24"/>
  <c r="E24"/>
  <c r="D24" s="1"/>
  <c r="J23"/>
  <c r="I23"/>
  <c r="G23"/>
  <c r="F23"/>
  <c r="E23"/>
  <c r="J22"/>
  <c r="I22"/>
  <c r="G22"/>
  <c r="F22"/>
  <c r="E22"/>
  <c r="D22" s="1"/>
  <c r="J21"/>
  <c r="I21"/>
  <c r="G21"/>
  <c r="F21"/>
  <c r="E21"/>
  <c r="J20"/>
  <c r="I20"/>
  <c r="G20"/>
  <c r="F20"/>
  <c r="E20"/>
  <c r="J19"/>
  <c r="I19"/>
  <c r="G19"/>
  <c r="F19"/>
  <c r="E19"/>
  <c r="J18"/>
  <c r="I18"/>
  <c r="G18"/>
  <c r="F18"/>
  <c r="E18"/>
  <c r="J17"/>
  <c r="I17"/>
  <c r="G17"/>
  <c r="F17"/>
  <c r="E17"/>
  <c r="D17" s="1"/>
  <c r="K27"/>
  <c r="K18"/>
  <c r="K22"/>
  <c r="O15"/>
  <c r="N15"/>
  <c r="M15"/>
  <c r="L15"/>
  <c r="K15" s="1"/>
  <c r="O14"/>
  <c r="N14"/>
  <c r="M14"/>
  <c r="L14"/>
  <c r="K14" s="1"/>
  <c r="O13"/>
  <c r="N13"/>
  <c r="M13"/>
  <c r="L13"/>
  <c r="K13" s="1"/>
  <c r="O12"/>
  <c r="N12"/>
  <c r="M12"/>
  <c r="L12"/>
  <c r="K12" s="1"/>
  <c r="O11"/>
  <c r="N11"/>
  <c r="M11"/>
  <c r="L11"/>
  <c r="K11" s="1"/>
  <c r="O10"/>
  <c r="N10"/>
  <c r="M10"/>
  <c r="L10"/>
  <c r="K10" s="1"/>
  <c r="J15"/>
  <c r="I15"/>
  <c r="G15"/>
  <c r="F15"/>
  <c r="E15"/>
  <c r="J14"/>
  <c r="I14"/>
  <c r="G14"/>
  <c r="F14"/>
  <c r="E14"/>
  <c r="J13"/>
  <c r="I13"/>
  <c r="G13"/>
  <c r="F13"/>
  <c r="E13"/>
  <c r="J12"/>
  <c r="I12"/>
  <c r="G12"/>
  <c r="F12"/>
  <c r="E12"/>
  <c r="J11"/>
  <c r="I11"/>
  <c r="G11"/>
  <c r="F11"/>
  <c r="E11"/>
  <c r="J10"/>
  <c r="I10"/>
  <c r="G10"/>
  <c r="F10"/>
  <c r="E10"/>
  <c r="O29" i="42"/>
  <c r="N29"/>
  <c r="M29"/>
  <c r="L29"/>
  <c r="K29" s="1"/>
  <c r="O28"/>
  <c r="N28"/>
  <c r="M28"/>
  <c r="L28"/>
  <c r="K28" s="1"/>
  <c r="O27"/>
  <c r="N27"/>
  <c r="M27"/>
  <c r="L27"/>
  <c r="K27" s="1"/>
  <c r="O26"/>
  <c r="N26"/>
  <c r="M26"/>
  <c r="L26"/>
  <c r="K26" s="1"/>
  <c r="O25"/>
  <c r="N25"/>
  <c r="M25"/>
  <c r="L25"/>
  <c r="K25" s="1"/>
  <c r="O24"/>
  <c r="N24"/>
  <c r="M24"/>
  <c r="L24"/>
  <c r="K24" s="1"/>
  <c r="J29"/>
  <c r="I29"/>
  <c r="F29"/>
  <c r="E29"/>
  <c r="J28"/>
  <c r="I28"/>
  <c r="G28"/>
  <c r="F28"/>
  <c r="E28"/>
  <c r="J27"/>
  <c r="I27"/>
  <c r="G27"/>
  <c r="F27"/>
  <c r="E27"/>
  <c r="D27" s="1"/>
  <c r="J26"/>
  <c r="I26"/>
  <c r="G26"/>
  <c r="F26"/>
  <c r="E26"/>
  <c r="J25"/>
  <c r="I25"/>
  <c r="G25"/>
  <c r="F25"/>
  <c r="E25"/>
  <c r="J24"/>
  <c r="I24"/>
  <c r="G24"/>
  <c r="F24"/>
  <c r="E24"/>
  <c r="O22"/>
  <c r="N22"/>
  <c r="M22"/>
  <c r="L22"/>
  <c r="K22" s="1"/>
  <c r="O21"/>
  <c r="N21"/>
  <c r="M21"/>
  <c r="L21"/>
  <c r="K21" s="1"/>
  <c r="O20"/>
  <c r="N20"/>
  <c r="M20"/>
  <c r="L20"/>
  <c r="K20" s="1"/>
  <c r="O19"/>
  <c r="N19"/>
  <c r="M19"/>
  <c r="L19"/>
  <c r="K19" s="1"/>
  <c r="O18"/>
  <c r="N18"/>
  <c r="M18"/>
  <c r="L18"/>
  <c r="K18" s="1"/>
  <c r="J22"/>
  <c r="I22"/>
  <c r="G22"/>
  <c r="F22"/>
  <c r="E22"/>
  <c r="J21"/>
  <c r="I21"/>
  <c r="G21"/>
  <c r="F21"/>
  <c r="E21"/>
  <c r="J20"/>
  <c r="I20"/>
  <c r="F20"/>
  <c r="E20"/>
  <c r="J19"/>
  <c r="I19"/>
  <c r="G19"/>
  <c r="F19"/>
  <c r="E19"/>
  <c r="J18"/>
  <c r="I18"/>
  <c r="G18"/>
  <c r="F18"/>
  <c r="E18"/>
  <c r="O16"/>
  <c r="N16"/>
  <c r="M16"/>
  <c r="L16"/>
  <c r="K16" s="1"/>
  <c r="O15"/>
  <c r="N15"/>
  <c r="M15"/>
  <c r="L15"/>
  <c r="K15" s="1"/>
  <c r="O14"/>
  <c r="N14"/>
  <c r="M14"/>
  <c r="L14"/>
  <c r="K14" s="1"/>
  <c r="O13"/>
  <c r="N13"/>
  <c r="M13"/>
  <c r="L13"/>
  <c r="K13" s="1"/>
  <c r="O12"/>
  <c r="N12"/>
  <c r="M12"/>
  <c r="L12"/>
  <c r="K12" s="1"/>
  <c r="O11"/>
  <c r="O10" s="1"/>
  <c r="N11"/>
  <c r="M11"/>
  <c r="L11"/>
  <c r="K11" s="1"/>
  <c r="J16"/>
  <c r="I16"/>
  <c r="G16"/>
  <c r="F16"/>
  <c r="E16"/>
  <c r="J15"/>
  <c r="I15"/>
  <c r="G15"/>
  <c r="F15"/>
  <c r="E15"/>
  <c r="J14"/>
  <c r="I14"/>
  <c r="G14"/>
  <c r="F14"/>
  <c r="E14"/>
  <c r="J13"/>
  <c r="I13"/>
  <c r="G13"/>
  <c r="F13"/>
  <c r="E13"/>
  <c r="J12"/>
  <c r="I12"/>
  <c r="G12"/>
  <c r="F12"/>
  <c r="E12"/>
  <c r="J11"/>
  <c r="G11"/>
  <c r="F11"/>
  <c r="E11"/>
  <c r="O132" i="28"/>
  <c r="N132"/>
  <c r="M132"/>
  <c r="L132"/>
  <c r="J132"/>
  <c r="I132"/>
  <c r="H132"/>
  <c r="G132"/>
  <c r="F132"/>
  <c r="E132"/>
  <c r="O131"/>
  <c r="N131"/>
  <c r="N130" s="1"/>
  <c r="M131"/>
  <c r="L131"/>
  <c r="J131"/>
  <c r="I131"/>
  <c r="H131"/>
  <c r="H130" s="1"/>
  <c r="G131"/>
  <c r="F131"/>
  <c r="F130" s="1"/>
  <c r="E131"/>
  <c r="O129"/>
  <c r="N129"/>
  <c r="M129"/>
  <c r="L129"/>
  <c r="J129"/>
  <c r="I129"/>
  <c r="H129"/>
  <c r="H128" s="1"/>
  <c r="G129"/>
  <c r="F129"/>
  <c r="F128" s="1"/>
  <c r="E129"/>
  <c r="E128" s="1"/>
  <c r="O127"/>
  <c r="N127"/>
  <c r="M127"/>
  <c r="L127"/>
  <c r="J127"/>
  <c r="I127"/>
  <c r="H127"/>
  <c r="G127"/>
  <c r="F127"/>
  <c r="E127"/>
  <c r="O126"/>
  <c r="N126"/>
  <c r="M126"/>
  <c r="L126"/>
  <c r="J126"/>
  <c r="I126"/>
  <c r="H126"/>
  <c r="G126"/>
  <c r="F126"/>
  <c r="E126"/>
  <c r="O125"/>
  <c r="N125"/>
  <c r="M125"/>
  <c r="L125"/>
  <c r="J125"/>
  <c r="I125"/>
  <c r="H125"/>
  <c r="G125"/>
  <c r="F125"/>
  <c r="E125"/>
  <c r="O124"/>
  <c r="N124"/>
  <c r="M124"/>
  <c r="L124"/>
  <c r="J124"/>
  <c r="I124"/>
  <c r="H124"/>
  <c r="G124"/>
  <c r="F124"/>
  <c r="E124"/>
  <c r="O113"/>
  <c r="N113"/>
  <c r="M113"/>
  <c r="L113"/>
  <c r="J113"/>
  <c r="I113"/>
  <c r="H113"/>
  <c r="G113"/>
  <c r="F113"/>
  <c r="E113"/>
  <c r="O112"/>
  <c r="N112"/>
  <c r="M112"/>
  <c r="L112"/>
  <c r="J112"/>
  <c r="I112"/>
  <c r="H112"/>
  <c r="G112"/>
  <c r="F112"/>
  <c r="E112"/>
  <c r="O111"/>
  <c r="N111"/>
  <c r="M111"/>
  <c r="L111"/>
  <c r="J111"/>
  <c r="I111"/>
  <c r="H111"/>
  <c r="G111"/>
  <c r="F111"/>
  <c r="E111"/>
  <c r="O110"/>
  <c r="N110"/>
  <c r="M110"/>
  <c r="L110"/>
  <c r="J110"/>
  <c r="I110"/>
  <c r="H110"/>
  <c r="G110"/>
  <c r="F110"/>
  <c r="E110"/>
  <c r="O109"/>
  <c r="N109"/>
  <c r="M109"/>
  <c r="L109"/>
  <c r="J109"/>
  <c r="I109"/>
  <c r="H109"/>
  <c r="G109"/>
  <c r="F109"/>
  <c r="E109"/>
  <c r="O108"/>
  <c r="N108"/>
  <c r="M108"/>
  <c r="L108"/>
  <c r="J108"/>
  <c r="I108"/>
  <c r="H108"/>
  <c r="G108"/>
  <c r="F108"/>
  <c r="E108"/>
  <c r="O107"/>
  <c r="N107"/>
  <c r="M107"/>
  <c r="L107"/>
  <c r="J107"/>
  <c r="I107"/>
  <c r="H107"/>
  <c r="G107"/>
  <c r="F107"/>
  <c r="E107"/>
  <c r="O105"/>
  <c r="N105"/>
  <c r="M105"/>
  <c r="L105"/>
  <c r="J105"/>
  <c r="I105"/>
  <c r="H105"/>
  <c r="G105"/>
  <c r="F105"/>
  <c r="E105"/>
  <c r="O104"/>
  <c r="N104"/>
  <c r="M104"/>
  <c r="L104"/>
  <c r="J104"/>
  <c r="I104"/>
  <c r="H104"/>
  <c r="G104"/>
  <c r="F104"/>
  <c r="E104"/>
  <c r="O103"/>
  <c r="N103"/>
  <c r="M103"/>
  <c r="L103"/>
  <c r="J103"/>
  <c r="I103"/>
  <c r="H103"/>
  <c r="G103"/>
  <c r="F103"/>
  <c r="E103"/>
  <c r="O102"/>
  <c r="N102"/>
  <c r="M102"/>
  <c r="L102"/>
  <c r="J102"/>
  <c r="I102"/>
  <c r="H102"/>
  <c r="G102"/>
  <c r="F102"/>
  <c r="E102"/>
  <c r="O101"/>
  <c r="N101"/>
  <c r="M101"/>
  <c r="L101"/>
  <c r="J101"/>
  <c r="I101"/>
  <c r="H101"/>
  <c r="G101"/>
  <c r="F101"/>
  <c r="E101"/>
  <c r="O99"/>
  <c r="N99"/>
  <c r="M99"/>
  <c r="L99"/>
  <c r="J99"/>
  <c r="I99"/>
  <c r="H99"/>
  <c r="G99"/>
  <c r="F99"/>
  <c r="E99"/>
  <c r="O98"/>
  <c r="N98"/>
  <c r="M98"/>
  <c r="L98"/>
  <c r="K98" s="1"/>
  <c r="J98"/>
  <c r="I98"/>
  <c r="H98"/>
  <c r="G98"/>
  <c r="F98"/>
  <c r="E98"/>
  <c r="O97"/>
  <c r="N97"/>
  <c r="M97"/>
  <c r="L97"/>
  <c r="K97" s="1"/>
  <c r="J97"/>
  <c r="I97"/>
  <c r="H97"/>
  <c r="G97"/>
  <c r="F97"/>
  <c r="E97"/>
  <c r="O86"/>
  <c r="N86"/>
  <c r="M86"/>
  <c r="L86"/>
  <c r="J86"/>
  <c r="I86"/>
  <c r="H86"/>
  <c r="G86"/>
  <c r="F86"/>
  <c r="E86"/>
  <c r="O85"/>
  <c r="N85"/>
  <c r="M85"/>
  <c r="L85"/>
  <c r="J85"/>
  <c r="I85"/>
  <c r="H85"/>
  <c r="G85"/>
  <c r="F85"/>
  <c r="E85"/>
  <c r="O84"/>
  <c r="N84"/>
  <c r="M84"/>
  <c r="L84"/>
  <c r="J84"/>
  <c r="I84"/>
  <c r="H84"/>
  <c r="G84"/>
  <c r="F84"/>
  <c r="E84"/>
  <c r="O83"/>
  <c r="N83"/>
  <c r="M83"/>
  <c r="L83"/>
  <c r="J83"/>
  <c r="I83"/>
  <c r="I82" s="1"/>
  <c r="H83"/>
  <c r="H82" s="1"/>
  <c r="G83"/>
  <c r="F83"/>
  <c r="E83"/>
  <c r="O81"/>
  <c r="N81"/>
  <c r="M81"/>
  <c r="L81"/>
  <c r="J81"/>
  <c r="I81"/>
  <c r="H81"/>
  <c r="G81"/>
  <c r="F81"/>
  <c r="E81"/>
  <c r="O80"/>
  <c r="N80"/>
  <c r="M80"/>
  <c r="L80"/>
  <c r="J80"/>
  <c r="I80"/>
  <c r="H80"/>
  <c r="G80"/>
  <c r="F80"/>
  <c r="E80"/>
  <c r="L79"/>
  <c r="O79"/>
  <c r="N79"/>
  <c r="M79"/>
  <c r="J79"/>
  <c r="I79"/>
  <c r="H79"/>
  <c r="G79"/>
  <c r="F79"/>
  <c r="E79"/>
  <c r="O78"/>
  <c r="N78"/>
  <c r="M78"/>
  <c r="L78"/>
  <c r="J78"/>
  <c r="I78"/>
  <c r="H78"/>
  <c r="G78"/>
  <c r="F78"/>
  <c r="E78"/>
  <c r="O77"/>
  <c r="N77"/>
  <c r="M77"/>
  <c r="L77"/>
  <c r="J77"/>
  <c r="I77"/>
  <c r="H77"/>
  <c r="G77"/>
  <c r="F77"/>
  <c r="E77"/>
  <c r="O76"/>
  <c r="N76"/>
  <c r="M76"/>
  <c r="L76"/>
  <c r="J76"/>
  <c r="I76"/>
  <c r="H76"/>
  <c r="G76"/>
  <c r="F76"/>
  <c r="E76"/>
  <c r="O75"/>
  <c r="N75"/>
  <c r="M75"/>
  <c r="L75"/>
  <c r="J75"/>
  <c r="I75"/>
  <c r="H75"/>
  <c r="G75"/>
  <c r="F75"/>
  <c r="E75"/>
  <c r="O74"/>
  <c r="N74"/>
  <c r="M74"/>
  <c r="L74"/>
  <c r="J74"/>
  <c r="I74"/>
  <c r="H74"/>
  <c r="G74"/>
  <c r="F74"/>
  <c r="E74"/>
  <c r="O72"/>
  <c r="N72"/>
  <c r="M72"/>
  <c r="L72"/>
  <c r="J72"/>
  <c r="I72"/>
  <c r="H72"/>
  <c r="G72"/>
  <c r="F72"/>
  <c r="E72"/>
  <c r="O71"/>
  <c r="N71"/>
  <c r="M71"/>
  <c r="L71"/>
  <c r="J71"/>
  <c r="I71"/>
  <c r="H71"/>
  <c r="G71"/>
  <c r="F71"/>
  <c r="E71"/>
  <c r="O70"/>
  <c r="N70"/>
  <c r="M70"/>
  <c r="L70"/>
  <c r="J70"/>
  <c r="I70"/>
  <c r="H70"/>
  <c r="G70"/>
  <c r="F70"/>
  <c r="E70"/>
  <c r="O69"/>
  <c r="N69"/>
  <c r="M69"/>
  <c r="L69"/>
  <c r="J69"/>
  <c r="I69"/>
  <c r="H69"/>
  <c r="G69"/>
  <c r="F69"/>
  <c r="E69"/>
  <c r="O68"/>
  <c r="J68"/>
  <c r="G68"/>
  <c r="F68"/>
  <c r="N68"/>
  <c r="M68"/>
  <c r="I68"/>
  <c r="H68"/>
  <c r="E68"/>
  <c r="O67"/>
  <c r="N67"/>
  <c r="M67"/>
  <c r="L67"/>
  <c r="J67"/>
  <c r="I67"/>
  <c r="H67"/>
  <c r="H51" s="1"/>
  <c r="G67"/>
  <c r="F67"/>
  <c r="E67"/>
  <c r="O57"/>
  <c r="N57"/>
  <c r="M57"/>
  <c r="L57"/>
  <c r="J57"/>
  <c r="I57"/>
  <c r="G57"/>
  <c r="F57"/>
  <c r="E57"/>
  <c r="O56"/>
  <c r="N56"/>
  <c r="M56"/>
  <c r="L56"/>
  <c r="J56"/>
  <c r="I56"/>
  <c r="G56"/>
  <c r="F56"/>
  <c r="E56"/>
  <c r="O55"/>
  <c r="N55"/>
  <c r="N54"/>
  <c r="M55"/>
  <c r="L55"/>
  <c r="J55"/>
  <c r="I55"/>
  <c r="G55"/>
  <c r="F55"/>
  <c r="E55"/>
  <c r="O54"/>
  <c r="M54"/>
  <c r="L54"/>
  <c r="J54"/>
  <c r="I54"/>
  <c r="G54"/>
  <c r="F54"/>
  <c r="E54"/>
  <c r="O53"/>
  <c r="N53"/>
  <c r="M53"/>
  <c r="L53"/>
  <c r="J53"/>
  <c r="I53"/>
  <c r="G53"/>
  <c r="F53"/>
  <c r="E53"/>
  <c r="O52"/>
  <c r="N52"/>
  <c r="M52"/>
  <c r="L52"/>
  <c r="J52"/>
  <c r="I52"/>
  <c r="G52"/>
  <c r="F52"/>
  <c r="E52"/>
  <c r="O50"/>
  <c r="N50"/>
  <c r="M50"/>
  <c r="L50"/>
  <c r="J50"/>
  <c r="I50"/>
  <c r="G50"/>
  <c r="F50"/>
  <c r="E50"/>
  <c r="O49"/>
  <c r="N49"/>
  <c r="M49"/>
  <c r="L49"/>
  <c r="J49"/>
  <c r="I49"/>
  <c r="G49"/>
  <c r="F49"/>
  <c r="E49"/>
  <c r="O48"/>
  <c r="N48"/>
  <c r="M48"/>
  <c r="L48"/>
  <c r="J48"/>
  <c r="I48"/>
  <c r="G48"/>
  <c r="F48"/>
  <c r="E48"/>
  <c r="O47"/>
  <c r="N47"/>
  <c r="M47"/>
  <c r="L47"/>
  <c r="J47"/>
  <c r="I47"/>
  <c r="G47"/>
  <c r="F47"/>
  <c r="E47"/>
  <c r="O46"/>
  <c r="N46"/>
  <c r="M46"/>
  <c r="L46"/>
  <c r="J46"/>
  <c r="I46"/>
  <c r="G46"/>
  <c r="F46"/>
  <c r="E46"/>
  <c r="O44"/>
  <c r="N44"/>
  <c r="M44"/>
  <c r="L44"/>
  <c r="J44"/>
  <c r="I44"/>
  <c r="G44"/>
  <c r="F44"/>
  <c r="E44"/>
  <c r="O43"/>
  <c r="N43"/>
  <c r="M43"/>
  <c r="L43"/>
  <c r="J43"/>
  <c r="I43"/>
  <c r="G43"/>
  <c r="F43"/>
  <c r="E43"/>
  <c r="O42"/>
  <c r="N42"/>
  <c r="M42"/>
  <c r="L42"/>
  <c r="J42"/>
  <c r="I42"/>
  <c r="G42"/>
  <c r="F42"/>
  <c r="E42"/>
  <c r="O41"/>
  <c r="N41"/>
  <c r="M41"/>
  <c r="L41"/>
  <c r="J41"/>
  <c r="I41"/>
  <c r="G41"/>
  <c r="F41"/>
  <c r="E41"/>
  <c r="O40"/>
  <c r="N40"/>
  <c r="M40"/>
  <c r="L40"/>
  <c r="J40"/>
  <c r="I40"/>
  <c r="G40"/>
  <c r="F40"/>
  <c r="E40"/>
  <c r="O39"/>
  <c r="N39"/>
  <c r="M39"/>
  <c r="L39"/>
  <c r="J39"/>
  <c r="I39"/>
  <c r="G39"/>
  <c r="F39"/>
  <c r="E39"/>
  <c r="O27"/>
  <c r="N27"/>
  <c r="M27"/>
  <c r="L27"/>
  <c r="J27"/>
  <c r="I27"/>
  <c r="G27"/>
  <c r="F27"/>
  <c r="E27"/>
  <c r="N26"/>
  <c r="M26"/>
  <c r="L26"/>
  <c r="J26"/>
  <c r="I26"/>
  <c r="G26"/>
  <c r="F26"/>
  <c r="E26"/>
  <c r="O25"/>
  <c r="N25"/>
  <c r="M25"/>
  <c r="L25"/>
  <c r="J25"/>
  <c r="I25"/>
  <c r="G25"/>
  <c r="F25"/>
  <c r="E25"/>
  <c r="O24"/>
  <c r="N24"/>
  <c r="M24"/>
  <c r="L24"/>
  <c r="J24"/>
  <c r="I24"/>
  <c r="G24"/>
  <c r="F24"/>
  <c r="E24"/>
  <c r="O23"/>
  <c r="N23"/>
  <c r="M23"/>
  <c r="L23"/>
  <c r="J23"/>
  <c r="I23"/>
  <c r="G23"/>
  <c r="F23"/>
  <c r="E23"/>
  <c r="O22"/>
  <c r="N22"/>
  <c r="M22"/>
  <c r="L22"/>
  <c r="J22"/>
  <c r="I22"/>
  <c r="G22"/>
  <c r="F22"/>
  <c r="E22"/>
  <c r="O20"/>
  <c r="N20"/>
  <c r="M20"/>
  <c r="L20"/>
  <c r="J20"/>
  <c r="I20"/>
  <c r="G20"/>
  <c r="F20"/>
  <c r="E20"/>
  <c r="O19"/>
  <c r="N19"/>
  <c r="M19"/>
  <c r="L19"/>
  <c r="J19"/>
  <c r="I19"/>
  <c r="G19"/>
  <c r="F19"/>
  <c r="E19"/>
  <c r="O18"/>
  <c r="N18"/>
  <c r="M18"/>
  <c r="L18"/>
  <c r="J18"/>
  <c r="I18"/>
  <c r="G18"/>
  <c r="F18"/>
  <c r="E18"/>
  <c r="O17"/>
  <c r="N17"/>
  <c r="M17"/>
  <c r="L17"/>
  <c r="J17"/>
  <c r="I17"/>
  <c r="G17"/>
  <c r="F17"/>
  <c r="E17"/>
  <c r="O16"/>
  <c r="N16"/>
  <c r="M16"/>
  <c r="L16"/>
  <c r="J16"/>
  <c r="I16"/>
  <c r="G16"/>
  <c r="F16"/>
  <c r="E16"/>
  <c r="O15"/>
  <c r="N15"/>
  <c r="M15"/>
  <c r="L15"/>
  <c r="J15"/>
  <c r="I15"/>
  <c r="G15"/>
  <c r="F15"/>
  <c r="E15"/>
  <c r="O14"/>
  <c r="N14"/>
  <c r="M14"/>
  <c r="L14"/>
  <c r="J14"/>
  <c r="I14"/>
  <c r="G14"/>
  <c r="F14"/>
  <c r="E14"/>
  <c r="O13"/>
  <c r="N13"/>
  <c r="M13"/>
  <c r="L13"/>
  <c r="J13"/>
  <c r="I13"/>
  <c r="G13"/>
  <c r="F13"/>
  <c r="E13"/>
  <c r="O12"/>
  <c r="N12"/>
  <c r="M12"/>
  <c r="L12"/>
  <c r="K12" s="1"/>
  <c r="J12"/>
  <c r="I12"/>
  <c r="G12"/>
  <c r="F12"/>
  <c r="E12"/>
  <c r="F17" i="45"/>
  <c r="N15"/>
  <c r="M15"/>
  <c r="F15"/>
  <c r="E15"/>
  <c r="L15"/>
  <c r="K15" s="1"/>
  <c r="I15"/>
  <c r="D12"/>
  <c r="M10"/>
  <c r="M20" i="44"/>
  <c r="D22"/>
  <c r="O20"/>
  <c r="D18"/>
  <c r="I14"/>
  <c r="L14"/>
  <c r="E14"/>
  <c r="J10"/>
  <c r="M10"/>
  <c r="L10"/>
  <c r="E10"/>
  <c r="L25" i="43"/>
  <c r="M16"/>
  <c r="J16"/>
  <c r="F17" i="42"/>
  <c r="E17"/>
  <c r="N10"/>
  <c r="I10"/>
  <c r="O128" i="28"/>
  <c r="N128"/>
  <c r="M128"/>
  <c r="J128"/>
  <c r="I128"/>
  <c r="G128"/>
  <c r="J130"/>
  <c r="I130"/>
  <c r="M25" i="43"/>
  <c r="L10" i="45"/>
  <c r="J100" i="28" l="1"/>
  <c r="O100"/>
  <c r="M130"/>
  <c r="D25" i="42"/>
  <c r="I23"/>
  <c r="D21" i="43"/>
  <c r="K19"/>
  <c r="J25"/>
  <c r="K28"/>
  <c r="K29"/>
  <c r="D24" i="44"/>
  <c r="I17" i="45"/>
  <c r="E96" i="28"/>
  <c r="N100"/>
  <c r="E10" i="42"/>
  <c r="D13" i="43"/>
  <c r="K17"/>
  <c r="K20"/>
  <c r="K21"/>
  <c r="K23"/>
  <c r="K24"/>
  <c r="K26"/>
  <c r="D23" i="44"/>
  <c r="N20"/>
  <c r="D11" i="45"/>
  <c r="I10"/>
  <c r="K132" i="28"/>
  <c r="K131"/>
  <c r="L130"/>
  <c r="K129"/>
  <c r="L128"/>
  <c r="K128" s="1"/>
  <c r="K127"/>
  <c r="D127"/>
  <c r="F123"/>
  <c r="O123"/>
  <c r="K126"/>
  <c r="G123"/>
  <c r="D126"/>
  <c r="K125"/>
  <c r="D125"/>
  <c r="K124"/>
  <c r="K113"/>
  <c r="D113"/>
  <c r="K112"/>
  <c r="K111"/>
  <c r="K110"/>
  <c r="J106"/>
  <c r="O106"/>
  <c r="K109"/>
  <c r="K108"/>
  <c r="K107"/>
  <c r="L106"/>
  <c r="D107"/>
  <c r="K105"/>
  <c r="K104"/>
  <c r="M100"/>
  <c r="I100"/>
  <c r="K103"/>
  <c r="K102"/>
  <c r="G100"/>
  <c r="D102"/>
  <c r="F100"/>
  <c r="E100"/>
  <c r="K99"/>
  <c r="F96"/>
  <c r="O96"/>
  <c r="N96"/>
  <c r="M96"/>
  <c r="L96"/>
  <c r="H96"/>
  <c r="G96"/>
  <c r="K86"/>
  <c r="D86"/>
  <c r="K85"/>
  <c r="J82"/>
  <c r="G82"/>
  <c r="K84"/>
  <c r="L82"/>
  <c r="D84"/>
  <c r="K83"/>
  <c r="D83"/>
  <c r="K81"/>
  <c r="D81"/>
  <c r="K80"/>
  <c r="K79"/>
  <c r="H73"/>
  <c r="D79"/>
  <c r="K78"/>
  <c r="J73"/>
  <c r="G73"/>
  <c r="D78"/>
  <c r="F73"/>
  <c r="K77"/>
  <c r="D77"/>
  <c r="K76"/>
  <c r="K75"/>
  <c r="K74"/>
  <c r="K72"/>
  <c r="D72"/>
  <c r="K71"/>
  <c r="K70"/>
  <c r="D70"/>
  <c r="K69"/>
  <c r="L68"/>
  <c r="K68" s="1"/>
  <c r="K67"/>
  <c r="K57"/>
  <c r="K56"/>
  <c r="D56"/>
  <c r="I51"/>
  <c r="N51"/>
  <c r="K55"/>
  <c r="M51"/>
  <c r="D55"/>
  <c r="K54"/>
  <c r="J51"/>
  <c r="K53"/>
  <c r="K52"/>
  <c r="L51"/>
  <c r="K50"/>
  <c r="D50"/>
  <c r="O45"/>
  <c r="K49"/>
  <c r="D49"/>
  <c r="K48"/>
  <c r="N45"/>
  <c r="J45"/>
  <c r="D48"/>
  <c r="F45"/>
  <c r="K47"/>
  <c r="K46"/>
  <c r="L45"/>
  <c r="K44"/>
  <c r="I38"/>
  <c r="K43"/>
  <c r="K42"/>
  <c r="G38"/>
  <c r="D42"/>
  <c r="K41"/>
  <c r="E38"/>
  <c r="K40"/>
  <c r="L38"/>
  <c r="D40"/>
  <c r="K39"/>
  <c r="K27"/>
  <c r="K26"/>
  <c r="K25"/>
  <c r="O21"/>
  <c r="K24"/>
  <c r="M21"/>
  <c r="L21"/>
  <c r="D24"/>
  <c r="K23"/>
  <c r="D23"/>
  <c r="K22"/>
  <c r="K20"/>
  <c r="K19"/>
  <c r="K18"/>
  <c r="O11"/>
  <c r="K17"/>
  <c r="M11"/>
  <c r="E11"/>
  <c r="K16"/>
  <c r="D16"/>
  <c r="K15"/>
  <c r="K14"/>
  <c r="K13"/>
  <c r="H11"/>
  <c r="D74"/>
  <c r="D52"/>
  <c r="J17" i="42"/>
  <c r="D46" i="28"/>
  <c r="E82"/>
  <c r="D68"/>
  <c r="D110"/>
  <c r="D11" i="42"/>
  <c r="G10"/>
  <c r="D21"/>
  <c r="D24"/>
  <c r="G23"/>
  <c r="G10" i="44"/>
  <c r="E20"/>
  <c r="D27"/>
  <c r="J11" i="28"/>
  <c r="D18"/>
  <c r="I11"/>
  <c r="D19"/>
  <c r="D14"/>
  <c r="G11"/>
  <c r="D25"/>
  <c r="D44"/>
  <c r="E51"/>
  <c r="D67"/>
  <c r="D76"/>
  <c r="D85"/>
  <c r="D104"/>
  <c r="D109"/>
  <c r="D131"/>
  <c r="G130"/>
  <c r="D128"/>
  <c r="D13" i="42"/>
  <c r="M10"/>
  <c r="D14"/>
  <c r="D16"/>
  <c r="M17"/>
  <c r="D10" i="43"/>
  <c r="D11"/>
  <c r="D12"/>
  <c r="D14"/>
  <c r="E16"/>
  <c r="D18"/>
  <c r="I16"/>
  <c r="N16"/>
  <c r="L16"/>
  <c r="D20"/>
  <c r="D23"/>
  <c r="O10" i="44"/>
  <c r="G14"/>
  <c r="J14"/>
  <c r="M14"/>
  <c r="K14" s="1"/>
  <c r="D19"/>
  <c r="J10" i="45"/>
  <c r="D13"/>
  <c r="O10"/>
  <c r="M17"/>
  <c r="J17"/>
  <c r="D69" i="28"/>
  <c r="D27"/>
  <c r="N38"/>
  <c r="O17" i="42"/>
  <c r="F20" i="44"/>
  <c r="D28" i="43"/>
  <c r="D15" i="28"/>
  <c r="E45"/>
  <c r="E123"/>
  <c r="J10" i="42"/>
  <c r="D20"/>
  <c r="N17"/>
  <c r="D22"/>
  <c r="E23"/>
  <c r="N23"/>
  <c r="L23"/>
  <c r="D28"/>
  <c r="K10" i="44"/>
  <c r="D12"/>
  <c r="D15"/>
  <c r="D25"/>
  <c r="L20"/>
  <c r="K20" s="1"/>
  <c r="G17" i="45"/>
  <c r="D54" i="28"/>
  <c r="D124"/>
  <c r="H123"/>
  <c r="I123"/>
  <c r="J123"/>
  <c r="F106"/>
  <c r="D111"/>
  <c r="D112"/>
  <c r="H106"/>
  <c r="I106"/>
  <c r="D103"/>
  <c r="H100"/>
  <c r="D98"/>
  <c r="D99"/>
  <c r="I96"/>
  <c r="J96"/>
  <c r="F82"/>
  <c r="D80"/>
  <c r="D75"/>
  <c r="D57"/>
  <c r="G51"/>
  <c r="D71"/>
  <c r="D47"/>
  <c r="G45"/>
  <c r="I45"/>
  <c r="D43"/>
  <c r="J38"/>
  <c r="F21"/>
  <c r="G21"/>
  <c r="J21"/>
  <c r="D13"/>
  <c r="L11"/>
  <c r="L73"/>
  <c r="L123"/>
  <c r="N11"/>
  <c r="N21"/>
  <c r="M45"/>
  <c r="M38"/>
  <c r="O51"/>
  <c r="M73"/>
  <c r="O73"/>
  <c r="N73"/>
  <c r="M82"/>
  <c r="O82"/>
  <c r="N82"/>
  <c r="M106"/>
  <c r="N106"/>
  <c r="M123"/>
  <c r="N123"/>
  <c r="L10" i="42"/>
  <c r="D15"/>
  <c r="D18"/>
  <c r="L17"/>
  <c r="I17"/>
  <c r="D29"/>
  <c r="D15" i="43"/>
  <c r="G16"/>
  <c r="O16"/>
  <c r="F16"/>
  <c r="E25"/>
  <c r="I25"/>
  <c r="N25"/>
  <c r="K25" s="1"/>
  <c r="D17" i="44"/>
  <c r="E10" i="45"/>
  <c r="N10"/>
  <c r="G10"/>
  <c r="L17"/>
  <c r="K17" s="1"/>
  <c r="N17"/>
  <c r="E17"/>
  <c r="D18"/>
  <c r="D108" i="28"/>
  <c r="G106"/>
  <c r="D53"/>
  <c r="F51"/>
  <c r="F38"/>
  <c r="D39"/>
  <c r="F25" i="43"/>
  <c r="D26"/>
  <c r="D129" i="28"/>
  <c r="D26" i="42"/>
  <c r="I73" i="28"/>
  <c r="I21"/>
  <c r="O38"/>
  <c r="D12" i="42"/>
  <c r="D19"/>
  <c r="O23"/>
  <c r="D26" i="44"/>
  <c r="F10" i="45"/>
  <c r="D10" s="1"/>
  <c r="D16"/>
  <c r="D19"/>
  <c r="G20" i="44"/>
  <c r="D20" s="1"/>
  <c r="D21"/>
  <c r="F11" i="28"/>
  <c r="D12"/>
  <c r="D22"/>
  <c r="E21"/>
  <c r="D132"/>
  <c r="E130"/>
  <c r="D11" i="44"/>
  <c r="F14"/>
  <c r="D14" s="1"/>
  <c r="D16"/>
  <c r="D97" i="28"/>
  <c r="D20"/>
  <c r="D17"/>
  <c r="D26"/>
  <c r="D41"/>
  <c r="D101"/>
  <c r="D105"/>
  <c r="O130"/>
  <c r="M23" i="42"/>
  <c r="K23" s="1"/>
  <c r="F23"/>
  <c r="J23"/>
  <c r="D27" i="43"/>
  <c r="G17" i="42"/>
  <c r="F10"/>
  <c r="D10" s="1"/>
  <c r="G15" i="45"/>
  <c r="D15" s="1"/>
  <c r="E106" i="28"/>
  <c r="E73"/>
  <c r="D19" i="43"/>
  <c r="D17" i="45" l="1"/>
  <c r="K10"/>
  <c r="D10" i="44"/>
  <c r="D25" i="43"/>
  <c r="D23" i="42"/>
  <c r="K17"/>
  <c r="D17"/>
  <c r="K130" i="28"/>
  <c r="K106"/>
  <c r="D100"/>
  <c r="K96"/>
  <c r="D96"/>
  <c r="D123"/>
  <c r="D106"/>
  <c r="K82"/>
  <c r="D82"/>
  <c r="K51"/>
  <c r="D51"/>
  <c r="D45"/>
  <c r="K45"/>
  <c r="D38"/>
  <c r="K38"/>
  <c r="K21"/>
  <c r="J10"/>
  <c r="G10"/>
  <c r="M10"/>
  <c r="H10"/>
  <c r="K11"/>
  <c r="I10"/>
  <c r="K73"/>
  <c r="D16" i="43"/>
  <c r="K123" i="28"/>
  <c r="K16" i="43"/>
  <c r="D73" i="28"/>
  <c r="D130"/>
  <c r="K10" i="42"/>
  <c r="N10" i="28"/>
  <c r="F10"/>
  <c r="D11"/>
  <c r="D21"/>
  <c r="O10"/>
  <c r="E10"/>
  <c r="D10" l="1"/>
  <c r="D9"/>
  <c r="K101" l="1"/>
  <c r="L100"/>
  <c r="L10" s="1"/>
  <c r="K100" l="1"/>
  <c r="K10" s="1"/>
  <c r="K9"/>
</calcChain>
</file>

<file path=xl/sharedStrings.xml><?xml version="1.0" encoding="utf-8"?>
<sst xmlns="http://schemas.openxmlformats.org/spreadsheetml/2006/main" count="703" uniqueCount="212">
  <si>
    <t>Total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</si>
  <si>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</si>
  <si>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</si>
  <si>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</si>
  <si>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</si>
  <si>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</si>
  <si>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</si>
  <si>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</si>
  <si>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</si>
  <si>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</si>
  <si>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รายจ่าย</t>
  </si>
  <si>
    <t>Expenditure</t>
  </si>
  <si>
    <t>รายจ่ายประจำ</t>
  </si>
  <si>
    <t>Permanent</t>
  </si>
  <si>
    <t>Central</t>
  </si>
  <si>
    <t>expenditure</t>
  </si>
  <si>
    <t>Taxes and</t>
  </si>
  <si>
    <t>ค่าธรรมเนียม</t>
  </si>
  <si>
    <t>ค่าปรับ</t>
  </si>
  <si>
    <t>Public</t>
  </si>
  <si>
    <t>utilities</t>
  </si>
  <si>
    <t>เบ็ดเตล็ด</t>
  </si>
  <si>
    <t>duties</t>
  </si>
  <si>
    <t>investment</t>
  </si>
  <si>
    <t>Fees and fine</t>
  </si>
  <si>
    <t>Administration</t>
  </si>
  <si>
    <t>เพื่อการลงทุน</t>
  </si>
  <si>
    <t>งบกลาง</t>
  </si>
  <si>
    <t>องค์การบริหาร</t>
  </si>
  <si>
    <t>ส่วนตำบล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</si>
  <si>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</si>
  <si>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</si>
  <si>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</si>
  <si>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</si>
  <si>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</si>
  <si>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</si>
  <si>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</si>
  <si>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</si>
  <si>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</si>
  <si>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</si>
  <si>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</si>
  <si>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</si>
  <si>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</si>
  <si>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 xml:space="preserve">ตาราง       </t>
  </si>
  <si>
    <t>TABLE</t>
  </si>
  <si>
    <t>รายได้</t>
  </si>
  <si>
    <t>Expenditure of</t>
  </si>
  <si>
    <t>Mueang Kanchanaburi</t>
  </si>
  <si>
    <t>ACTUAL REVENUE AND EXPENDITURE OF SUBDISTRICT ADMINISTRATIVE ORGANIZATION BY TYPE, DISTRICT AND SUBDISTRICT ADMINSTRATION ORGANIZATION:</t>
  </si>
  <si>
    <t>อำเภอ/</t>
  </si>
  <si>
    <t>District/Subdistrict</t>
  </si>
  <si>
    <t>แก่งเสี้ยน</t>
  </si>
  <si>
    <t>หนองบัว</t>
  </si>
  <si>
    <t>ลาดหญ้า</t>
  </si>
  <si>
    <t>วังด้ง</t>
  </si>
  <si>
    <t>ช่องสะเดา</t>
  </si>
  <si>
    <t>หนองหญ้า</t>
  </si>
  <si>
    <t>เกาะสำโรง</t>
  </si>
  <si>
    <t>บ้านเก่า</t>
  </si>
  <si>
    <t>วังเย็น</t>
  </si>
  <si>
    <t xml:space="preserve">Sai Yok                        </t>
  </si>
  <si>
    <t>ลุ่มสุ่ม</t>
  </si>
  <si>
    <t>ท่าเสา</t>
  </si>
  <si>
    <t>สิงห์</t>
  </si>
  <si>
    <t>วังกระแจะ</t>
  </si>
  <si>
    <t>ศรีมงคล</t>
  </si>
  <si>
    <t xml:space="preserve">Si Mongkhon                        </t>
  </si>
  <si>
    <t>บ้องตี้</t>
  </si>
  <si>
    <t xml:space="preserve">Bong Ti                           </t>
  </si>
  <si>
    <t xml:space="preserve">Bo Phloi                    </t>
  </si>
  <si>
    <t xml:space="preserve">Bo Phloi                       </t>
  </si>
  <si>
    <t>หนองกุ่ม</t>
  </si>
  <si>
    <t xml:space="preserve">Nong Kum              </t>
  </si>
  <si>
    <t>หนองรี</t>
  </si>
  <si>
    <t>หลุมรัง</t>
  </si>
  <si>
    <t xml:space="preserve">Lum Rung                           </t>
  </si>
  <si>
    <t>ช่องด่าน</t>
  </si>
  <si>
    <t xml:space="preserve">Chong Dan                       </t>
  </si>
  <si>
    <t>หนองกร่าง</t>
  </si>
  <si>
    <t xml:space="preserve">Nong Krang                          </t>
  </si>
  <si>
    <t xml:space="preserve">Sri Sawat                       </t>
  </si>
  <si>
    <t>นาสวน</t>
  </si>
  <si>
    <t xml:space="preserve">Na Suan                             </t>
  </si>
  <si>
    <t>ด่านแม่แฉลบ</t>
  </si>
  <si>
    <t>หนองเป็ด</t>
  </si>
  <si>
    <t xml:space="preserve">Nong Pet                            </t>
  </si>
  <si>
    <t>ท่ากระดาน</t>
  </si>
  <si>
    <t xml:space="preserve">Tha Kradan                          </t>
  </si>
  <si>
    <t>แม่กระบุง</t>
  </si>
  <si>
    <t xml:space="preserve">Tha Maka                    </t>
  </si>
  <si>
    <t>พงตึก</t>
  </si>
  <si>
    <t xml:space="preserve">Pong Tuk                            </t>
  </si>
  <si>
    <t>ยางม่วง</t>
  </si>
  <si>
    <t xml:space="preserve">Yang Muang                           </t>
  </si>
  <si>
    <t>ดอนชะเอม</t>
  </si>
  <si>
    <t xml:space="preserve">Don Cha-em                           </t>
  </si>
  <si>
    <t>ตะคร้ำเอน</t>
  </si>
  <si>
    <t xml:space="preserve">Takhram En                          </t>
  </si>
  <si>
    <t xml:space="preserve">Tha Maka                            </t>
  </si>
  <si>
    <t>โคกตะบอง</t>
  </si>
  <si>
    <t xml:space="preserve">Khok Tabong                        </t>
  </si>
  <si>
    <t>อุโลกสี่หมื่น</t>
  </si>
  <si>
    <t xml:space="preserve">Ulok Si Muen              </t>
  </si>
  <si>
    <t>เขาสามสิบหาบ</t>
  </si>
  <si>
    <t xml:space="preserve">Khao Sam Sip Hap                    </t>
  </si>
  <si>
    <t>หวายเหนียว</t>
  </si>
  <si>
    <t xml:space="preserve">Wai Nieo                             </t>
  </si>
  <si>
    <t>แสนตอ</t>
  </si>
  <si>
    <t xml:space="preserve">San To                               </t>
  </si>
  <si>
    <t>สนามแย้</t>
  </si>
  <si>
    <t xml:space="preserve">Sanam Yae                           </t>
  </si>
  <si>
    <t xml:space="preserve">Tha Muang                    </t>
  </si>
  <si>
    <t>ทุ่งทอง</t>
  </si>
  <si>
    <t xml:space="preserve">Thung Thong                       </t>
  </si>
  <si>
    <t>เขาน้อย</t>
  </si>
  <si>
    <t xml:space="preserve">Khao Noi                            </t>
  </si>
  <si>
    <t>บ้านใหม่</t>
  </si>
  <si>
    <t xml:space="preserve">Ban Mai                             </t>
  </si>
  <si>
    <t>พังตรุ</t>
  </si>
  <si>
    <t xml:space="preserve">Phang Tru                 </t>
  </si>
  <si>
    <t>ท่าตะคร้อ</t>
  </si>
  <si>
    <t xml:space="preserve">Tha Takro                    </t>
  </si>
  <si>
    <t>รางสาลี่</t>
  </si>
  <si>
    <t xml:space="preserve">Rang Sali                           </t>
  </si>
  <si>
    <t>หนองตากยา</t>
  </si>
  <si>
    <t xml:space="preserve">Nong Tak Ya                         </t>
  </si>
  <si>
    <t xml:space="preserve">Thong Pha Phum                          </t>
  </si>
  <si>
    <t>ปิล๊อก</t>
  </si>
  <si>
    <t xml:space="preserve">Pilok                               </t>
  </si>
  <si>
    <t>หินดาด</t>
  </si>
  <si>
    <t xml:space="preserve">Hin Dat                            </t>
  </si>
  <si>
    <t>ชะแล</t>
  </si>
  <si>
    <t xml:space="preserve">Chalae                </t>
  </si>
  <si>
    <t>ห้วยเขย่ง</t>
  </si>
  <si>
    <t xml:space="preserve">Sangkhla Buri                    </t>
  </si>
  <si>
    <t>หนองลู</t>
  </si>
  <si>
    <t xml:space="preserve">Nong Lu                            </t>
  </si>
  <si>
    <t>ปรังเผล</t>
  </si>
  <si>
    <t xml:space="preserve">Plang Phle                          </t>
  </si>
  <si>
    <t>ไล่โว่</t>
  </si>
  <si>
    <t xml:space="preserve">Lai Wo                             </t>
  </si>
  <si>
    <t xml:space="preserve">Phanom Thuan         </t>
  </si>
  <si>
    <t xml:space="preserve">Phanom Thuan                        </t>
  </si>
  <si>
    <t>หนองโรง</t>
  </si>
  <si>
    <t xml:space="preserve">Nong Rong                           </t>
  </si>
  <si>
    <t>ทุ่งสมอ</t>
  </si>
  <si>
    <t xml:space="preserve">Thung Samae              </t>
  </si>
  <si>
    <t xml:space="preserve">Phang Tru                    </t>
  </si>
  <si>
    <t>ดอนตาเพชร</t>
  </si>
  <si>
    <t xml:space="preserve">Don Ta Phet                          </t>
  </si>
  <si>
    <t xml:space="preserve">Lao Khwan                        </t>
  </si>
  <si>
    <t xml:space="preserve">Lao Khwan                           </t>
  </si>
  <si>
    <t>หนองโสน</t>
  </si>
  <si>
    <t xml:space="preserve">Nong Sano                          </t>
  </si>
  <si>
    <t>หนองประดู่</t>
  </si>
  <si>
    <t xml:space="preserve">Nong Pradu       </t>
  </si>
  <si>
    <t>หนองปลิง</t>
  </si>
  <si>
    <t xml:space="preserve">Nong Pling                         </t>
  </si>
  <si>
    <t>หนองนกแก้ว</t>
  </si>
  <si>
    <t xml:space="preserve">Nong Nok Kaeo                       </t>
  </si>
  <si>
    <t>ทุ่งกระบ่ำ</t>
  </si>
  <si>
    <t xml:space="preserve">Thung Kra Bam                       </t>
  </si>
  <si>
    <t>หนองฝ้าย</t>
  </si>
  <si>
    <t xml:space="preserve">Nong Fai                         </t>
  </si>
  <si>
    <t xml:space="preserve">Dan Makham Tia                 </t>
  </si>
  <si>
    <t xml:space="preserve">Dan Makham Tia                      </t>
  </si>
  <si>
    <t>กลอนโด</t>
  </si>
  <si>
    <t xml:space="preserve">Klondo                              </t>
  </si>
  <si>
    <t>จรเข้เผือก</t>
  </si>
  <si>
    <t xml:space="preserve">Chorakhe Phuak                       </t>
  </si>
  <si>
    <t>หนองไผ่</t>
  </si>
  <si>
    <t xml:space="preserve">Nong Phai                          </t>
  </si>
  <si>
    <t xml:space="preserve">Nong Prue                </t>
  </si>
  <si>
    <t xml:space="preserve">Nong Prue             </t>
  </si>
  <si>
    <r>
      <t>Huai Krachao</t>
    </r>
    <r>
      <rPr>
        <b/>
        <vertAlign val="superscript"/>
        <sz val="13"/>
        <rFont val="Angsana New"/>
        <family val="1"/>
      </rPr>
      <t/>
    </r>
  </si>
  <si>
    <t>วังไผ่</t>
  </si>
  <si>
    <t xml:space="preserve">Wang Phai                           </t>
  </si>
  <si>
    <t>ดอนแสลบ</t>
  </si>
  <si>
    <t xml:space="preserve">Don Sa Lab                                  </t>
  </si>
  <si>
    <t>ที่มา  :</t>
  </si>
  <si>
    <t xml:space="preserve"> Source  :</t>
  </si>
  <si>
    <t>รวมยอด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</si>
  <si>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2555 (ต่อ)</t>
  </si>
  <si>
    <t>FISCAL YEAR 2012 (Contd.)</t>
  </si>
  <si>
    <r>
      <t>Huai Khayeng</t>
    </r>
    <r>
      <rPr>
        <vertAlign val="superscript"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                      </t>
    </r>
  </si>
  <si>
    <r>
      <t>Tha Sao</t>
    </r>
    <r>
      <rPr>
        <vertAlign val="superscript"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                           </t>
    </r>
  </si>
  <si>
    <r>
      <t>Tha Muang</t>
    </r>
    <r>
      <rPr>
        <vertAlign val="superscript"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                        </t>
    </r>
  </si>
  <si>
    <r>
      <t>Nong Ri</t>
    </r>
    <r>
      <rPr>
        <vertAlign val="superscript"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                          </t>
    </r>
  </si>
  <si>
    <r>
      <t>Dan Mae Chalaep</t>
    </r>
    <r>
      <rPr>
        <vertAlign val="superscript"/>
        <sz val="14"/>
        <rFont val="TH SarabunPSK"/>
        <family val="2"/>
      </rPr>
      <t xml:space="preserve">  </t>
    </r>
    <r>
      <rPr>
        <sz val="14"/>
        <rFont val="TH SarabunPSK"/>
        <family val="2"/>
      </rPr>
      <t xml:space="preserve">                  </t>
    </r>
  </si>
  <si>
    <r>
      <t>Mae Krabung</t>
    </r>
    <r>
      <rPr>
        <vertAlign val="superscript"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                       </t>
    </r>
  </si>
  <si>
    <t xml:space="preserve">Kaeng Sian                           </t>
  </si>
  <si>
    <t xml:space="preserve">Nong Bua                            </t>
  </si>
  <si>
    <t xml:space="preserve">Lat Ya                              </t>
  </si>
  <si>
    <t xml:space="preserve">Wang Dong                       </t>
  </si>
  <si>
    <t xml:space="preserve">Chong Sadao                         </t>
  </si>
  <si>
    <t xml:space="preserve">Nong Ya                          </t>
  </si>
  <si>
    <t xml:space="preserve">Ko Samrong                           </t>
  </si>
  <si>
    <t xml:space="preserve">Ban Kao                             </t>
  </si>
  <si>
    <t xml:space="preserve">Wang Yen                            </t>
  </si>
  <si>
    <t xml:space="preserve">Lum Sum                             </t>
  </si>
  <si>
    <t xml:space="preserve">Tha Sao                             </t>
  </si>
  <si>
    <t xml:space="preserve">Sing                            </t>
  </si>
  <si>
    <t xml:space="preserve">Wang Kra Chae                       </t>
  </si>
  <si>
    <t>(บาท  Baht)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</si>
  <si>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</t>
  </si>
  <si>
    <t>Actual Revenue and Expenditure of Subdistrict Administration Organization by Type, District and Subdistrict Administration Organization: Fiscal Year 2014</t>
  </si>
  <si>
    <t>สำนักงานส่งเสริมการปกครองท้องถิ่นจังหวัดกาญจนบุรี</t>
  </si>
  <si>
    <t>Kanchanaburi Provincial Office of Local Administration</t>
  </si>
  <si>
    <t>of investment</t>
  </si>
  <si>
    <t xml:space="preserve">Expenditure </t>
  </si>
  <si>
    <t>Actual Revenue and Expenditure of Subdistrict Administration Organization by Type, District and Subdistrict Administration Organization: Fiscal Year 2014  (Cont.)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</si>
  <si>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 (ต่อ)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</si>
</sst>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0.0"/>
    <numFmt numFmtId="189" formatCode="_-* #,##0_-;\-* #,##0_-;_-* &quot;-&quot;??_-;_-@_-"/>
    <numFmt numFmtId="190" formatCode="#,##0__"/>
    <numFmt numFmtId="193" formatCode="#,##0____"/>
    <numFmt numFmtId="194" formatCode="#,##0.00__"/>
    <numFmt numFmtId="197" formatCode="#,##0\ "/>
    <numFmt numFmtId="198" formatCode="\-\ "/>
  </numFmts>
  <fonts count="16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10"/>
      <name val="Arial"/>
      <family val="2"/>
    </font>
    <font>
      <b/>
      <vertAlign val="superscript"/>
      <sz val="13"/>
      <name val="Angsana New"/>
      <family val="1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vertAlign val="superscript"/>
      <sz val="14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0"/>
      <color rgb="FFFF0000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</cellStyleXfs>
  <cellXfs count="1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4" applyFont="1"/>
    <xf numFmtId="0" fontId="11" fillId="0" borderId="0" xfId="4" applyFont="1" applyFill="1" applyBorder="1" applyAlignment="1"/>
    <xf numFmtId="189" fontId="11" fillId="0" borderId="0" xfId="2" applyNumberFormat="1" applyFont="1" applyFill="1" applyAlignment="1">
      <alignment horizontal="right"/>
    </xf>
    <xf numFmtId="0" fontId="5" fillId="0" borderId="0" xfId="4" applyFont="1" applyAlignment="1"/>
    <xf numFmtId="189" fontId="5" fillId="0" borderId="0" xfId="2" applyNumberFormat="1" applyFont="1" applyFill="1" applyAlignment="1">
      <alignment horizontal="right"/>
    </xf>
    <xf numFmtId="0" fontId="5" fillId="0" borderId="0" xfId="5" applyFont="1" applyAlignment="1"/>
    <xf numFmtId="0" fontId="6" fillId="0" borderId="0" xfId="4" applyFont="1" applyFill="1" applyBorder="1" applyAlignment="1">
      <alignment vertical="center"/>
    </xf>
    <xf numFmtId="187" fontId="6" fillId="0" borderId="0" xfId="4" applyNumberFormat="1" applyFont="1" applyFill="1" applyBorder="1" applyAlignment="1">
      <alignment horizontal="left" vertical="center"/>
    </xf>
    <xf numFmtId="0" fontId="7" fillId="0" borderId="0" xfId="4" applyFont="1"/>
    <xf numFmtId="0" fontId="6" fillId="0" borderId="0" xfId="5" applyFont="1"/>
    <xf numFmtId="0" fontId="6" fillId="0" borderId="0" xfId="4" applyFont="1" applyBorder="1" applyAlignment="1">
      <alignment horizontal="left" vertical="center"/>
    </xf>
    <xf numFmtId="0" fontId="6" fillId="0" borderId="0" xfId="5" applyFont="1" applyBorder="1"/>
    <xf numFmtId="0" fontId="8" fillId="0" borderId="0" xfId="4" applyFont="1"/>
    <xf numFmtId="0" fontId="7" fillId="0" borderId="0" xfId="5" applyFont="1"/>
    <xf numFmtId="0" fontId="5" fillId="0" borderId="0" xfId="5" applyFont="1"/>
    <xf numFmtId="189" fontId="7" fillId="0" borderId="8" xfId="2" applyNumberFormat="1" applyFont="1" applyBorder="1" applyAlignment="1">
      <alignment horizontal="center"/>
    </xf>
    <xf numFmtId="189" fontId="7" fillId="0" borderId="1" xfId="2" applyNumberFormat="1" applyFont="1" applyBorder="1" applyAlignment="1">
      <alignment horizontal="center"/>
    </xf>
    <xf numFmtId="189" fontId="7" fillId="0" borderId="4" xfId="2" applyNumberFormat="1" applyFont="1" applyBorder="1" applyAlignment="1">
      <alignment horizontal="center"/>
    </xf>
    <xf numFmtId="0" fontId="5" fillId="0" borderId="0" xfId="4" applyFont="1" applyBorder="1"/>
    <xf numFmtId="0" fontId="8" fillId="0" borderId="0" xfId="4" applyFont="1" applyAlignment="1"/>
    <xf numFmtId="0" fontId="6" fillId="0" borderId="0" xfId="4" applyFont="1" applyBorder="1" applyAlignment="1">
      <alignment horizontal="left" indent="1"/>
    </xf>
    <xf numFmtId="189" fontId="7" fillId="2" borderId="1" xfId="2" applyNumberFormat="1" applyFont="1" applyFill="1" applyBorder="1" applyAlignment="1">
      <alignment horizontal="right"/>
    </xf>
    <xf numFmtId="0" fontId="7" fillId="0" borderId="0" xfId="4" applyFont="1" applyBorder="1" applyAlignment="1">
      <alignment horizontal="left" indent="2"/>
    </xf>
    <xf numFmtId="0" fontId="7" fillId="0" borderId="0" xfId="4" applyFont="1" applyBorder="1"/>
    <xf numFmtId="43" fontId="7" fillId="0" borderId="0" xfId="2" applyFont="1" applyBorder="1"/>
    <xf numFmtId="197" fontId="7" fillId="0" borderId="1" xfId="2" applyNumberFormat="1" applyFont="1" applyBorder="1" applyAlignment="1">
      <alignment horizontal="right"/>
    </xf>
    <xf numFmtId="0" fontId="7" fillId="0" borderId="0" xfId="4" applyFont="1" applyAlignment="1">
      <alignment horizontal="left" indent="2"/>
    </xf>
    <xf numFmtId="0" fontId="6" fillId="0" borderId="0" xfId="4" applyFont="1" applyBorder="1" applyAlignment="1"/>
    <xf numFmtId="0" fontId="8" fillId="0" borderId="0" xfId="4" applyFont="1" applyAlignment="1">
      <alignment vertical="center"/>
    </xf>
    <xf numFmtId="189" fontId="7" fillId="0" borderId="0" xfId="2" applyNumberFormat="1" applyFont="1" applyBorder="1" applyAlignment="1">
      <alignment horizontal="right" vertical="center"/>
    </xf>
    <xf numFmtId="198" fontId="7" fillId="0" borderId="1" xfId="4" applyNumberFormat="1" applyFont="1" applyBorder="1" applyAlignment="1">
      <alignment horizontal="right"/>
    </xf>
    <xf numFmtId="190" fontId="8" fillId="0" borderId="0" xfId="4" applyNumberFormat="1" applyFont="1" applyAlignment="1"/>
    <xf numFmtId="0" fontId="10" fillId="0" borderId="0" xfId="4" applyFont="1" applyAlignment="1"/>
    <xf numFmtId="0" fontId="10" fillId="0" borderId="0" xfId="4" applyFont="1" applyAlignment="1">
      <alignment vertical="center"/>
    </xf>
    <xf numFmtId="189" fontId="10" fillId="0" borderId="0" xfId="2" applyNumberFormat="1" applyFont="1" applyBorder="1" applyAlignment="1">
      <alignment horizontal="right" vertical="center"/>
    </xf>
    <xf numFmtId="189" fontId="8" fillId="0" borderId="0" xfId="2" applyNumberFormat="1" applyFont="1"/>
    <xf numFmtId="0" fontId="5" fillId="0" borderId="0" xfId="5" applyFont="1" applyBorder="1"/>
    <xf numFmtId="0" fontId="10" fillId="0" borderId="0" xfId="4" applyFont="1"/>
    <xf numFmtId="43" fontId="6" fillId="0" borderId="0" xfId="2" applyFont="1" applyBorder="1" applyAlignment="1">
      <alignment vertical="center"/>
    </xf>
    <xf numFmtId="43" fontId="6" fillId="0" borderId="0" xfId="2" applyFont="1" applyFill="1" applyBorder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horizontal="left" indent="1"/>
    </xf>
    <xf numFmtId="43" fontId="6" fillId="0" borderId="0" xfId="2" applyFont="1" applyFill="1" applyBorder="1" applyAlignment="1">
      <alignment horizontal="left" vertical="center"/>
    </xf>
    <xf numFmtId="43" fontId="6" fillId="0" borderId="0" xfId="2" applyFont="1" applyFill="1" applyBorder="1" applyAlignment="1">
      <alignment horizontal="left" indent="1"/>
    </xf>
    <xf numFmtId="43" fontId="6" fillId="0" borderId="0" xfId="4" applyNumberFormat="1" applyFont="1" applyFill="1" applyBorder="1" applyAlignment="1">
      <alignment horizontal="left" indent="1"/>
    </xf>
    <xf numFmtId="0" fontId="7" fillId="0" borderId="9" xfId="4" applyFont="1" applyBorder="1" applyAlignment="1">
      <alignment horizontal="center"/>
    </xf>
    <xf numFmtId="43" fontId="7" fillId="0" borderId="11" xfId="2" applyFont="1" applyBorder="1" applyAlignment="1">
      <alignment vertical="center"/>
    </xf>
    <xf numFmtId="43" fontId="7" fillId="0" borderId="8" xfId="2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43" fontId="7" fillId="0" borderId="2" xfId="2" applyFont="1" applyBorder="1" applyAlignment="1">
      <alignment vertical="center"/>
    </xf>
    <xf numFmtId="43" fontId="7" fillId="0" borderId="4" xfId="2" applyFont="1" applyBorder="1" applyAlignment="1">
      <alignment horizontal="center"/>
    </xf>
    <xf numFmtId="43" fontId="7" fillId="0" borderId="1" xfId="2" applyFont="1" applyBorder="1" applyAlignment="1">
      <alignment horizontal="center"/>
    </xf>
    <xf numFmtId="0" fontId="7" fillId="0" borderId="0" xfId="4" applyFont="1" applyBorder="1" applyAlignment="1">
      <alignment horizontal="left" indent="3"/>
    </xf>
    <xf numFmtId="0" fontId="7" fillId="0" borderId="6" xfId="4" applyFont="1" applyBorder="1" applyAlignment="1">
      <alignment horizontal="center"/>
    </xf>
    <xf numFmtId="43" fontId="7" fillId="0" borderId="3" xfId="2" applyFont="1" applyBorder="1" applyAlignment="1">
      <alignment vertic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6" fillId="0" borderId="0" xfId="4" applyFont="1" applyBorder="1"/>
    <xf numFmtId="197" fontId="6" fillId="0" borderId="1" xfId="2" applyNumberFormat="1" applyFont="1" applyBorder="1" applyAlignment="1">
      <alignment horizontal="right"/>
    </xf>
    <xf numFmtId="198" fontId="6" fillId="0" borderId="1" xfId="2" applyNumberFormat="1" applyFont="1" applyBorder="1" applyAlignment="1">
      <alignment horizontal="right"/>
    </xf>
    <xf numFmtId="0" fontId="6" fillId="0" borderId="0" xfId="4" applyFont="1" applyAlignment="1">
      <alignment horizontal="left" indent="1"/>
    </xf>
    <xf numFmtId="197" fontId="7" fillId="2" borderId="1" xfId="2" applyNumberFormat="1" applyFont="1" applyFill="1" applyBorder="1" applyAlignment="1">
      <alignment horizontal="right"/>
    </xf>
    <xf numFmtId="198" fontId="7" fillId="0" borderId="1" xfId="2" applyNumberFormat="1" applyFont="1" applyBorder="1" applyAlignment="1">
      <alignment horizontal="right"/>
    </xf>
    <xf numFmtId="197" fontId="6" fillId="0" borderId="1" xfId="2" applyNumberFormat="1" applyFont="1" applyBorder="1" applyAlignment="1"/>
    <xf numFmtId="197" fontId="6" fillId="2" borderId="1" xfId="2" applyNumberFormat="1" applyFont="1" applyFill="1" applyBorder="1" applyAlignment="1">
      <alignment horizontal="right"/>
    </xf>
    <xf numFmtId="197" fontId="7" fillId="0" borderId="1" xfId="2" applyNumberFormat="1" applyFont="1" applyBorder="1" applyAlignment="1"/>
    <xf numFmtId="0" fontId="5" fillId="0" borderId="6" xfId="4" applyFont="1" applyBorder="1"/>
    <xf numFmtId="43" fontId="5" fillId="0" borderId="3" xfId="2" applyFont="1" applyBorder="1"/>
    <xf numFmtId="194" fontId="5" fillId="0" borderId="4" xfId="2" applyNumberFormat="1" applyFont="1" applyBorder="1" applyAlignment="1"/>
    <xf numFmtId="43" fontId="5" fillId="0" borderId="0" xfId="2" applyFont="1" applyBorder="1"/>
    <xf numFmtId="43" fontId="7" fillId="0" borderId="9" xfId="2" applyFont="1" applyBorder="1" applyAlignment="1">
      <alignment horizontal="center"/>
    </xf>
    <xf numFmtId="43" fontId="7" fillId="0" borderId="6" xfId="2" applyFont="1" applyBorder="1" applyAlignment="1">
      <alignment horizontal="center"/>
    </xf>
    <xf numFmtId="197" fontId="7" fillId="0" borderId="1" xfId="4" applyNumberFormat="1" applyFont="1" applyBorder="1" applyAlignment="1">
      <alignment horizontal="right"/>
    </xf>
    <xf numFmtId="197" fontId="7" fillId="0" borderId="1" xfId="2" applyNumberFormat="1" applyFont="1" applyBorder="1"/>
    <xf numFmtId="197" fontId="6" fillId="0" borderId="1" xfId="4" applyNumberFormat="1" applyFont="1" applyBorder="1"/>
    <xf numFmtId="197" fontId="7" fillId="0" borderId="1" xfId="2" applyNumberFormat="1" applyFont="1" applyFill="1" applyBorder="1" applyAlignment="1">
      <alignment horizontal="right"/>
    </xf>
    <xf numFmtId="43" fontId="6" fillId="0" borderId="6" xfId="2" applyFont="1" applyFill="1" applyBorder="1" applyAlignment="1">
      <alignment horizontal="left" indent="1"/>
    </xf>
    <xf numFmtId="0" fontId="7" fillId="0" borderId="0" xfId="4" applyFont="1" applyBorder="1" applyAlignment="1"/>
    <xf numFmtId="43" fontId="6" fillId="0" borderId="0" xfId="2" applyFont="1" applyBorder="1"/>
    <xf numFmtId="0" fontId="7" fillId="0" borderId="0" xfId="4" applyFont="1" applyAlignment="1">
      <alignment vertical="center"/>
    </xf>
    <xf numFmtId="193" fontId="7" fillId="0" borderId="6" xfId="2" applyNumberFormat="1" applyFont="1" applyBorder="1" applyAlignment="1">
      <alignment horizontal="right"/>
    </xf>
    <xf numFmtId="193" fontId="7" fillId="0" borderId="6" xfId="4" applyNumberFormat="1" applyFont="1" applyBorder="1" applyAlignment="1">
      <alignment horizontal="right"/>
    </xf>
    <xf numFmtId="43" fontId="7" fillId="0" borderId="0" xfId="2" applyFont="1" applyBorder="1" applyAlignment="1">
      <alignment horizontal="center"/>
    </xf>
    <xf numFmtId="43" fontId="7" fillId="0" borderId="2" xfId="2" applyFont="1" applyBorder="1" applyAlignment="1">
      <alignment horizontal="center"/>
    </xf>
    <xf numFmtId="197" fontId="7" fillId="0" borderId="4" xfId="4" applyNumberFormat="1" applyFont="1" applyBorder="1" applyAlignment="1">
      <alignment horizont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indent="1"/>
    </xf>
    <xf numFmtId="197" fontId="7" fillId="0" borderId="0" xfId="2" applyNumberFormat="1" applyFont="1" applyBorder="1" applyAlignment="1">
      <alignment horizontal="right"/>
    </xf>
    <xf numFmtId="197" fontId="6" fillId="0" borderId="0" xfId="2" applyNumberFormat="1" applyFont="1" applyBorder="1" applyAlignment="1"/>
    <xf numFmtId="0" fontId="6" fillId="0" borderId="11" xfId="4" applyFont="1" applyBorder="1"/>
    <xf numFmtId="0" fontId="7" fillId="0" borderId="2" xfId="4" applyFont="1" applyBorder="1"/>
    <xf numFmtId="43" fontId="7" fillId="0" borderId="2" xfId="2" applyFont="1" applyBorder="1"/>
    <xf numFmtId="0" fontId="6" fillId="0" borderId="2" xfId="4" applyFont="1" applyBorder="1"/>
    <xf numFmtId="0" fontId="11" fillId="0" borderId="0" xfId="5" applyFont="1"/>
    <xf numFmtId="189" fontId="12" fillId="0" borderId="0" xfId="1" applyNumberFormat="1" applyFont="1" applyBorder="1" applyAlignment="1">
      <alignment vertical="center"/>
    </xf>
    <xf numFmtId="189" fontId="12" fillId="0" borderId="0" xfId="1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left" vertical="center"/>
    </xf>
    <xf numFmtId="197" fontId="12" fillId="0" borderId="1" xfId="2" applyNumberFormat="1" applyFont="1" applyBorder="1" applyAlignment="1"/>
    <xf numFmtId="189" fontId="12" fillId="0" borderId="0" xfId="1" applyNumberFormat="1" applyFont="1" applyBorder="1"/>
    <xf numFmtId="189" fontId="12" fillId="3" borderId="9" xfId="1" applyNumberFormat="1" applyFont="1" applyFill="1" applyBorder="1" applyAlignment="1">
      <alignment vertical="center"/>
    </xf>
    <xf numFmtId="189" fontId="12" fillId="0" borderId="2" xfId="1" applyNumberFormat="1" applyFont="1" applyBorder="1" applyAlignment="1">
      <alignment horizontal="center" vertical="center"/>
    </xf>
    <xf numFmtId="189" fontId="12" fillId="0" borderId="2" xfId="1" applyNumberFormat="1" applyFont="1" applyBorder="1" applyAlignment="1">
      <alignment horizontal="center"/>
    </xf>
    <xf numFmtId="189" fontId="12" fillId="0" borderId="3" xfId="1" applyNumberFormat="1" applyFont="1" applyBorder="1" applyAlignment="1">
      <alignment vertical="center"/>
    </xf>
    <xf numFmtId="189" fontId="12" fillId="0" borderId="11" xfId="1" applyNumberFormat="1" applyFont="1" applyBorder="1" applyAlignment="1">
      <alignment vertical="center"/>
    </xf>
    <xf numFmtId="189" fontId="12" fillId="0" borderId="2" xfId="1" applyNumberFormat="1" applyFont="1" applyBorder="1" applyAlignment="1">
      <alignment vertical="center"/>
    </xf>
    <xf numFmtId="189" fontId="12" fillId="0" borderId="9" xfId="1" applyNumberFormat="1" applyFont="1" applyBorder="1" applyAlignment="1">
      <alignment vertical="center"/>
    </xf>
    <xf numFmtId="189" fontId="12" fillId="0" borderId="0" xfId="1" applyNumberFormat="1" applyFont="1" applyFill="1" applyBorder="1"/>
    <xf numFmtId="189" fontId="13" fillId="0" borderId="3" xfId="1" applyNumberFormat="1" applyFont="1" applyBorder="1"/>
    <xf numFmtId="189" fontId="13" fillId="0" borderId="0" xfId="1" applyNumberFormat="1" applyFont="1" applyBorder="1"/>
    <xf numFmtId="189" fontId="14" fillId="0" borderId="0" xfId="1" applyNumberFormat="1" applyFont="1"/>
    <xf numFmtId="0" fontId="15" fillId="0" borderId="0" xfId="5" applyFont="1" applyBorder="1" applyAlignment="1">
      <alignment horizontal="center"/>
    </xf>
    <xf numFmtId="0" fontId="7" fillId="0" borderId="0" xfId="4" applyFont="1" applyAlignment="1"/>
    <xf numFmtId="189" fontId="7" fillId="0" borderId="0" xfId="2" applyNumberFormat="1" applyFont="1" applyFill="1" applyAlignment="1">
      <alignment horizontal="right"/>
    </xf>
    <xf numFmtId="0" fontId="7" fillId="0" borderId="0" xfId="5" applyFont="1" applyAlignment="1"/>
    <xf numFmtId="190" fontId="7" fillId="0" borderId="0" xfId="4" applyNumberFormat="1" applyFont="1" applyAlignment="1"/>
    <xf numFmtId="197" fontId="6" fillId="0" borderId="1" xfId="2" applyNumberFormat="1" applyFont="1" applyBorder="1" applyAlignment="1">
      <alignment vertical="center"/>
    </xf>
    <xf numFmtId="197" fontId="6" fillId="0" borderId="1" xfId="2" applyNumberFormat="1" applyFont="1" applyBorder="1" applyAlignment="1">
      <alignment horizontal="right" vertical="center"/>
    </xf>
    <xf numFmtId="189" fontId="7" fillId="0" borderId="1" xfId="1" applyNumberFormat="1" applyFont="1" applyBorder="1" applyAlignment="1">
      <alignment horizontal="right"/>
    </xf>
    <xf numFmtId="43" fontId="7" fillId="0" borderId="2" xfId="2" applyFont="1" applyBorder="1" applyAlignment="1">
      <alignment horizontal="center"/>
    </xf>
    <xf numFmtId="43" fontId="7" fillId="0" borderId="3" xfId="2" applyFont="1" applyBorder="1" applyAlignment="1">
      <alignment horizontal="center"/>
    </xf>
    <xf numFmtId="43" fontId="7" fillId="0" borderId="4" xfId="2" applyFont="1" applyBorder="1" applyAlignment="1">
      <alignment horizontal="center"/>
    </xf>
    <xf numFmtId="43" fontId="7" fillId="0" borderId="1" xfId="2" applyFont="1" applyBorder="1" applyAlignment="1">
      <alignment horizontal="center"/>
    </xf>
    <xf numFmtId="198" fontId="7" fillId="2" borderId="1" xfId="2" applyNumberFormat="1" applyFont="1" applyFill="1" applyBorder="1" applyAlignment="1">
      <alignment horizontal="right"/>
    </xf>
    <xf numFmtId="43" fontId="7" fillId="0" borderId="10" xfId="2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43" fontId="7" fillId="0" borderId="11" xfId="2" applyFont="1" applyBorder="1" applyAlignment="1">
      <alignment horizontal="center"/>
    </xf>
    <xf numFmtId="43" fontId="7" fillId="0" borderId="7" xfId="2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43" fontId="7" fillId="0" borderId="2" xfId="2" applyFont="1" applyBorder="1" applyAlignment="1">
      <alignment horizontal="center"/>
    </xf>
    <xf numFmtId="43" fontId="7" fillId="0" borderId="6" xfId="2" applyFont="1" applyBorder="1" applyAlignment="1">
      <alignment horizontal="center"/>
    </xf>
    <xf numFmtId="43" fontId="7" fillId="0" borderId="3" xfId="2" applyFont="1" applyBorder="1" applyAlignment="1">
      <alignment horizontal="center"/>
    </xf>
    <xf numFmtId="43" fontId="7" fillId="0" borderId="0" xfId="2" applyFont="1" applyBorder="1" applyAlignment="1">
      <alignment horizontal="center" vertical="center"/>
    </xf>
    <xf numFmtId="43" fontId="7" fillId="0" borderId="2" xfId="2" applyFont="1" applyBorder="1" applyAlignment="1">
      <alignment horizontal="center" vertical="center"/>
    </xf>
    <xf numFmtId="43" fontId="7" fillId="0" borderId="4" xfId="2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43" fontId="7" fillId="0" borderId="8" xfId="2" applyFont="1" applyBorder="1" applyAlignment="1">
      <alignment horizontal="center"/>
    </xf>
    <xf numFmtId="43" fontId="7" fillId="0" borderId="1" xfId="2" applyFont="1" applyBorder="1" applyAlignment="1">
      <alignment horizontal="center"/>
    </xf>
    <xf numFmtId="43" fontId="7" fillId="0" borderId="5" xfId="2" applyFont="1" applyBorder="1" applyAlignment="1">
      <alignment horizontal="center"/>
    </xf>
  </cellXfs>
  <cellStyles count="6">
    <cellStyle name="เครื่องหมายจุลภาค" xfId="1" builtinId="3"/>
    <cellStyle name="เครื่องหมายจุลภาค 2" xfId="2"/>
    <cellStyle name="เครื่องหมายจุลภาค 3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6" Type="http://schemas.openxmlformats.org/officeDocument/2006/relationships/externalLink" Target="externalLinks/externalLink7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externalLink" Target="externalLinks/externalLink69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3452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496425" y="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cs typeface="JasmineUPC"/>
            </a:rPr>
            <a:t>170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505950" y="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สถิติการคลัง</a:t>
          </a:r>
        </a:p>
      </xdr:txBody>
    </xdr:sp>
    <xdr:clientData/>
  </xdr:twoCellAnchor>
  <xdr:twoCellAnchor>
    <xdr:from>
      <xdr:col>17</xdr:col>
      <xdr:colOff>47625</xdr:colOff>
      <xdr:row>0</xdr:row>
      <xdr:rowOff>0</xdr:rowOff>
    </xdr:from>
    <xdr:to>
      <xdr:col>17</xdr:col>
      <xdr:colOff>409575</xdr:colOff>
      <xdr:row>28</xdr:row>
      <xdr:rowOff>28575</xdr:rowOff>
    </xdr:to>
    <xdr:grpSp>
      <xdr:nvGrpSpPr>
        <xdr:cNvPr id="98410" name="Group 74"/>
        <xdr:cNvGrpSpPr>
          <a:grpSpLocks/>
        </xdr:cNvGrpSpPr>
      </xdr:nvGrpSpPr>
      <xdr:grpSpPr bwMode="auto">
        <a:xfrm>
          <a:off x="11458575" y="0"/>
          <a:ext cx="361950" cy="7743825"/>
          <a:chOff x="987" y="0"/>
          <a:chExt cx="73" cy="691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8" y="156"/>
            <a:ext cx="42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8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7" y="648"/>
            <a:ext cx="5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2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153</a:t>
            </a:r>
            <a:endParaRPr lang="th-TH" sz="2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8413" name="Straight Connector 12"/>
          <xdr:cNvCxnSpPr>
            <a:cxnSpLocks noChangeShapeType="1"/>
          </xdr:cNvCxnSpPr>
        </xdr:nvCxnSpPr>
        <xdr:spPr bwMode="auto">
          <a:xfrm rot="5400000">
            <a:off x="680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0</xdr:rowOff>
    </xdr:from>
    <xdr:to>
      <xdr:col>17</xdr:col>
      <xdr:colOff>581025</xdr:colOff>
      <xdr:row>29</xdr:row>
      <xdr:rowOff>0</xdr:rowOff>
    </xdr:to>
    <xdr:grpSp>
      <xdr:nvGrpSpPr>
        <xdr:cNvPr id="94281" name="Group 74"/>
        <xdr:cNvGrpSpPr>
          <a:grpSpLocks/>
        </xdr:cNvGrpSpPr>
      </xdr:nvGrpSpPr>
      <xdr:grpSpPr bwMode="auto">
        <a:xfrm>
          <a:off x="11410950" y="0"/>
          <a:ext cx="581025" cy="7667625"/>
          <a:chOff x="994" y="0"/>
          <a:chExt cx="70" cy="66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19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2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154</a:t>
            </a:r>
            <a:endParaRPr lang="th-TH" sz="22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4284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28583</xdr:colOff>
      <xdr:row>0</xdr:row>
      <xdr:rowOff>0</xdr:rowOff>
    </xdr:from>
    <xdr:to>
      <xdr:col>17</xdr:col>
      <xdr:colOff>420283</xdr:colOff>
      <xdr:row>29</xdr:row>
      <xdr:rowOff>49610</xdr:rowOff>
    </xdr:to>
    <xdr:grpSp>
      <xdr:nvGrpSpPr>
        <xdr:cNvPr id="95305" name="Group 74"/>
        <xdr:cNvGrpSpPr>
          <a:grpSpLocks/>
        </xdr:cNvGrpSpPr>
      </xdr:nvGrpSpPr>
      <xdr:grpSpPr bwMode="auto">
        <a:xfrm>
          <a:off x="11448000" y="0"/>
          <a:ext cx="391700" cy="7838943"/>
          <a:chOff x="987" y="0"/>
          <a:chExt cx="79" cy="687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4" y="156"/>
            <a:ext cx="42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8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7" y="644"/>
            <a:ext cx="5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2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155</a:t>
            </a:r>
            <a:endParaRPr lang="th-TH" sz="2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5308" name="Straight Connector 12"/>
          <xdr:cNvCxnSpPr>
            <a:cxnSpLocks noChangeShapeType="1"/>
          </xdr:cNvCxnSpPr>
        </xdr:nvCxnSpPr>
        <xdr:spPr bwMode="auto">
          <a:xfrm rot="5400000">
            <a:off x="680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361950</xdr:colOff>
      <xdr:row>26</xdr:row>
      <xdr:rowOff>266700</xdr:rowOff>
    </xdr:to>
    <xdr:grpSp>
      <xdr:nvGrpSpPr>
        <xdr:cNvPr id="96329" name="Group 74"/>
        <xdr:cNvGrpSpPr>
          <a:grpSpLocks/>
        </xdr:cNvGrpSpPr>
      </xdr:nvGrpSpPr>
      <xdr:grpSpPr bwMode="auto">
        <a:xfrm>
          <a:off x="11410950" y="0"/>
          <a:ext cx="361950" cy="7667625"/>
          <a:chOff x="994" y="0"/>
          <a:chExt cx="70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2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156</a:t>
            </a:r>
            <a:endParaRPr lang="th-TH" sz="22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6332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</xdr:colOff>
      <xdr:row>0</xdr:row>
      <xdr:rowOff>0</xdr:rowOff>
    </xdr:from>
    <xdr:to>
      <xdr:col>17</xdr:col>
      <xdr:colOff>391708</xdr:colOff>
      <xdr:row>31</xdr:row>
      <xdr:rowOff>38100</xdr:rowOff>
    </xdr:to>
    <xdr:grpSp>
      <xdr:nvGrpSpPr>
        <xdr:cNvPr id="97353" name="Group 74"/>
        <xdr:cNvGrpSpPr>
          <a:grpSpLocks/>
        </xdr:cNvGrpSpPr>
      </xdr:nvGrpSpPr>
      <xdr:grpSpPr bwMode="auto">
        <a:xfrm>
          <a:off x="11410958" y="0"/>
          <a:ext cx="391700" cy="7715250"/>
          <a:chOff x="987" y="0"/>
          <a:chExt cx="79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4" y="156"/>
            <a:ext cx="42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8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8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648"/>
            <a:ext cx="56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2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157</a:t>
            </a:r>
            <a:endParaRPr lang="th-TH" sz="2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7356" name="Straight Connector 12"/>
          <xdr:cNvCxnSpPr>
            <a:cxnSpLocks noChangeShapeType="1"/>
          </xdr:cNvCxnSpPr>
        </xdr:nvCxnSpPr>
        <xdr:spPr bwMode="auto">
          <a:xfrm rot="5400000">
            <a:off x="680" y="324"/>
            <a:ext cx="64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49;&#3585;&#3656;&#3591;&#3648;&#3626;&#3637;&#3657;&#3618;&#3609;%20&#3626;&#3635;&#3648;&#3609;&#3634;&#3586;&#3629;&#3591;_&#3649;&#3610;&#3610;&#3619;&#3634;&#3618;&#3591;&#3634;&#3609;&#3626;&#3606;&#3636;&#3605;&#3636;&#3585;&#3634;&#3619;&#3588;&#3621;&#3633;&#3591;&#3611;&#3637;255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52;&#3607;&#3619;&#3650;&#3618;&#3588;\&#3629;&#3610;&#3605;.&#3621;&#3640;&#3656;&#3617;&#3626;&#3640;&#3656;&#3617;%20&#3649;&#3610;&#3610;&#3619;&#3634;&#3618;&#3591;&#3634;&#3609;&#3586;&#3657;&#3629;&#3617;&#3641;&#3621;&#3626;&#3606;&#3636;&#3605;&#3636;&#3585;&#3634;&#3619;&#3588;&#3621;&#3633;&#3591;&#3607;&#3657;&#3629;&#3591;&#3606;&#3636;&#3656;&#3609;_2557(&#3629;&#3610;&#3605;.&#3621;&#3640;&#3656;&#3617;&#3626;&#3640;&#3656;&#3617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52;&#3607;&#3619;&#3650;&#3618;&#3588;\&#3629;&#3610;&#3605;.&#3607;&#3656;&#3634;&#3648;&#3626;&#3634;%20(&#3652;&#3607;&#3619;&#3650;&#3618;&#3588;)%20&#3649;&#3610;&#3610;&#3619;&#3634;&#3618;&#3591;&#3634;&#3609;&#3626;&#3606;&#3636;&#3605;&#3636;&#3585;&#3634;&#3619;&#3588;&#3621;&#3633;&#3591;&#3611;&#3637;255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52;&#3607;&#3619;&#3650;&#3618;&#3588;\&#3629;&#3610;&#3605;.&#3626;&#3636;&#3591;&#3627;&#3660;%20&#3649;&#3610;&#3610;&#3619;&#3634;&#3618;&#3591;&#3634;&#3609;&#3626;&#3606;&#3636;&#3605;&#3636;&#3585;&#3634;&#3619;&#3588;&#3621;&#3633;&#3591;&#3611;&#3637;2557_(&#3629;&#3610;&#3605;.&#3626;&#3636;&#3591;&#3627;&#3660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52;&#3607;&#3619;&#3650;&#3618;&#3588;\&#3629;&#3610;&#3605;.&#3623;&#3633;&#3591;&#3585;&#3619;&#3632;&#3649;&#3592;&#3632;%20&#3649;&#3610;&#3610;&#3619;&#3634;&#3618;&#3591;&#3634;&#3609;&#3626;&#3606;&#3636;&#3605;&#3636;&#3585;&#3634;&#3619;&#3588;&#3621;&#3633;&#3591;&#3611;&#3637;255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52;&#3607;&#3619;&#3650;&#3618;&#3588;\&#3629;&#3610;&#3605;.&#3624;&#3619;&#3637;&#3617;&#3591;&#3588;&#3621;%20&#3649;&#3610;&#3610;&#3619;&#3634;&#3618;&#3591;&#3634;&#3609;&#3626;&#3606;&#3636;&#3605;&#3636;&#3585;&#3634;&#3619;&#3588;&#3621;&#3633;&#3591;&#3611;&#3637;255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52;&#3607;&#3619;&#3650;&#3618;&#3588;\&#3629;&#3610;&#3605;.&#3610;&#3657;&#3629;&#3591;&#3605;&#3637;&#3657;%20&#3649;&#3610;&#3610;&#3619;&#3634;&#3618;&#3591;&#3634;&#3609;&#3626;&#3606;&#3636;&#3605;&#3636;&#3585;&#3634;&#3619;&#3588;&#3621;&#3633;&#3591;&#3611;&#3637;2557_&#3629;&#3610;&#3605;.&#3610;&#3657;&#3629;&#3591;&#3605;&#3637;&#3657;_&#3592;.&#3585;&#3634;&#3597;&#3592;&#3609;&#3610;&#3640;&#3619;&#363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0;&#3656;&#3629;&#3614;&#3621;&#3629;&#3618;\&#3629;&#3610;&#3605;.&#3610;&#3656;&#3629;&#3614;&#3621;&#3629;&#3618;%20&#3649;&#3610;&#3610;&#3619;&#3634;&#3618;&#3591;&#3634;&#3609;&#3626;&#3606;&#3636;&#3605;&#3636;&#3585;&#3634;&#3619;&#3588;&#3621;&#3633;&#3591;&#3611;&#3637;255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0;&#3656;&#3629;&#3614;&#3621;&#3629;&#3618;\&#3629;&#3610;&#3605;.&#3627;&#3609;&#3629;&#3591;&#3585;&#3640;&#3656;&#3617;%20&#3649;&#3610;&#3610;&#3619;&#3634;&#3618;&#3591;&#3634;&#3609;&#3626;&#3606;&#3636;&#3605;&#3636;&#3585;&#3634;&#3619;&#3588;&#3621;&#3633;&#3591;&#3611;&#3637;255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0;&#3656;&#3629;&#3614;&#3621;&#3629;&#3618;\&#3629;&#3610;&#3605;.&#3627;&#3609;&#3629;&#3591;&#3619;&#3637;%20&#3649;&#3610;&#3610;&#3619;&#3634;&#3618;&#3591;&#3634;&#3609;&#3626;&#3606;&#3636;&#3605;&#3636;&#3585;&#3634;&#3619;&#3588;&#3621;&#3633;&#3591;&#3611;&#3637;2557_(&#3629;&#3591;&#3588;&#3660;&#3585;&#3634;&#3619;&#3610;&#3619;&#3636;&#3627;&#3634;&#3619;&#3626;&#3656;&#3623;&#3609;&#3605;&#3635;&#3610;&#3621;&#3627;&#3609;&#3629;&#3591;&#3619;&#3637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0;&#3656;&#3629;&#3614;&#3621;&#3629;&#3618;\&#3629;&#3610;&#3605;.&#3627;&#3621;&#3640;&#3617;&#3619;&#3633;&#3591;%20&#3649;&#3610;&#3610;&#3619;&#3634;&#3618;&#3591;&#3634;&#3609;&#3626;&#3606;&#3636;&#3605;&#3636;&#3585;&#3634;&#3619;&#3588;&#3621;&#3633;&#3591;&#3611;&#3637;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27;&#3609;&#3629;&#3591;&#3610;&#3633;&#3623;%20&#3619;&#3634;&#3618;&#3591;&#3634;&#3609;&#3626;&#3606;&#3636;&#3605;&#3636;&#3588;&#3621;&#3633;&#3591;5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0;&#3656;&#3629;&#3614;&#3621;&#3629;&#3618;\&#3629;&#3610;&#3605;.&#3594;&#3656;&#3629;&#3591;&#3604;&#3656;&#3634;&#3609;%20&#3626;&#3635;&#3648;&#3609;&#3634;&#3586;&#3629;&#3591;_&#3649;&#3610;&#3610;&#3619;&#3634;&#3618;&#3591;&#3634;&#3609;&#3626;&#3606;&#3636;&#3605;&#3636;&#3585;&#3634;&#3619;&#3588;&#3621;&#3633;&#3591;&#3611;&#3637;2557__&#3629;&#3591;&#3588;&#3660;&#3585;&#3634;&#3619;&#3610;&#3619;&#3636;&#3627;&#3634;&#3619;&#3626;&#3656;&#3623;&#3609;&#3605;&#3635;&#3610;&#3621;&#3594;&#3656;&#3629;&#3591;&#3604;&#3656;&#3634;&#360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0;&#3656;&#3629;&#3614;&#3621;&#3629;&#3618;\&#3629;&#3610;&#3605;.&#3627;&#3609;&#3629;&#3591;&#3585;&#3619;&#3656;&#3634;&#3591;%20&#3649;&#3610;&#3610;&#3619;&#3634;&#3618;&#3591;&#3634;&#3609;&#3626;&#3606;&#3636;&#3605;&#3636;&#3585;&#3634;&#3619;&#3588;&#3621;&#3633;&#3591;&#3611;&#3637;255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4;&#3619;&#3637;&#3626;&#3623;&#3633;&#3626;&#3604;&#3636;&#3660;\&#3629;&#3610;&#3605;.&#3609;&#3634;&#3626;&#3623;&#3609;%20&#3626;&#3606;&#3636;&#3605;&#3636;&#3585;&#3634;&#3619;&#3588;&#3621;&#3633;&#3591;_&#3611;&#3637;__255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4;&#3619;&#3637;&#3626;&#3623;&#3633;&#3626;&#3604;&#3636;&#3660;\&#3629;&#3610;&#3605;.&#3604;&#3656;&#3634;&#3609;&#3649;&#3617;&#3656;&#3649;&#3593;&#3621;&#3610;%20&#3649;&#3610;&#3610;&#3619;&#3634;&#3618;&#3591;&#3634;&#3609;&#3626;&#3606;&#3636;&#3605;&#3636;&#3585;&#3634;&#3619;&#3588;&#3621;&#3633;&#3591;&#3611;&#3637;255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4;&#3619;&#3637;&#3626;&#3623;&#3633;&#3626;&#3604;&#3636;&#3660;\&#3629;&#3610;&#3605;.&#3627;&#3609;&#3629;&#3591;&#3648;&#3611;&#3655;&#3604;%20&#3649;&#3610;&#3610;&#3619;&#3634;&#3618;&#3591;&#3634;&#3609;&#3626;&#3606;&#3636;&#3605;&#3636;&#3585;&#3634;&#3619;&#3588;&#3621;&#3633;&#3591;&#3611;&#3637;2557_&#3629;&#3610;&#3605;.&#3627;&#3609;&#3629;&#3591;&#3648;&#3611;&#3655;&#360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4;&#3619;&#3637;&#3626;&#3623;&#3633;&#3626;&#3604;&#3636;&#3660;\&#3629;&#3610;&#3605;.&#3607;&#3656;&#3634;&#3585;&#3619;&#3632;&#3604;&#3634;&#3609;%20&#3626;&#3606;&#3636;&#3605;&#3636;&#3585;&#3634;&#3619;&#3588;&#3621;&#3633;&#3591;_255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4;&#3619;&#3637;&#3626;&#3623;&#3633;&#3626;&#3604;&#3636;&#3660;\&#3629;&#3610;&#3605;.&#3649;&#3617;&#3656;&#3585;&#3619;&#3632;&#3610;&#3640;&#3591;%20&#3626;&#3635;&#3648;&#3609;&#3634;&#3586;&#3629;&#3591;_&#3649;&#3610;&#3610;&#3619;&#3634;&#3618;&#3591;&#3634;&#3609;&#3626;&#3606;&#3636;&#3605;&#3636;&#3585;&#3634;&#3619;&#3588;&#3621;&#3633;&#3591;&#3611;&#3637;255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14;&#3591;&#3605;&#3638;&#3585;%20&#3649;&#3610;&#3610;&#3619;&#3634;&#3618;&#3619;&#3633;&#3610;&#3619;&#3634;&#3618;&#3592;&#3656;&#3634;&#361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18;&#3634;&#3591;&#3617;&#3656;&#3623;&#3591;%20&#3649;&#3610;&#3610;&#3619;&#3634;&#3618;&#3591;&#3634;&#3609;&#3626;&#3606;&#3636;&#3605;&#3636;&#3585;&#3634;&#3619;&#3588;&#3621;&#3633;&#3591;&#3611;&#3637;2557_&#3629;&#3610;&#3605;.&#3618;&#3634;&#3591;&#3617;&#3656;&#3623;&#359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04;&#3629;&#3609;&#3594;&#3632;&#3648;&#3629;&#3617;%20&#3649;&#3610;&#3610;&#3619;&#3634;&#3618;&#3591;&#3634;&#3609;&#3626;&#3606;&#3636;&#3605;&#3636;&#3585;&#3634;&#3619;&#3588;&#3621;&#3633;&#3591;&#3611;&#3637;2557_(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21;&#3634;&#3604;&#3627;&#3597;&#3657;&#3634;%20&#3649;&#3610;&#3610;&#3619;&#3634;&#3618;&#3591;&#3634;&#3609;&#3626;&#3606;&#3636;&#3605;&#3636;&#3585;&#3634;&#3619;&#3588;&#3621;&#3633;&#3591;&#3611;&#3637;255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05;&#3632;&#3588;&#3619;&#3657;&#3635;&#3648;&#3629;&#3609;%20&#3626;&#3606;&#3636;&#3605;&#3636;&#3585;&#3634;&#3619;&#3588;&#3621;&#3633;&#3591;_&#3611;&#3637;_255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07;&#3656;&#3634;&#3617;&#3632;&#3585;&#3634;%20&#3649;&#3610;&#3610;&#3619;&#3634;&#3618;&#3591;&#3634;&#3609;&#3626;&#3606;&#3636;&#3605;&#3636;&#3585;&#3634;&#3619;&#3588;&#3621;&#3633;&#3591;&#3611;&#3637;255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50;&#3588;&#3585;&#3605;&#3632;&#3610;&#3629;&#3591;%20&#3626;&#3606;&#3636;&#3605;&#3636;_255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29;&#3640;&#3650;&#3621;&#3585;&#3626;&#3637;&#3656;&#3627;&#3617;&#3639;&#3656;&#3609;%20&#3649;&#3610;&#3610;&#3619;&#3634;&#3618;&#3591;&#3634;&#3609;&#3626;&#3606;&#3636;&#3605;&#3636;&#3585;&#3634;&#3619;&#3588;&#3621;&#3633;&#3591;&#3611;&#3637;255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48;&#3586;&#3634;&#3626;&#3634;&#3617;&#3626;&#3636;&#3610;&#3627;&#3634;&#3610;%20&#3649;&#3610;&#3610;&#3619;&#3634;&#3618;&#3591;&#3634;&#3609;&#3626;&#3606;&#3636;&#3605;&#3636;&#3585;&#3634;&#3619;&#3588;&#3621;&#3633;&#3591;&#3611;&#3637;255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27;&#3623;&#3634;&#3618;&#3648;&#3627;&#3609;&#3637;&#3618;&#3623;%20income255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49;&#3626;&#3609;&#3605;&#3629;%20&#3649;&#3610;&#3610;&#3619;&#3634;&#3618;&#3591;&#3634;&#3609;&#3626;&#3606;&#3636;&#3605;&#3636;&#3585;&#3634;&#3619;&#3588;&#3621;&#3633;&#3591;&#3611;&#3637;255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26;&#3609;&#3634;&#3617;&#3649;&#3618;&#3657;%20&#3649;&#3610;&#3610;&#3619;&#3634;&#3618;&#3591;&#3634;&#3609;&#3626;&#3606;&#3636;&#3605;&#3636;&#3585;&#3634;&#3619;&#3588;&#3621;&#3633;&#3591;&#3611;&#3637;255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32;&#3585;&#3634;\&#3629;&#3610;&#3605;.&#3607;&#3656;&#3634;&#3648;&#3626;&#3634;%20(&#3607;&#3656;&#3634;&#3617;&#3632;&#3585;&#3634;)%20&#3649;&#3610;&#3610;&#3619;&#3634;&#3618;&#3591;&#3634;&#3609;&#3626;&#3606;&#3636;&#3605;&#3636;&#3585;&#3634;&#3619;&#3588;&#3621;&#3633;&#3591;&#3611;&#3637;255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07;&#3656;&#3634;&#3617;&#3656;&#3623;&#3591;%20&#3649;&#3610;&#3610;&#3619;&#3634;&#3618;&#3591;&#3634;&#3609;&#3626;&#3606;&#3636;&#3605;&#3636;&#3585;&#3634;&#3619;&#3588;&#3621;&#3633;&#3591;&#3611;&#3637;255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23;&#3633;&#3591;&#3604;&#3657;&#3591;%20&#3649;&#3610;&#3610;&#3619;&#3634;&#3618;&#3591;&#3634;&#3609;&#3626;&#3606;&#3636;&#3605;&#3636;&#3585;&#3634;&#3619;&#3588;&#3621;&#3633;&#3591;&#3611;&#3637;255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07;&#3640;&#3656;&#3591;&#3607;&#3629;&#3591;%20&#3649;&#3610;&#3610;&#3619;&#3634;&#3618;&#3591;&#3634;&#3609;&#3626;&#3606;&#3636;&#3605;&#3636;&#3585;&#3634;&#3619;&#3588;&#3621;&#3633;&#3591;&#3611;&#3637;255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48;&#3586;&#3634;&#3609;&#3657;&#3629;&#3618;%20&#3649;&#3610;&#3610;&#3619;&#3634;&#3618;&#3591;&#3634;&#3609;&#3626;&#3606;&#3636;&#3605;&#3636;&#3585;&#3634;&#3619;&#3588;&#3621;&#3633;&#3591;&#3611;&#3637;2557_(2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10;&#3657;&#3634;&#3609;&#3651;&#3627;&#3617;&#3656;%20&#3649;&#3610;&#3610;&#3619;&#3634;&#3618;&#3591;&#3634;&#3609;&#3626;&#3606;&#3636;&#3605;&#3636;&#3585;&#3634;&#3619;&#3588;&#3621;&#3633;&#3591;&#3611;&#3637;2557_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14;&#3633;&#3591;&#3605;&#3619;&#3640;%20(&#3629;.&#3607;&#3656;&#3634;&#3617;&#3656;&#3623;&#3591;)%20&#3649;&#3610;&#3610;&#3619;&#3634;&#3618;&#3591;&#3634;&#3609;&#3626;&#3606;&#3636;&#3605;&#3636;&#3585;&#3634;&#3619;&#3588;&#3621;&#3633;&#3591;&#3611;&#3637;255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07;&#3656;&#3634;&#3605;&#3632;&#3588;&#3619;&#3657;&#3629;%20&#3649;&#3610;&#3610;&#3619;&#3634;&#3618;&#3591;&#3634;&#3609;&#3626;&#3606;&#3636;&#3605;&#3636;&#3585;&#3634;&#3619;&#3588;&#3621;&#3633;&#3591;&#3611;&#3637;255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19;&#3634;&#3591;&#3626;&#3634;&#3621;&#3637;&#3656;%20&#3649;&#3610;&#3610;&#3619;&#3634;&#3618;&#3591;&#3634;&#3609;&#3626;&#3606;&#3636;&#3605;&#3636;&#3585;&#3634;&#3619;&#3588;&#3621;&#3633;&#3591;&#3611;&#3637;255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56;&#3634;&#3617;&#3656;&#3623;&#3591;\&#3629;&#3610;&#3605;.&#3627;&#3609;&#3629;&#3591;&#3605;&#3634;&#3585;&#3618;&#3634;%20&#3649;&#3610;&#3610;&#3619;&#3634;&#3618;&#3591;&#3634;&#3609;&#3626;&#3606;&#3636;&#3605;&#3636;&#3585;&#3634;&#3619;&#3588;&#3621;&#3633;&#3591;&#3611;&#3637;255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29;&#3591;&#3612;&#3634;&#3616;&#3641;&#3617;&#3636;\&#3629;&#3610;&#3605;.&#3611;&#3636;&#3621;&#3658;&#3629;&#3585;%20&#3619;&#3634;&#3618;&#3591;&#3634;&#3609;&#3626;&#3606;&#3636;&#3605;&#3636;&#3585;&#3634;&#3619;&#3588;&#3621;&#3633;&#3591;&#3611;&#3619;&#3632;&#3592;&#3635;&#3611;&#3637;_2557_&#3629;&#3610;&#3605;.&#3611;&#3636;&#3621;&#3658;&#3629;&#3585;_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29;&#3591;&#3612;&#3634;&#3616;&#3641;&#3617;&#3636;\&#3629;&#3610;&#3605;.&#3627;&#3636;&#3609;&#3604;&#3634;&#3604;%20&#3649;&#3610;&#3610;&#3619;&#3634;&#3618;&#3619;&#3633;&#3610;&#3619;&#3634;&#3618;&#3592;&#3656;&#3634;&#3618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29;&#3591;&#3612;&#3634;&#3616;&#3641;&#3617;&#3636;\&#3629;&#3610;&#3605;.&#3594;&#3632;&#3649;&#3621;%20&#3649;&#3610;&#3610;&#3619;&#3634;&#3618;&#3591;&#3634;&#3609;&#3626;&#3606;&#3636;&#3605;&#3636;&#3585;&#3634;&#3619;&#3588;&#3621;&#3633;&#3591;&#3611;&#3637;2557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594;&#3656;&#3629;&#3591;&#3626;&#3632;&#3648;&#3604;&#3634;%20&#3626;&#3635;&#3648;&#3609;&#3634;&#3586;&#3629;&#3591;_&#3649;&#3610;&#3610;&#3619;&#3634;&#3618;&#3591;&#3634;&#3609;&#3626;&#3606;&#3636;&#3605;&#3636;&#3585;&#3634;&#3619;&#3588;&#3621;&#3633;&#3591;&#3611;&#3637;255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7;&#3629;&#3591;&#3612;&#3634;&#3616;&#3641;&#3617;&#3636;\&#3629;&#3610;&#3605;.&#3627;&#3657;&#3623;&#3618;&#3648;&#3586;&#3618;&#3656;&#3591;%20&#3649;&#3610;&#3610;&#3619;&#3634;&#3618;&#3591;&#3634;&#3609;&#3626;&#3606;&#3636;&#3605;&#3636;&#3585;&#3634;&#3619;&#3588;&#3621;&#3633;&#3591;&#3611;&#3637;255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6;&#3633;&#3591;&#3586;&#3621;&#3632;&#3610;&#3640;&#3619;&#3637;\&#3629;&#3610;&#3605;.&#3627;&#3609;&#3629;&#3591;&#3621;&#3641;%20&#3649;&#3610;&#3610;&#3619;&#3634;&#3618;&#3591;&#3634;&#3609;&#3626;&#3606;&#3636;&#3605;&#3636;&#3585;&#3634;&#3619;&#3588;&#3621;&#3633;&#3591;&#3611;&#3637;255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6;&#3633;&#3591;&#3586;&#3621;&#3632;&#3610;&#3640;&#3619;&#3637;\&#3629;&#3610;&#3605;.&#3611;&#3619;&#3633;&#3591;&#3648;&#3612;&#3621;%20&#3649;&#3610;&#3610;&#3619;&#3634;&#3618;&#3591;&#3634;&#3609;&#3626;&#3606;&#3636;&#3605;&#3636;&#3585;&#3634;&#3619;&#3588;&#3621;&#3633;&#3591;&#3611;&#3637;2557_(1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6;&#3633;&#3591;&#3586;&#3621;&#3632;&#3610;&#3640;&#3619;&#3637;\&#3629;&#3610;&#3605;.&#3652;&#3621;&#3656;&#3650;&#3623;&#3656;%20&#3649;&#3610;&#3610;&#3619;&#3634;&#3618;&#3591;&#3634;&#3609;&#3626;&#3606;&#3636;&#3605;&#3636;&#3585;&#3634;&#3619;&#3588;&#3621;&#3633;&#3591;&#3611;&#3637;255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4;&#3609;&#3617;&#3607;&#3623;&#3609;\&#3629;&#3610;&#3605;.&#3614;&#3609;&#3617;&#3607;&#3623;&#3609;%20&#3649;&#3610;&#3610;&#3619;&#3634;&#3618;&#3591;&#3634;&#3609;&#3626;&#3606;&#3636;&#3605;&#3636;&#3585;&#3634;&#3619;&#3588;&#3621;&#3633;&#3591;&#3611;&#3637;2557&#3621;&#3656;&#3634;&#3626;&#3640;&#360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4;&#3609;&#3617;&#3607;&#3623;&#3609;\&#3629;&#3610;&#3605;.&#3627;&#3609;&#3629;&#3591;&#3650;&#3619;&#3591;%20&#3649;&#3610;&#3610;&#3619;&#3634;&#3618;&#3591;&#3634;&#3609;&#3626;&#3606;&#3636;&#3605;&#3636;&#3585;&#3634;&#3619;&#3588;&#3621;&#3633;&#3591;&#3611;&#3637;255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4;&#3609;&#3617;&#3607;&#3623;&#3609;\&#3629;&#3610;&#3605;.&#3607;&#3640;&#3591;&#3626;&#3617;&#3629;%20&#3649;&#3610;&#3610;&#3619;&#3634;&#3618;&#3619;&#3633;&#3610;&#3619;&#3634;&#3618;&#3592;&#3656;&#3634;&#3618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4;&#3609;&#3617;&#3607;&#3623;&#3609;\&#3629;&#3610;&#3605;.&#3614;&#3633;&#3591;&#3605;&#3619;&#3640;%20(&#3629;.&#3614;&#3609;&#3617;&#3607;&#3623;&#3609;)%20&#3649;&#3610;&#3610;&#3619;&#3634;&#3618;&#3591;&#3634;&#3609;&#3626;&#3606;&#3636;&#3605;&#3636;&#3585;&#3634;&#3619;&#3588;&#3621;&#3633;&#3591;&#3611;&#3637;255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14;&#3609;&#3617;&#3607;&#3623;&#3609;\&#3629;&#3610;&#3605;.&#3604;&#3629;&#3609;&#3605;&#3634;&#3648;&#3614;&#3594;&#3619;%20&#3619;&#3634;&#3618;&#3591;&#3634;&#3609;&#3626;&#3606;&#3636;&#3605;&#3636;&#3585;&#3634;&#3619;&#3588;&#3621;&#3633;&#3591;&#3611;&#3637;5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48;&#3621;&#3634;&#3586;&#3623;&#3633;&#3597;%20&#3649;&#3610;&#3610;&#3619;&#3634;&#3618;&#3591;&#3634;&#3609;&#3626;&#3606;&#3636;&#3605;&#3636;&#3585;&#3634;&#3619;&#3588;&#3621;&#3633;&#3591;&#3611;&#3637;255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27;&#3609;&#3629;&#3591;&#3627;&#3597;&#3657;&#3634;%20&#3649;&#3610;&#3610;&#3619;&#3634;&#3618;&#3591;&#3634;&#3609;&#3626;&#3606;&#3636;&#3605;&#3585;&#3634;&#3619;&#3588;&#3621;&#3633;&#3591;&#3611;&#3637;2557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27;&#3609;&#3629;&#3591;&#3650;&#3626;&#3609;%20&#3626;&#3606;&#3636;&#3605;&#3636;&#3585;&#3634;&#3619;&#3588;&#3621;&#3633;&#3591;_&#3611;&#3637;_5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27;&#3609;&#3629;&#3591;&#3611;&#3619;&#3632;&#3604;&#3641;&#3656;%20&#3626;&#3635;&#3648;&#3609;&#3634;&#3586;&#3629;&#3591;_&#3649;&#3610;&#3610;&#3619;&#3634;&#3618;&#3591;&#3634;&#3609;&#3626;&#3606;&#3636;&#3605;&#3636;&#3585;&#3634;&#3619;&#3588;&#3621;&#3633;&#3591;&#3611;&#3637;2557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27;&#3609;&#3629;&#3591;&#3611;&#3621;&#3636;&#3591;%20&#3649;&#3610;&#3610;&#3619;&#3634;&#3618;&#3591;&#3634;&#3609;&#3626;&#3606;&#3636;&#3605;&#3636;&#3585;&#3634;&#3619;&#3588;&#3621;&#3633;&#3591;&#3611;&#3637;255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27;&#3609;&#3629;&#3591;&#3609;&#3585;&#3649;&#3585;&#3657;&#3623;%20&#3649;&#3610;&#3610;&#3619;&#3634;&#3618;&#3591;&#3634;&#3609;&#3626;&#3606;&#3636;&#3605;&#3636;&#3585;&#3634;&#3619;&#3588;&#3621;&#3633;&#3591;&#3611;&#3637;2557(&#3629;&#3610;&#3605;.&#3627;&#3609;&#3629;&#3591;&#3609;&#3585;&#3649;&#3585;&#3657;&#3623;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07;&#3640;&#3656;&#3591;&#3585;&#3619;&#3632;&#3610;&#3656;&#3635;%20&#3649;&#3610;&#3610;&#3619;&#3634;&#3618;&#3591;&#3634;&#3609;&#3626;&#3606;&#3636;&#3605;&#3636;&#3585;&#3634;&#3619;&#3588;&#3621;&#3633;&#3591;&#3611;&#3637;255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21;&#3634;&#3586;&#3623;&#3633;&#3597;\&#3629;&#3610;&#3605;.&#3627;&#3609;&#3629;&#3591;&#3613;&#3657;&#3634;&#3618;%20&#3626;&#3606;&#3636;&#3605;&#3636;&#3585;&#3634;&#3619;&#3588;&#3621;&#3633;&#3591;&#3607;&#3657;&#3629;&#3591;&#3606;&#3636;&#3656;&#3609;&#3619;&#3633;&#3610;-&#3592;&#3656;&#3634;&#3618;5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4;&#3656;&#3634;&#3609;&#3617;&#3632;&#3586;&#3634;&#3617;&#3648;&#3605;&#3637;&#3657;&#3618;\&#3629;&#3610;&#3605;.&#3604;&#3656;&#3634;&#3609;&#3617;&#3632;&#3586;&#3634;&#3617;&#3648;&#3605;&#3637;&#3657;&#3618;%20&#3649;&#3610;&#3610;&#3619;&#3634;&#3618;&#3591;&#3634;&#3609;&#3626;&#3606;&#3636;&#3605;&#3636;&#3585;&#3634;&#3619;&#3588;&#3621;&#3633;&#3591;&#3611;&#3637;2557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4;&#3656;&#3634;&#3609;&#3617;&#3632;&#3586;&#3634;&#3617;&#3648;&#3605;&#3637;&#3657;&#3618;\&#3629;&#3610;&#3605;.&#3585;&#3621;&#3629;&#3609;&#3650;&#3604;%20&#3649;&#3610;&#3610;&#3619;&#3634;&#3618;&#3591;&#3634;&#3609;&#3626;&#3606;&#3636;&#3605;&#3636;&#3585;&#3634;&#3619;&#3588;&#3621;&#3633;&#3591;&#3611;&#3637;2557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4;&#3656;&#3634;&#3609;&#3617;&#3632;&#3586;&#3634;&#3617;&#3648;&#3605;&#3637;&#3657;&#3618;\&#3629;&#3610;&#3605;.&#3592;&#3619;&#3648;&#3586;&#3657;&#3648;&#3612;&#3639;&#3629;&#3585;&#3649;&#3610;&#3610;&#3619;&#3634;&#3618;&#3591;&#3634;&#3609;&#3626;&#3606;&#3636;&#3605;&#3636;&#3585;&#3634;&#3619;&#3588;&#3621;&#3633;&#3591;&#3611;&#3637;2557_(1)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04;&#3656;&#3634;&#3609;&#3617;&#3632;&#3586;&#3634;&#3617;&#3648;&#3605;&#3637;&#3657;&#3618;\&#3629;&#3610;&#3605;.&#3627;&#3609;&#3629;&#3591;&#3652;&#3612;&#3656;%20&#3649;&#3610;&#3610;&#3619;&#3634;&#3618;&#3591;&#3634;&#3609;&#3626;&#3606;&#3636;&#3605;&#3636;&#3585;&#3634;&#3619;&#3588;&#3621;&#3633;&#3591;&#3611;&#3637;255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48;&#3585;&#3634;&#3632;&#3626;&#3635;&#3650;&#3619;&#3591;%20&#3649;&#3610;&#3610;&#3619;&#3634;&#3618;&#3591;&#3634;&#3609;&#3626;&#3606;&#3636;&#3605;&#3636;&#3585;&#3634;&#3619;&#3588;&#3621;&#3633;&#3591;&#3611;&#3637;2557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7;&#3609;&#3629;&#3591;&#3611;&#3619;&#3639;&#3629;\&#3629;&#3610;&#3605;.&#3627;&#3609;&#3629;&#3591;&#3611;&#3619;&#3639;&#3629;%20&#3649;&#3610;&#3610;&#3619;&#3634;&#3618;&#3591;&#3634;&#3609;&#3626;&#3606;&#3636;&#3605;&#3636;&#3585;&#3634;&#3619;&#3588;&#3621;&#3633;&#3591;&#3611;&#3637;2557_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7;&#3657;&#3623;&#3618;&#3585;&#3619;&#3632;&#3648;&#3592;&#3634;\&#3629;&#3610;&#3605;.&#3623;&#3633;&#3591;&#3652;&#3612;&#3656;%20&#3649;&#3610;&#3610;&#3619;&#3634;&#3618;&#3591;&#3634;&#3609;&#3626;&#3606;&#3636;&#3605;&#3636;&#3585;&#3634;&#3619;&#3588;&#3621;&#3633;&#3591;&#3611;&#3637;_2557_&#3629;&#3610;&#3605;.&#3623;&#3633;&#3591;&#3652;&#3612;&#365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27;&#3657;&#3623;&#3618;&#3585;&#3619;&#3632;&#3648;&#3592;&#3634;\&#3629;&#3610;&#3605;.&#3604;&#3629;&#3609;&#3649;&#3626;&#3621;&#3610;%20&#3649;&#3610;&#3610;&#3619;&#3634;&#3618;&#3591;&#3634;&#3609;&#3626;&#3606;&#3636;&#3605;&#3636;&#3585;&#3634;&#3619;&#3588;&#3621;&#3633;&#3591;&#3611;&#3637;255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10;&#3657;&#3634;&#3609;&#3648;&#3585;&#3656;&#3634;%20income255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Kcnburi-nso\Desktop\&#3610;&#3607;&#3607;&#3637;&#3656;%2016\&#3619;&#3634;&#3618;&#3619;&#3633;&#3610;&#3619;&#3634;&#3618;&#3592;&#3656;&#3634;&#3618;\&#3629;.&#3648;&#3617;&#3639;&#3629;&#3591;\&#3629;&#3610;&#3605;.&#3623;&#3633;&#3591;&#3648;&#3618;&#3655;&#3609;%20&#3649;&#3610;&#3610;&#3619;&#3634;&#3618;&#3591;&#3634;&#3609;&#3626;&#3606;&#3636;&#3605;&#3636;&#3585;&#3634;&#3619;&#3588;&#3621;&#3633;&#3591;&#3611;&#3637;255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659869.37</v>
          </cell>
        </row>
        <row r="43">
          <cell r="D43">
            <v>12230803.67</v>
          </cell>
        </row>
        <row r="86">
          <cell r="D86">
            <v>174299.1</v>
          </cell>
        </row>
        <row r="93">
          <cell r="D93">
            <v>238217.5</v>
          </cell>
        </row>
        <row r="110">
          <cell r="D110">
            <v>113430</v>
          </cell>
        </row>
        <row r="114">
          <cell r="D114">
            <v>5782557</v>
          </cell>
        </row>
        <row r="123">
          <cell r="D123">
            <v>5415162.1200000001</v>
          </cell>
        </row>
        <row r="131">
          <cell r="D131">
            <v>8801811.7400000002</v>
          </cell>
        </row>
      </sheetData>
      <sheetData sheetId="1">
        <row r="25">
          <cell r="D25">
            <v>460603</v>
          </cell>
        </row>
        <row r="30">
          <cell r="D30">
            <v>5164153</v>
          </cell>
        </row>
        <row r="36">
          <cell r="D36">
            <v>5374786.0999999996</v>
          </cell>
        </row>
        <row r="40">
          <cell r="D40">
            <v>5060454.41</v>
          </cell>
        </row>
        <row r="45">
          <cell r="D45">
            <v>120000</v>
          </cell>
        </row>
        <row r="46">
          <cell r="D46">
            <v>18000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986368.18</v>
          </cell>
        </row>
        <row r="43">
          <cell r="D43">
            <v>14364539.700000001</v>
          </cell>
        </row>
        <row r="86">
          <cell r="D86">
            <v>268761</v>
          </cell>
        </row>
        <row r="93">
          <cell r="D93">
            <v>242011.51</v>
          </cell>
        </row>
        <row r="110">
          <cell r="D110">
            <v>45051.08</v>
          </cell>
        </row>
        <row r="114">
          <cell r="D114">
            <v>10155302</v>
          </cell>
        </row>
        <row r="123">
          <cell r="D123">
            <v>7686837.4000000004</v>
          </cell>
        </row>
        <row r="131">
          <cell r="D131">
            <v>232263</v>
          </cell>
        </row>
      </sheetData>
      <sheetData sheetId="1">
        <row r="25">
          <cell r="D25">
            <v>1898707</v>
          </cell>
        </row>
        <row r="30">
          <cell r="D30">
            <v>5811625</v>
          </cell>
        </row>
        <row r="36">
          <cell r="D36">
            <v>7947034.5999999996</v>
          </cell>
        </row>
        <row r="40">
          <cell r="D40">
            <v>5260597.03</v>
          </cell>
        </row>
        <row r="45">
          <cell r="D45">
            <v>3093929</v>
          </cell>
        </row>
        <row r="46">
          <cell r="D46">
            <v>954073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1089448.56</v>
          </cell>
        </row>
        <row r="43">
          <cell r="D43">
            <v>16271656.149999999</v>
          </cell>
        </row>
        <row r="86">
          <cell r="D86">
            <v>149806</v>
          </cell>
        </row>
        <row r="93">
          <cell r="D93">
            <v>454351.23</v>
          </cell>
        </row>
        <row r="110">
          <cell r="D110">
            <v>14400</v>
          </cell>
        </row>
        <row r="114">
          <cell r="D114">
            <v>13509328</v>
          </cell>
        </row>
        <row r="123">
          <cell r="D123">
            <v>5664490</v>
          </cell>
        </row>
        <row r="131">
          <cell r="D131">
            <v>543170</v>
          </cell>
        </row>
      </sheetData>
      <sheetData sheetId="1">
        <row r="25">
          <cell r="D25">
            <v>696345</v>
          </cell>
        </row>
        <row r="30">
          <cell r="D30">
            <v>7873288.9400000004</v>
          </cell>
        </row>
        <row r="36">
          <cell r="D36">
            <v>4740066.4000000004</v>
          </cell>
        </row>
        <row r="40">
          <cell r="D40">
            <v>3613611.36</v>
          </cell>
        </row>
        <row r="45">
          <cell r="D45">
            <v>4473285.66</v>
          </cell>
        </row>
        <row r="46">
          <cell r="D46">
            <v>1119788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887205.1</v>
          </cell>
        </row>
        <row r="43">
          <cell r="D43">
            <v>12604370.060000001</v>
          </cell>
        </row>
        <row r="86">
          <cell r="D86">
            <v>118918.39999999999</v>
          </cell>
        </row>
        <row r="93">
          <cell r="D93">
            <v>178075.6</v>
          </cell>
        </row>
        <row r="110">
          <cell r="D110">
            <v>52350</v>
          </cell>
        </row>
        <row r="114">
          <cell r="D114">
            <v>6651565</v>
          </cell>
        </row>
        <row r="123">
          <cell r="D123">
            <v>9147561.0099999998</v>
          </cell>
        </row>
      </sheetData>
      <sheetData sheetId="1">
        <row r="25">
          <cell r="D25">
            <v>804847</v>
          </cell>
        </row>
        <row r="30">
          <cell r="D30">
            <v>5157192</v>
          </cell>
        </row>
        <row r="36">
          <cell r="D36">
            <v>9756443.8300000001</v>
          </cell>
        </row>
        <row r="40">
          <cell r="D40">
            <v>2403333.87</v>
          </cell>
        </row>
        <row r="45">
          <cell r="D45">
            <v>2160000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495459.86</v>
          </cell>
        </row>
        <row r="43">
          <cell r="D43">
            <v>15792091.4</v>
          </cell>
        </row>
        <row r="86">
          <cell r="D86">
            <v>55365.25</v>
          </cell>
        </row>
        <row r="93">
          <cell r="D93">
            <v>358026.23</v>
          </cell>
        </row>
        <row r="110">
          <cell r="D110">
            <v>14020.66</v>
          </cell>
        </row>
        <row r="114">
          <cell r="D114">
            <v>10578733</v>
          </cell>
        </row>
        <row r="123">
          <cell r="D123">
            <v>6266307</v>
          </cell>
        </row>
        <row r="131">
          <cell r="D131">
            <v>0</v>
          </cell>
        </row>
      </sheetData>
      <sheetData sheetId="1">
        <row r="25">
          <cell r="D25">
            <v>607682</v>
          </cell>
        </row>
        <row r="30">
          <cell r="D30">
            <v>6035832</v>
          </cell>
        </row>
        <row r="36">
          <cell r="D36">
            <v>6360333.1600000001</v>
          </cell>
        </row>
        <row r="40">
          <cell r="D40">
            <v>3386000</v>
          </cell>
        </row>
        <row r="45">
          <cell r="D45">
            <v>1457000</v>
          </cell>
        </row>
        <row r="46">
          <cell r="D46">
            <v>612878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567233.07000000007</v>
          </cell>
        </row>
        <row r="43">
          <cell r="D43">
            <v>14676945.730000002</v>
          </cell>
        </row>
        <row r="86">
          <cell r="D86">
            <v>21807.200000000001</v>
          </cell>
        </row>
        <row r="93">
          <cell r="D93">
            <v>391153.06</v>
          </cell>
        </row>
        <row r="110">
          <cell r="D110">
            <v>124440</v>
          </cell>
        </row>
        <row r="114">
          <cell r="D114">
            <v>12246820</v>
          </cell>
        </row>
        <row r="123">
          <cell r="D123">
            <v>10238460</v>
          </cell>
        </row>
      </sheetData>
      <sheetData sheetId="1">
        <row r="25">
          <cell r="D25">
            <v>732910</v>
          </cell>
        </row>
        <row r="30">
          <cell r="D30">
            <v>4862632.54</v>
          </cell>
        </row>
        <row r="36">
          <cell r="D36">
            <v>5727663.4000000004</v>
          </cell>
        </row>
        <row r="40">
          <cell r="D40">
            <v>3703206.46</v>
          </cell>
        </row>
        <row r="46">
          <cell r="D46">
            <v>700490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471768.89</v>
          </cell>
        </row>
        <row r="43">
          <cell r="D43">
            <v>11190441.200000001</v>
          </cell>
        </row>
        <row r="86">
          <cell r="D86">
            <v>214627.20000000001</v>
          </cell>
        </row>
        <row r="93">
          <cell r="D93">
            <v>219569.55</v>
          </cell>
        </row>
        <row r="110">
          <cell r="D110">
            <v>98800</v>
          </cell>
        </row>
        <row r="114">
          <cell r="D114">
            <v>11240671</v>
          </cell>
        </row>
        <row r="123">
          <cell r="D123">
            <v>3526910</v>
          </cell>
        </row>
        <row r="131">
          <cell r="D131">
            <v>3743000</v>
          </cell>
        </row>
      </sheetData>
      <sheetData sheetId="1">
        <row r="25">
          <cell r="D25">
            <v>379927</v>
          </cell>
        </row>
        <row r="30">
          <cell r="D30">
            <v>4548322</v>
          </cell>
        </row>
        <row r="36">
          <cell r="D36">
            <v>7510960.1600000001</v>
          </cell>
        </row>
        <row r="40">
          <cell r="D40">
            <v>5185256</v>
          </cell>
        </row>
        <row r="45">
          <cell r="D45">
            <v>4113800</v>
          </cell>
        </row>
        <row r="46">
          <cell r="D46">
            <v>628767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952838.46</v>
          </cell>
        </row>
        <row r="43">
          <cell r="D43">
            <v>14771703.34</v>
          </cell>
        </row>
        <row r="86">
          <cell r="D86">
            <v>0</v>
          </cell>
        </row>
        <row r="93">
          <cell r="D93">
            <v>0</v>
          </cell>
        </row>
        <row r="100">
          <cell r="D100">
            <v>0</v>
          </cell>
        </row>
        <row r="110">
          <cell r="D110">
            <v>0</v>
          </cell>
        </row>
        <row r="114">
          <cell r="D114">
            <v>10145755</v>
          </cell>
        </row>
        <row r="123">
          <cell r="D123">
            <v>16023530</v>
          </cell>
        </row>
      </sheetData>
      <sheetData sheetId="1">
        <row r="25">
          <cell r="D25">
            <v>873764</v>
          </cell>
        </row>
        <row r="30">
          <cell r="D30">
            <v>7675689</v>
          </cell>
        </row>
        <row r="36">
          <cell r="D36">
            <v>4212329.32</v>
          </cell>
        </row>
        <row r="40">
          <cell r="D40">
            <v>7439759.1600000001</v>
          </cell>
        </row>
        <row r="45">
          <cell r="D45">
            <v>2848056</v>
          </cell>
        </row>
        <row r="46">
          <cell r="D46">
            <v>970934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908607.37</v>
          </cell>
        </row>
        <row r="43">
          <cell r="D43">
            <v>22588699.050000004</v>
          </cell>
        </row>
        <row r="86">
          <cell r="D86">
            <v>242500.8</v>
          </cell>
        </row>
        <row r="93">
          <cell r="D93">
            <v>563199.93999999994</v>
          </cell>
        </row>
        <row r="100">
          <cell r="D100">
            <v>0</v>
          </cell>
        </row>
        <row r="110">
          <cell r="D110">
            <v>168000</v>
          </cell>
        </row>
        <row r="114">
          <cell r="D114">
            <v>21503463</v>
          </cell>
        </row>
        <row r="123">
          <cell r="D123">
            <v>16432926.619999999</v>
          </cell>
        </row>
      </sheetData>
      <sheetData sheetId="1">
        <row r="25">
          <cell r="D25">
            <v>922636</v>
          </cell>
        </row>
        <row r="30">
          <cell r="D30">
            <v>8592370</v>
          </cell>
        </row>
        <row r="36">
          <cell r="D36">
            <v>6019277.0499999998</v>
          </cell>
        </row>
        <row r="40">
          <cell r="D40">
            <v>3013600</v>
          </cell>
        </row>
        <row r="45">
          <cell r="D45">
            <v>4746000</v>
          </cell>
        </row>
        <row r="46">
          <cell r="D46">
            <v>1108333.76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235003.66999999998</v>
          </cell>
        </row>
        <row r="43">
          <cell r="D43">
            <v>12352492.99</v>
          </cell>
        </row>
        <row r="86">
          <cell r="D86">
            <v>3138.6</v>
          </cell>
        </row>
        <row r="93">
          <cell r="D93">
            <v>115087.69</v>
          </cell>
        </row>
        <row r="100">
          <cell r="D100">
            <v>0</v>
          </cell>
        </row>
        <row r="110">
          <cell r="D110">
            <v>45207</v>
          </cell>
        </row>
        <row r="114">
          <cell r="D114">
            <v>5689387</v>
          </cell>
        </row>
        <row r="123">
          <cell r="D123">
            <v>0</v>
          </cell>
        </row>
        <row r="131">
          <cell r="D131">
            <v>340630.67</v>
          </cell>
        </row>
      </sheetData>
      <sheetData sheetId="1">
        <row r="25">
          <cell r="D25">
            <v>639611</v>
          </cell>
        </row>
        <row r="30">
          <cell r="D30">
            <v>3949647</v>
          </cell>
        </row>
        <row r="36">
          <cell r="D36">
            <v>8630620.1400000006</v>
          </cell>
        </row>
        <row r="40">
          <cell r="D40">
            <v>1574200</v>
          </cell>
        </row>
        <row r="45">
          <cell r="D45">
            <v>1864000</v>
          </cell>
        </row>
        <row r="46">
          <cell r="D46">
            <v>720744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1912528.53</v>
          </cell>
        </row>
        <row r="43">
          <cell r="D43">
            <v>17831327.670000002</v>
          </cell>
        </row>
        <row r="86">
          <cell r="D86">
            <v>261038.4</v>
          </cell>
        </row>
        <row r="93">
          <cell r="D93">
            <v>373084.18</v>
          </cell>
        </row>
        <row r="100">
          <cell r="D100">
            <v>0</v>
          </cell>
        </row>
        <row r="110">
          <cell r="D110">
            <v>153790</v>
          </cell>
        </row>
        <row r="114">
          <cell r="D114">
            <v>15110761</v>
          </cell>
        </row>
        <row r="123">
          <cell r="D123">
            <v>10560842</v>
          </cell>
        </row>
        <row r="131">
          <cell r="D131">
            <v>2444.48</v>
          </cell>
        </row>
      </sheetData>
      <sheetData sheetId="1">
        <row r="25">
          <cell r="D25">
            <v>9787854</v>
          </cell>
        </row>
        <row r="30">
          <cell r="D30">
            <v>10325111</v>
          </cell>
        </row>
        <row r="36">
          <cell r="D36">
            <v>6879380.4799999995</v>
          </cell>
        </row>
        <row r="40">
          <cell r="D40">
            <v>13332609.08</v>
          </cell>
        </row>
        <row r="45">
          <cell r="D45">
            <v>4292000</v>
          </cell>
        </row>
        <row r="46">
          <cell r="D46">
            <v>678726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741192.17</v>
          </cell>
        </row>
        <row r="43">
          <cell r="D43">
            <v>12559987.469999999</v>
          </cell>
        </row>
        <row r="86">
          <cell r="D86">
            <v>507828.71</v>
          </cell>
        </row>
        <row r="93">
          <cell r="D93">
            <v>136830.15</v>
          </cell>
        </row>
        <row r="110">
          <cell r="D110">
            <v>99655.7</v>
          </cell>
        </row>
        <row r="114">
          <cell r="D114">
            <v>8186200</v>
          </cell>
        </row>
        <row r="123">
          <cell r="D123">
            <v>7346488</v>
          </cell>
        </row>
        <row r="131">
          <cell r="D131">
            <v>1487280</v>
          </cell>
        </row>
      </sheetData>
      <sheetData sheetId="1">
        <row r="25">
          <cell r="D25">
            <v>456401</v>
          </cell>
        </row>
        <row r="30">
          <cell r="D30">
            <v>6335081.5099999998</v>
          </cell>
        </row>
        <row r="36">
          <cell r="D36">
            <v>7894984.3399999999</v>
          </cell>
        </row>
        <row r="40">
          <cell r="D40">
            <v>3179755.79</v>
          </cell>
        </row>
        <row r="45">
          <cell r="D45">
            <v>2623442.37</v>
          </cell>
        </row>
        <row r="46">
          <cell r="D46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543480.25</v>
          </cell>
        </row>
        <row r="43">
          <cell r="D43">
            <v>16132725.760000002</v>
          </cell>
        </row>
        <row r="86">
          <cell r="D86">
            <v>14094.4</v>
          </cell>
        </row>
        <row r="93">
          <cell r="D93">
            <v>241820.46</v>
          </cell>
        </row>
        <row r="100">
          <cell r="D100">
            <v>0</v>
          </cell>
        </row>
        <row r="110">
          <cell r="D110">
            <v>138650</v>
          </cell>
        </row>
        <row r="114">
          <cell r="D114">
            <v>12294640</v>
          </cell>
        </row>
        <row r="123">
          <cell r="D123">
            <v>22309424</v>
          </cell>
        </row>
      </sheetData>
      <sheetData sheetId="1">
        <row r="25">
          <cell r="D25">
            <v>805723</v>
          </cell>
        </row>
        <row r="30">
          <cell r="D30">
            <v>7445698</v>
          </cell>
        </row>
        <row r="36">
          <cell r="D36">
            <v>6513022.5300000003</v>
          </cell>
        </row>
        <row r="40">
          <cell r="D40">
            <v>3007580.08</v>
          </cell>
        </row>
        <row r="45">
          <cell r="D45">
            <v>4111988.3</v>
          </cell>
        </row>
        <row r="46">
          <cell r="D46">
            <v>898908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200081.91</v>
          </cell>
        </row>
        <row r="43">
          <cell r="D43">
            <v>12036209.159999998</v>
          </cell>
        </row>
        <row r="86">
          <cell r="D86">
            <v>2804.4</v>
          </cell>
        </row>
        <row r="93">
          <cell r="D93">
            <v>152867.57999999999</v>
          </cell>
        </row>
        <row r="100">
          <cell r="D100">
            <v>0</v>
          </cell>
        </row>
        <row r="110">
          <cell r="D110">
            <v>126910</v>
          </cell>
        </row>
        <row r="114">
          <cell r="D114">
            <v>7611065</v>
          </cell>
        </row>
        <row r="123">
          <cell r="D123">
            <v>4728044</v>
          </cell>
        </row>
        <row r="131">
          <cell r="D131">
            <v>3406659</v>
          </cell>
        </row>
      </sheetData>
      <sheetData sheetId="1">
        <row r="25">
          <cell r="D25">
            <v>1362706.2</v>
          </cell>
        </row>
        <row r="30">
          <cell r="D30">
            <v>5799206</v>
          </cell>
        </row>
        <row r="36">
          <cell r="D36">
            <v>4258885.68</v>
          </cell>
        </row>
        <row r="40">
          <cell r="D40">
            <v>1283880</v>
          </cell>
        </row>
        <row r="45">
          <cell r="D45">
            <v>10432839.4</v>
          </cell>
        </row>
        <row r="46">
          <cell r="D46">
            <v>741938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  <sheetName val="Sheet1"/>
    </sheetNames>
    <sheetDataSet>
      <sheetData sheetId="0">
        <row r="24">
          <cell r="D24">
            <v>117757.82</v>
          </cell>
        </row>
        <row r="43">
          <cell r="D43">
            <v>12219432.760000002</v>
          </cell>
        </row>
        <row r="86">
          <cell r="D86">
            <v>8764.6</v>
          </cell>
        </row>
        <row r="93">
          <cell r="D93">
            <v>149707.20000000001</v>
          </cell>
        </row>
        <row r="100">
          <cell r="D100">
            <v>0</v>
          </cell>
        </row>
        <row r="110">
          <cell r="D110">
            <v>10700</v>
          </cell>
        </row>
        <row r="114">
          <cell r="D114">
            <v>7959119</v>
          </cell>
        </row>
        <row r="123">
          <cell r="D123">
            <v>3434430</v>
          </cell>
        </row>
      </sheetData>
      <sheetData sheetId="1">
        <row r="25">
          <cell r="D25">
            <v>182484.5</v>
          </cell>
        </row>
        <row r="30">
          <cell r="D30">
            <v>4193604.79</v>
          </cell>
        </row>
        <row r="36">
          <cell r="D36">
            <v>3102496.49</v>
          </cell>
        </row>
        <row r="40">
          <cell r="D40">
            <v>4671672</v>
          </cell>
        </row>
        <row r="45">
          <cell r="D45">
            <v>2941952.9</v>
          </cell>
        </row>
        <row r="46">
          <cell r="D46">
            <v>586041.75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147884.96</v>
          </cell>
        </row>
        <row r="43">
          <cell r="D43">
            <v>12001701.510000002</v>
          </cell>
        </row>
        <row r="86">
          <cell r="D86">
            <v>132703</v>
          </cell>
        </row>
        <row r="93">
          <cell r="D93">
            <v>354703.67</v>
          </cell>
        </row>
        <row r="100">
          <cell r="D100">
            <v>0</v>
          </cell>
        </row>
        <row r="110">
          <cell r="D110">
            <v>32300</v>
          </cell>
        </row>
        <row r="114">
          <cell r="D114">
            <v>7314856</v>
          </cell>
        </row>
        <row r="123">
          <cell r="D123">
            <v>0</v>
          </cell>
        </row>
        <row r="131">
          <cell r="D131">
            <v>3979000</v>
          </cell>
        </row>
      </sheetData>
      <sheetData sheetId="1">
        <row r="25">
          <cell r="D25">
            <v>287729</v>
          </cell>
        </row>
        <row r="30">
          <cell r="D30">
            <v>5255154.3</v>
          </cell>
        </row>
        <row r="36">
          <cell r="D36">
            <v>3773612.13</v>
          </cell>
        </row>
        <row r="40">
          <cell r="D40">
            <v>5760286.8700000001</v>
          </cell>
        </row>
        <row r="45">
          <cell r="D45">
            <v>2351400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43640.100000000006</v>
          </cell>
        </row>
        <row r="43">
          <cell r="D43">
            <v>11821315.700000001</v>
          </cell>
        </row>
        <row r="86">
          <cell r="D86">
            <v>91625.4</v>
          </cell>
        </row>
        <row r="93">
          <cell r="D93">
            <v>0</v>
          </cell>
        </row>
        <row r="100">
          <cell r="D100">
            <v>0</v>
          </cell>
        </row>
        <row r="110">
          <cell r="D110">
            <v>159829.06</v>
          </cell>
        </row>
        <row r="114">
          <cell r="D114">
            <v>5139237</v>
          </cell>
        </row>
        <row r="123">
          <cell r="D123">
            <v>3105760</v>
          </cell>
        </row>
        <row r="131">
          <cell r="D131">
            <v>3837782.06</v>
          </cell>
        </row>
      </sheetData>
      <sheetData sheetId="1">
        <row r="25">
          <cell r="D25">
            <v>217221</v>
          </cell>
        </row>
        <row r="30">
          <cell r="D30">
            <v>4099705.24</v>
          </cell>
        </row>
        <row r="36">
          <cell r="D36">
            <v>3472165.4000000004</v>
          </cell>
        </row>
        <row r="40">
          <cell r="D40">
            <v>4394877.87</v>
          </cell>
        </row>
        <row r="45">
          <cell r="D45">
            <v>1229500</v>
          </cell>
        </row>
        <row r="46">
          <cell r="D46">
            <v>402453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697848.27</v>
          </cell>
        </row>
        <row r="43">
          <cell r="D43">
            <v>12491250.880000001</v>
          </cell>
        </row>
        <row r="86">
          <cell r="D86">
            <v>248327.8</v>
          </cell>
        </row>
        <row r="93">
          <cell r="D93">
            <v>104693.8</v>
          </cell>
        </row>
        <row r="100">
          <cell r="D100">
            <v>0</v>
          </cell>
        </row>
        <row r="110">
          <cell r="D110">
            <v>10230</v>
          </cell>
        </row>
        <row r="114">
          <cell r="D114">
            <v>7104367</v>
          </cell>
        </row>
        <row r="123">
          <cell r="D123">
            <v>5320855</v>
          </cell>
        </row>
        <row r="131">
          <cell r="D131">
            <v>597000</v>
          </cell>
        </row>
      </sheetData>
      <sheetData sheetId="1">
        <row r="25">
          <cell r="D25">
            <v>723786.83000000007</v>
          </cell>
        </row>
        <row r="30">
          <cell r="D30">
            <v>5914966.5199999996</v>
          </cell>
        </row>
        <row r="36">
          <cell r="D36">
            <v>4180907.05</v>
          </cell>
        </row>
        <row r="40">
          <cell r="D40">
            <v>4534297.78</v>
          </cell>
        </row>
        <row r="45">
          <cell r="D45">
            <v>2113787.96</v>
          </cell>
        </row>
        <row r="46">
          <cell r="D46">
            <v>804420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0</v>
          </cell>
        </row>
        <row r="43">
          <cell r="D43">
            <v>13008208.800000001</v>
          </cell>
        </row>
        <row r="86">
          <cell r="D86">
            <v>24186</v>
          </cell>
        </row>
        <row r="93">
          <cell r="D93">
            <v>146997.74</v>
          </cell>
        </row>
        <row r="100">
          <cell r="D100">
            <v>0</v>
          </cell>
        </row>
        <row r="110">
          <cell r="D110">
            <v>30500</v>
          </cell>
        </row>
        <row r="114">
          <cell r="D114">
            <v>6802966</v>
          </cell>
        </row>
        <row r="123">
          <cell r="D123">
            <v>5852730</v>
          </cell>
        </row>
      </sheetData>
      <sheetData sheetId="1">
        <row r="25">
          <cell r="D25">
            <v>452136.17</v>
          </cell>
        </row>
        <row r="30">
          <cell r="D30">
            <v>4625916</v>
          </cell>
        </row>
        <row r="36">
          <cell r="D36">
            <v>3122591.1399999997</v>
          </cell>
        </row>
        <row r="40">
          <cell r="D40">
            <v>876400</v>
          </cell>
        </row>
        <row r="45">
          <cell r="D45">
            <v>2279256</v>
          </cell>
        </row>
        <row r="46">
          <cell r="D46">
            <v>594032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133408.78</v>
          </cell>
        </row>
        <row r="43">
          <cell r="D43">
            <v>12086021.810000002</v>
          </cell>
        </row>
        <row r="86">
          <cell r="D86">
            <v>35115.4</v>
          </cell>
        </row>
        <row r="93">
          <cell r="D93">
            <v>186762.68</v>
          </cell>
        </row>
        <row r="100">
          <cell r="D100">
            <v>0</v>
          </cell>
        </row>
        <row r="110">
          <cell r="D110">
            <v>24595</v>
          </cell>
        </row>
        <row r="114">
          <cell r="D114">
            <v>5504856</v>
          </cell>
        </row>
        <row r="123">
          <cell r="D123">
            <v>6006290</v>
          </cell>
        </row>
        <row r="131">
          <cell r="D131">
            <v>714565</v>
          </cell>
        </row>
      </sheetData>
      <sheetData sheetId="1">
        <row r="25">
          <cell r="D25">
            <v>243708.5</v>
          </cell>
        </row>
        <row r="30">
          <cell r="D30">
            <v>5579714</v>
          </cell>
        </row>
        <row r="36">
          <cell r="D36">
            <v>3347133.16</v>
          </cell>
        </row>
        <row r="40">
          <cell r="D40">
            <v>2373200</v>
          </cell>
        </row>
        <row r="45">
          <cell r="D45">
            <v>1185000</v>
          </cell>
        </row>
        <row r="46">
          <cell r="D46">
            <v>18000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141198.35999999999</v>
          </cell>
        </row>
        <row r="43">
          <cell r="D43">
            <v>13890391.809999997</v>
          </cell>
        </row>
        <row r="86">
          <cell r="D86">
            <v>28209</v>
          </cell>
        </row>
        <row r="93">
          <cell r="D93">
            <v>261687.44</v>
          </cell>
        </row>
        <row r="100">
          <cell r="D100">
            <v>0</v>
          </cell>
        </row>
        <row r="110">
          <cell r="D110">
            <v>21100</v>
          </cell>
        </row>
        <row r="114">
          <cell r="D114">
            <v>7580021</v>
          </cell>
        </row>
        <row r="123">
          <cell r="D123">
            <v>8258865</v>
          </cell>
        </row>
        <row r="131">
          <cell r="D131">
            <v>0</v>
          </cell>
        </row>
      </sheetData>
      <sheetData sheetId="1">
        <row r="25">
          <cell r="D25">
            <v>583095</v>
          </cell>
        </row>
        <row r="30">
          <cell r="D30">
            <v>8754186.5</v>
          </cell>
        </row>
        <row r="36">
          <cell r="D36">
            <v>5878443.9299999997</v>
          </cell>
        </row>
        <row r="40">
          <cell r="D40">
            <v>1803100.29</v>
          </cell>
        </row>
        <row r="45">
          <cell r="D45">
            <v>1652000</v>
          </cell>
        </row>
        <row r="46">
          <cell r="D46">
            <v>6412707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95502.17</v>
          </cell>
        </row>
        <row r="43">
          <cell r="D43">
            <v>14497723.899999999</v>
          </cell>
        </row>
        <row r="86">
          <cell r="D86">
            <v>115629.8</v>
          </cell>
        </row>
        <row r="93">
          <cell r="D93">
            <v>199811.63</v>
          </cell>
        </row>
        <row r="100">
          <cell r="D100">
            <v>240843</v>
          </cell>
        </row>
        <row r="110">
          <cell r="D110">
            <v>38328</v>
          </cell>
        </row>
        <row r="114">
          <cell r="D114">
            <v>9435018</v>
          </cell>
        </row>
        <row r="123">
          <cell r="D123">
            <v>7029600</v>
          </cell>
        </row>
        <row r="131">
          <cell r="D131">
            <v>3071645</v>
          </cell>
        </row>
      </sheetData>
      <sheetData sheetId="1">
        <row r="25">
          <cell r="D25">
            <v>577291</v>
          </cell>
        </row>
        <row r="30">
          <cell r="D30">
            <v>7313055</v>
          </cell>
        </row>
        <row r="36">
          <cell r="D36">
            <v>6047023.9900000002</v>
          </cell>
        </row>
        <row r="40">
          <cell r="D40">
            <v>2388900</v>
          </cell>
        </row>
        <row r="45">
          <cell r="D45">
            <v>8963161.6099999994</v>
          </cell>
        </row>
        <row r="46">
          <cell r="D46">
            <v>974153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951712.16</v>
          </cell>
        </row>
        <row r="43">
          <cell r="D43">
            <v>33579154.200000003</v>
          </cell>
        </row>
        <row r="86">
          <cell r="D86">
            <v>471579.8</v>
          </cell>
        </row>
        <row r="93">
          <cell r="D93">
            <v>1098873.3600000001</v>
          </cell>
        </row>
        <row r="110">
          <cell r="D110">
            <v>203637.53</v>
          </cell>
        </row>
        <row r="114">
          <cell r="D114">
            <v>30303925</v>
          </cell>
        </row>
        <row r="123">
          <cell r="D123">
            <v>22394154</v>
          </cell>
        </row>
      </sheetData>
      <sheetData sheetId="1">
        <row r="25">
          <cell r="D25">
            <v>936556</v>
          </cell>
        </row>
        <row r="30">
          <cell r="D30">
            <v>8985318</v>
          </cell>
        </row>
        <row r="36">
          <cell r="D36">
            <v>13801360.770000001</v>
          </cell>
        </row>
        <row r="40">
          <cell r="D40">
            <v>34136283.649999999</v>
          </cell>
        </row>
        <row r="45">
          <cell r="D45">
            <v>4727913.3600000003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1521133.4900000002</v>
          </cell>
        </row>
        <row r="43">
          <cell r="D43">
            <v>23185083.530000001</v>
          </cell>
        </row>
        <row r="86">
          <cell r="D86">
            <v>33459</v>
          </cell>
        </row>
        <row r="93">
          <cell r="D93">
            <v>242160.94</v>
          </cell>
        </row>
        <row r="100">
          <cell r="D100">
            <v>2304245</v>
          </cell>
        </row>
        <row r="110">
          <cell r="D110">
            <v>70580</v>
          </cell>
        </row>
        <row r="114">
          <cell r="D114">
            <v>18792708</v>
          </cell>
        </row>
        <row r="123">
          <cell r="D123">
            <v>18352805</v>
          </cell>
        </row>
        <row r="131">
          <cell r="D131">
            <v>2882500</v>
          </cell>
        </row>
      </sheetData>
      <sheetData sheetId="1">
        <row r="25">
          <cell r="D25">
            <v>1062504.82</v>
          </cell>
        </row>
        <row r="30">
          <cell r="D30">
            <v>11819748.77</v>
          </cell>
        </row>
        <row r="36">
          <cell r="D36">
            <v>13681524.629999999</v>
          </cell>
        </row>
        <row r="40">
          <cell r="D40">
            <v>10427762.41</v>
          </cell>
        </row>
        <row r="45">
          <cell r="D45">
            <v>4085020</v>
          </cell>
        </row>
        <row r="46">
          <cell r="D46">
            <v>1966507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254744.97</v>
          </cell>
        </row>
        <row r="43">
          <cell r="D43">
            <v>13127908.979999999</v>
          </cell>
        </row>
        <row r="86">
          <cell r="D86">
            <v>31980.6</v>
          </cell>
        </row>
        <row r="93">
          <cell r="D93">
            <v>157503.51999999999</v>
          </cell>
        </row>
        <row r="100">
          <cell r="D100">
            <v>0</v>
          </cell>
        </row>
        <row r="110">
          <cell r="D110">
            <v>23000</v>
          </cell>
        </row>
        <row r="114">
          <cell r="D114">
            <v>5405592</v>
          </cell>
        </row>
        <row r="123">
          <cell r="D123">
            <v>7154865</v>
          </cell>
        </row>
        <row r="131">
          <cell r="D131">
            <v>4177239</v>
          </cell>
        </row>
      </sheetData>
      <sheetData sheetId="1">
        <row r="25">
          <cell r="D25">
            <v>1030337.8</v>
          </cell>
        </row>
        <row r="30">
          <cell r="D30">
            <v>8879897</v>
          </cell>
        </row>
        <row r="36">
          <cell r="D36">
            <v>3837201.6999999997</v>
          </cell>
        </row>
        <row r="40">
          <cell r="D40">
            <v>166523.72</v>
          </cell>
        </row>
        <row r="45">
          <cell r="D45">
            <v>1142000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68512.67</v>
          </cell>
        </row>
        <row r="43">
          <cell r="D43">
            <v>12243244.579999998</v>
          </cell>
        </row>
        <row r="86">
          <cell r="D86">
            <v>4548.3999999999996</v>
          </cell>
        </row>
        <row r="93">
          <cell r="D93">
            <v>0</v>
          </cell>
        </row>
        <row r="100">
          <cell r="D100">
            <v>270</v>
          </cell>
        </row>
        <row r="110">
          <cell r="D110">
            <v>131316.69</v>
          </cell>
        </row>
        <row r="114">
          <cell r="D114">
            <v>3402787</v>
          </cell>
        </row>
        <row r="123">
          <cell r="D123">
            <v>6466340</v>
          </cell>
        </row>
      </sheetData>
      <sheetData sheetId="1">
        <row r="25">
          <cell r="D25">
            <v>300166.7</v>
          </cell>
        </row>
        <row r="30">
          <cell r="D30">
            <v>6059492.8899999997</v>
          </cell>
        </row>
        <row r="36">
          <cell r="D36">
            <v>2864068.52</v>
          </cell>
        </row>
        <row r="40">
          <cell r="D40">
            <v>982317.58</v>
          </cell>
        </row>
        <row r="45">
          <cell r="D45">
            <v>6954661.1000000006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  <sheetName val="รายงานความเข้ากันได้"/>
      <sheetName val="Sheet1"/>
    </sheetNames>
    <sheetDataSet>
      <sheetData sheetId="0">
        <row r="24">
          <cell r="D24">
            <v>1292840.96</v>
          </cell>
        </row>
        <row r="43">
          <cell r="D43">
            <v>15096323.619999999</v>
          </cell>
        </row>
        <row r="86">
          <cell r="D86">
            <v>152382.53</v>
          </cell>
        </row>
        <row r="93">
          <cell r="D93">
            <v>203638.7</v>
          </cell>
        </row>
        <row r="100">
          <cell r="D100">
            <v>0</v>
          </cell>
        </row>
        <row r="110">
          <cell r="D110">
            <v>22500</v>
          </cell>
        </row>
        <row r="114">
          <cell r="D114">
            <v>8701793</v>
          </cell>
        </row>
        <row r="123">
          <cell r="D123">
            <v>6885726</v>
          </cell>
        </row>
        <row r="131">
          <cell r="D131">
            <v>846183</v>
          </cell>
        </row>
      </sheetData>
      <sheetData sheetId="1">
        <row r="25">
          <cell r="D25">
            <v>784345.87</v>
          </cell>
        </row>
        <row r="30">
          <cell r="D30">
            <v>6841179</v>
          </cell>
        </row>
        <row r="36">
          <cell r="D36">
            <v>5439743.1799999997</v>
          </cell>
        </row>
        <row r="40">
          <cell r="D40">
            <v>2647700</v>
          </cell>
        </row>
        <row r="45">
          <cell r="D45">
            <v>2410000</v>
          </cell>
        </row>
        <row r="46">
          <cell r="D46">
            <v>1821477</v>
          </cell>
        </row>
      </sheetData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102956.31</v>
          </cell>
        </row>
        <row r="43">
          <cell r="D43">
            <v>13815879.460000001</v>
          </cell>
        </row>
        <row r="86">
          <cell r="D86">
            <v>6370.6</v>
          </cell>
        </row>
        <row r="93">
          <cell r="D93">
            <v>311182.05</v>
          </cell>
        </row>
        <row r="100">
          <cell r="D100">
            <v>48480.05</v>
          </cell>
        </row>
        <row r="110">
          <cell r="D110">
            <v>10500</v>
          </cell>
        </row>
        <row r="114">
          <cell r="D114">
            <v>7550710</v>
          </cell>
        </row>
        <row r="123">
          <cell r="D123">
            <v>7083912.5</v>
          </cell>
        </row>
      </sheetData>
      <sheetData sheetId="1">
        <row r="25">
          <cell r="D25">
            <v>235099.5</v>
          </cell>
        </row>
        <row r="30">
          <cell r="D30">
            <v>6227152</v>
          </cell>
        </row>
        <row r="36">
          <cell r="D36">
            <v>3339086.1799999997</v>
          </cell>
        </row>
        <row r="40">
          <cell r="D40">
            <v>3319500</v>
          </cell>
        </row>
        <row r="45">
          <cell r="D45">
            <v>1997000</v>
          </cell>
        </row>
        <row r="46">
          <cell r="D46">
            <v>698513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85826.17</v>
          </cell>
        </row>
        <row r="43">
          <cell r="D43">
            <v>11795806.649999999</v>
          </cell>
        </row>
        <row r="86">
          <cell r="D86">
            <v>48224.4</v>
          </cell>
        </row>
        <row r="93">
          <cell r="D93">
            <v>250930.34</v>
          </cell>
        </row>
        <row r="100">
          <cell r="D100">
            <v>0</v>
          </cell>
        </row>
        <row r="110">
          <cell r="D110">
            <v>8010</v>
          </cell>
        </row>
        <row r="114">
          <cell r="D114">
            <v>3060206</v>
          </cell>
        </row>
        <row r="123">
          <cell r="D123">
            <v>2423100</v>
          </cell>
        </row>
        <row r="131">
          <cell r="D131">
            <v>0</v>
          </cell>
        </row>
      </sheetData>
      <sheetData sheetId="1">
        <row r="25">
          <cell r="D25">
            <v>2613520</v>
          </cell>
        </row>
        <row r="30">
          <cell r="D30">
            <v>5480805</v>
          </cell>
        </row>
        <row r="36">
          <cell r="D36">
            <v>2141873.88</v>
          </cell>
        </row>
        <row r="40">
          <cell r="D40">
            <v>1495920</v>
          </cell>
        </row>
        <row r="45">
          <cell r="D45">
            <v>259378.31</v>
          </cell>
        </row>
        <row r="46">
          <cell r="D46">
            <v>562955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994920.04</v>
          </cell>
        </row>
        <row r="43">
          <cell r="D43">
            <v>20343756.280000001</v>
          </cell>
        </row>
        <row r="86">
          <cell r="D86">
            <v>661956.69999999995</v>
          </cell>
        </row>
        <row r="93">
          <cell r="D93">
            <v>503854.38</v>
          </cell>
        </row>
        <row r="100">
          <cell r="D100">
            <v>0</v>
          </cell>
        </row>
        <row r="110">
          <cell r="D110">
            <v>31830</v>
          </cell>
        </row>
        <row r="114">
          <cell r="D114">
            <v>10813097</v>
          </cell>
        </row>
        <row r="123">
          <cell r="D123">
            <v>9339850</v>
          </cell>
        </row>
      </sheetData>
      <sheetData sheetId="1">
        <row r="25">
          <cell r="D25">
            <v>9153733.8499999996</v>
          </cell>
        </row>
        <row r="30">
          <cell r="D30">
            <v>8851835.5600000005</v>
          </cell>
        </row>
        <row r="36">
          <cell r="D36">
            <v>7343302.4799999995</v>
          </cell>
        </row>
        <row r="40">
          <cell r="D40">
            <v>7750446.0199999996</v>
          </cell>
        </row>
        <row r="45">
          <cell r="D45">
            <v>2278000</v>
          </cell>
        </row>
        <row r="46">
          <cell r="D46">
            <v>1455873.09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126002.69</v>
          </cell>
        </row>
        <row r="43">
          <cell r="D43">
            <v>14405624.309999999</v>
          </cell>
        </row>
        <row r="86">
          <cell r="D86">
            <v>41150</v>
          </cell>
        </row>
        <row r="93">
          <cell r="D93">
            <v>2063912.71</v>
          </cell>
        </row>
        <row r="100">
          <cell r="D100">
            <v>0</v>
          </cell>
        </row>
        <row r="110">
          <cell r="D110">
            <v>62754</v>
          </cell>
        </row>
        <row r="114">
          <cell r="D114">
            <v>8329615</v>
          </cell>
        </row>
        <row r="123">
          <cell r="D123">
            <v>8692242</v>
          </cell>
        </row>
      </sheetData>
      <sheetData sheetId="1">
        <row r="25">
          <cell r="D25">
            <v>1069197</v>
          </cell>
        </row>
        <row r="30">
          <cell r="D30">
            <v>7662845</v>
          </cell>
        </row>
        <row r="36">
          <cell r="D36">
            <v>6174658.4400000004</v>
          </cell>
        </row>
        <row r="40">
          <cell r="D40">
            <v>9152857.4299999997</v>
          </cell>
        </row>
        <row r="45">
          <cell r="D45">
            <v>10929592</v>
          </cell>
        </row>
        <row r="46">
          <cell r="D46">
            <v>1733763.96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80963.98</v>
          </cell>
        </row>
        <row r="43">
          <cell r="D43">
            <v>12416800.720000003</v>
          </cell>
        </row>
        <row r="86">
          <cell r="D86">
            <v>8434.2000000000007</v>
          </cell>
        </row>
        <row r="93">
          <cell r="D93">
            <v>201057.16</v>
          </cell>
        </row>
        <row r="100">
          <cell r="D100">
            <v>0</v>
          </cell>
        </row>
        <row r="110">
          <cell r="D110">
            <v>22930</v>
          </cell>
        </row>
        <row r="114">
          <cell r="D114">
            <v>7973870</v>
          </cell>
        </row>
        <row r="123">
          <cell r="D123">
            <v>6648230</v>
          </cell>
        </row>
      </sheetData>
      <sheetData sheetId="1">
        <row r="25">
          <cell r="D25">
            <v>218591</v>
          </cell>
        </row>
        <row r="30">
          <cell r="D30">
            <v>6405789.2000000002</v>
          </cell>
        </row>
        <row r="36">
          <cell r="D36">
            <v>4703672.09</v>
          </cell>
        </row>
        <row r="40">
          <cell r="D40">
            <v>2276800</v>
          </cell>
        </row>
        <row r="45">
          <cell r="D45">
            <v>917000</v>
          </cell>
        </row>
        <row r="46">
          <cell r="D46">
            <v>658427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322145.25</v>
          </cell>
        </row>
        <row r="43">
          <cell r="D43">
            <v>14541654.709999999</v>
          </cell>
        </row>
        <row r="86">
          <cell r="D86">
            <v>217565.8</v>
          </cell>
        </row>
        <row r="93">
          <cell r="D93">
            <v>280514.33</v>
          </cell>
        </row>
        <row r="100">
          <cell r="D100">
            <v>0</v>
          </cell>
        </row>
        <row r="110">
          <cell r="D110">
            <v>4730</v>
          </cell>
        </row>
        <row r="114">
          <cell r="D114">
            <v>4898543</v>
          </cell>
        </row>
        <row r="123">
          <cell r="D123">
            <v>3235630</v>
          </cell>
        </row>
        <row r="131">
          <cell r="D131">
            <v>803500</v>
          </cell>
        </row>
      </sheetData>
      <sheetData sheetId="1">
        <row r="25">
          <cell r="D25">
            <v>3064375</v>
          </cell>
        </row>
        <row r="30">
          <cell r="D30">
            <v>5011707.04</v>
          </cell>
        </row>
        <row r="36">
          <cell r="D36">
            <v>1944335.06</v>
          </cell>
        </row>
        <row r="40">
          <cell r="D40">
            <v>1097200</v>
          </cell>
        </row>
        <row r="45">
          <cell r="D45">
            <v>732200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1491721.9100000001</v>
          </cell>
        </row>
        <row r="43">
          <cell r="D43">
            <v>17049117.210000001</v>
          </cell>
        </row>
        <row r="86">
          <cell r="D86">
            <v>125411.4</v>
          </cell>
        </row>
        <row r="93">
          <cell r="D93">
            <v>379590.38</v>
          </cell>
        </row>
        <row r="110">
          <cell r="D110">
            <v>19878.8</v>
          </cell>
        </row>
        <row r="114">
          <cell r="D114">
            <v>6569863</v>
          </cell>
        </row>
        <row r="123">
          <cell r="D123">
            <v>22973404.240000002</v>
          </cell>
        </row>
      </sheetData>
      <sheetData sheetId="1">
        <row r="25">
          <cell r="D25">
            <v>9626817.1999999993</v>
          </cell>
        </row>
        <row r="30">
          <cell r="D30">
            <v>9944604</v>
          </cell>
        </row>
        <row r="36">
          <cell r="D36">
            <v>11973377.220000001</v>
          </cell>
        </row>
        <row r="40">
          <cell r="D40">
            <v>7805090.8200000003</v>
          </cell>
        </row>
        <row r="45">
          <cell r="D45">
            <v>3832655.52</v>
          </cell>
        </row>
        <row r="46">
          <cell r="D46">
            <v>1190956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357839.8</v>
          </cell>
        </row>
        <row r="43">
          <cell r="D43">
            <v>17272005.48</v>
          </cell>
        </row>
        <row r="86">
          <cell r="D86">
            <v>127231.2</v>
          </cell>
        </row>
        <row r="93">
          <cell r="D93">
            <v>344005.5</v>
          </cell>
        </row>
        <row r="100">
          <cell r="D100">
            <v>0</v>
          </cell>
        </row>
        <row r="110">
          <cell r="D110">
            <v>44260</v>
          </cell>
        </row>
        <row r="114">
          <cell r="D114">
            <v>10689840</v>
          </cell>
        </row>
        <row r="123">
          <cell r="D123">
            <v>10058291</v>
          </cell>
        </row>
        <row r="131">
          <cell r="D131">
            <v>4279426.46</v>
          </cell>
        </row>
      </sheetData>
      <sheetData sheetId="1">
        <row r="25">
          <cell r="D25">
            <v>598144</v>
          </cell>
        </row>
        <row r="30">
          <cell r="D30">
            <v>8369047.8099999996</v>
          </cell>
        </row>
        <row r="36">
          <cell r="D36">
            <v>6321076.9100000001</v>
          </cell>
        </row>
        <row r="40">
          <cell r="D40">
            <v>5649948.3799999999</v>
          </cell>
        </row>
        <row r="45">
          <cell r="D45">
            <v>2320784.54</v>
          </cell>
        </row>
        <row r="46">
          <cell r="D46">
            <v>2075120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233844.33000000002</v>
          </cell>
        </row>
        <row r="43">
          <cell r="D43">
            <v>13175915.08</v>
          </cell>
        </row>
        <row r="86">
          <cell r="D86">
            <v>288790.8</v>
          </cell>
        </row>
        <row r="93">
          <cell r="D93">
            <v>273246.90000000002</v>
          </cell>
        </row>
        <row r="100">
          <cell r="D100">
            <v>0</v>
          </cell>
        </row>
        <row r="110">
          <cell r="D110">
            <v>187250</v>
          </cell>
        </row>
        <row r="114">
          <cell r="D114">
            <v>6319012</v>
          </cell>
        </row>
        <row r="123">
          <cell r="D123">
            <v>6619897</v>
          </cell>
        </row>
      </sheetData>
      <sheetData sheetId="1">
        <row r="25">
          <cell r="D25">
            <v>394698.5</v>
          </cell>
        </row>
        <row r="30">
          <cell r="D30">
            <v>5443423</v>
          </cell>
        </row>
        <row r="36">
          <cell r="D36">
            <v>6840558.0999999996</v>
          </cell>
        </row>
        <row r="40">
          <cell r="D40">
            <v>2338830</v>
          </cell>
        </row>
        <row r="45">
          <cell r="D45">
            <v>2342879.56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401027.65</v>
          </cell>
        </row>
        <row r="43">
          <cell r="D43">
            <v>17470868.359999999</v>
          </cell>
        </row>
        <row r="86">
          <cell r="D86">
            <v>344464</v>
          </cell>
        </row>
        <row r="93">
          <cell r="D93">
            <v>269652.78000000003</v>
          </cell>
        </row>
        <row r="100">
          <cell r="D100">
            <v>0</v>
          </cell>
        </row>
        <row r="110">
          <cell r="D110">
            <v>99085.28</v>
          </cell>
        </row>
        <row r="114">
          <cell r="D114">
            <v>18273801</v>
          </cell>
        </row>
        <row r="123">
          <cell r="D123">
            <v>1605960</v>
          </cell>
        </row>
      </sheetData>
      <sheetData sheetId="1">
        <row r="25">
          <cell r="D25">
            <v>420896</v>
          </cell>
        </row>
        <row r="30">
          <cell r="D30">
            <v>6598211</v>
          </cell>
        </row>
        <row r="36">
          <cell r="D36">
            <v>1753791.56</v>
          </cell>
        </row>
        <row r="40">
          <cell r="D40">
            <v>1522000</v>
          </cell>
        </row>
        <row r="45">
          <cell r="D45">
            <v>1222000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531208.94999999995</v>
          </cell>
        </row>
        <row r="43">
          <cell r="D43">
            <v>15800640.760000002</v>
          </cell>
        </row>
        <row r="86">
          <cell r="D86">
            <v>35424</v>
          </cell>
        </row>
        <row r="93">
          <cell r="D93">
            <v>796006.78</v>
          </cell>
        </row>
        <row r="100">
          <cell r="D100">
            <v>0</v>
          </cell>
        </row>
        <row r="110">
          <cell r="D110">
            <v>5690</v>
          </cell>
        </row>
        <row r="114">
          <cell r="D114">
            <v>8350717</v>
          </cell>
        </row>
        <row r="123">
          <cell r="D123">
            <v>6959395</v>
          </cell>
        </row>
        <row r="131">
          <cell r="D131">
            <v>1035143.08</v>
          </cell>
        </row>
      </sheetData>
      <sheetData sheetId="1">
        <row r="25">
          <cell r="D25">
            <v>350384</v>
          </cell>
        </row>
        <row r="30">
          <cell r="D30">
            <v>5983955.8100000005</v>
          </cell>
        </row>
        <row r="36">
          <cell r="D36">
            <v>4762905.46</v>
          </cell>
        </row>
        <row r="40">
          <cell r="D40">
            <v>209091.56</v>
          </cell>
        </row>
        <row r="45">
          <cell r="D45">
            <v>2427000</v>
          </cell>
        </row>
        <row r="46">
          <cell r="D46">
            <v>811005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79343.790000000008</v>
          </cell>
        </row>
        <row r="43">
          <cell r="D43">
            <v>12565765.700000001</v>
          </cell>
        </row>
        <row r="86">
          <cell r="D86">
            <v>535</v>
          </cell>
        </row>
        <row r="93">
          <cell r="D93">
            <v>360490.29</v>
          </cell>
        </row>
        <row r="100">
          <cell r="D100">
            <v>0</v>
          </cell>
        </row>
        <row r="110">
          <cell r="D110">
            <v>9900</v>
          </cell>
        </row>
        <row r="114">
          <cell r="D114">
            <v>5272237</v>
          </cell>
        </row>
        <row r="123">
          <cell r="D123">
            <v>4832780</v>
          </cell>
        </row>
        <row r="131">
          <cell r="D131">
            <v>1084621</v>
          </cell>
        </row>
      </sheetData>
      <sheetData sheetId="1">
        <row r="25">
          <cell r="D25">
            <v>213207</v>
          </cell>
        </row>
        <row r="30">
          <cell r="D30">
            <v>4781531.9700000007</v>
          </cell>
        </row>
        <row r="36">
          <cell r="D36">
            <v>1961965.73</v>
          </cell>
        </row>
        <row r="40">
          <cell r="D40">
            <v>1133000</v>
          </cell>
        </row>
        <row r="45">
          <cell r="D45">
            <v>970120</v>
          </cell>
        </row>
        <row r="46">
          <cell r="D46">
            <v>599286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738143.65</v>
          </cell>
        </row>
        <row r="43">
          <cell r="D43">
            <v>15926667.630000003</v>
          </cell>
        </row>
        <row r="86">
          <cell r="D86">
            <v>18750</v>
          </cell>
        </row>
        <row r="93">
          <cell r="D93">
            <v>280339.46000000002</v>
          </cell>
        </row>
        <row r="100">
          <cell r="D100">
            <v>0</v>
          </cell>
        </row>
        <row r="110">
          <cell r="D110">
            <v>30542.6</v>
          </cell>
        </row>
        <row r="114">
          <cell r="D114">
            <v>9365185</v>
          </cell>
        </row>
        <row r="123">
          <cell r="D123">
            <v>10676172.1</v>
          </cell>
        </row>
      </sheetData>
      <sheetData sheetId="1">
        <row r="25">
          <cell r="D25">
            <v>537665</v>
          </cell>
        </row>
        <row r="30">
          <cell r="D30">
            <v>8648436.8300000001</v>
          </cell>
        </row>
        <row r="36">
          <cell r="D36">
            <v>6324209.79</v>
          </cell>
        </row>
        <row r="40">
          <cell r="D40">
            <v>6650160.8799999999</v>
          </cell>
        </row>
        <row r="45">
          <cell r="D45">
            <v>4802762.3899999997</v>
          </cell>
        </row>
        <row r="46">
          <cell r="D46">
            <v>9244460.1099999994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258275.62</v>
          </cell>
        </row>
        <row r="43">
          <cell r="D43">
            <v>14338116.93</v>
          </cell>
        </row>
        <row r="86">
          <cell r="D86">
            <v>46078.8</v>
          </cell>
        </row>
        <row r="93">
          <cell r="D93">
            <v>0</v>
          </cell>
        </row>
        <row r="100">
          <cell r="D100">
            <v>218171.61</v>
          </cell>
        </row>
        <row r="110">
          <cell r="D110">
            <v>135876.87</v>
          </cell>
        </row>
        <row r="114">
          <cell r="D114">
            <v>6093076</v>
          </cell>
        </row>
        <row r="123">
          <cell r="D123">
            <v>5086960</v>
          </cell>
        </row>
      </sheetData>
      <sheetData sheetId="1">
        <row r="25">
          <cell r="D25">
            <v>411754</v>
          </cell>
        </row>
        <row r="30">
          <cell r="D30">
            <v>7464829.1500000004</v>
          </cell>
        </row>
        <row r="36">
          <cell r="D36">
            <v>2496274.33</v>
          </cell>
        </row>
        <row r="40">
          <cell r="D40">
            <v>183360</v>
          </cell>
        </row>
        <row r="45">
          <cell r="D45">
            <v>1244000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135484.01</v>
          </cell>
        </row>
        <row r="43">
          <cell r="D43">
            <v>12509912.989999998</v>
          </cell>
        </row>
        <row r="86">
          <cell r="D86">
            <v>10426.200000000001</v>
          </cell>
        </row>
        <row r="93">
          <cell r="D93">
            <v>185202.95</v>
          </cell>
        </row>
        <row r="100">
          <cell r="D100">
            <v>0</v>
          </cell>
        </row>
        <row r="110">
          <cell r="D110">
            <v>12400.1</v>
          </cell>
        </row>
        <row r="114">
          <cell r="D114">
            <v>7776798</v>
          </cell>
        </row>
        <row r="123">
          <cell r="D123">
            <v>2813950</v>
          </cell>
        </row>
      </sheetData>
      <sheetData sheetId="1">
        <row r="25">
          <cell r="D25">
            <v>453353.43</v>
          </cell>
        </row>
        <row r="30">
          <cell r="D30">
            <v>5271523</v>
          </cell>
        </row>
        <row r="36">
          <cell r="D36">
            <v>8017070.5199999996</v>
          </cell>
        </row>
        <row r="40">
          <cell r="D40">
            <v>4386521.58</v>
          </cell>
        </row>
        <row r="45">
          <cell r="D45">
            <v>1393000</v>
          </cell>
        </row>
        <row r="46">
          <cell r="D46">
            <v>679353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418157.11</v>
          </cell>
        </row>
        <row r="43">
          <cell r="D43">
            <v>12613049.910000002</v>
          </cell>
        </row>
        <row r="86">
          <cell r="D86">
            <v>79946.759999999995</v>
          </cell>
        </row>
        <row r="93">
          <cell r="D93">
            <v>28800</v>
          </cell>
        </row>
        <row r="100">
          <cell r="D100">
            <v>10239484.42</v>
          </cell>
        </row>
        <row r="110">
          <cell r="D110">
            <v>78261</v>
          </cell>
        </row>
        <row r="114">
          <cell r="D114">
            <v>8100383</v>
          </cell>
        </row>
        <row r="123">
          <cell r="D123">
            <v>6956227</v>
          </cell>
        </row>
      </sheetData>
      <sheetData sheetId="1">
        <row r="25">
          <cell r="D25">
            <v>2629477.0099999998</v>
          </cell>
        </row>
        <row r="30">
          <cell r="D30">
            <v>7200056</v>
          </cell>
        </row>
        <row r="36">
          <cell r="D36">
            <v>8098153.5099999998</v>
          </cell>
        </row>
        <row r="40">
          <cell r="D40">
            <v>3460300</v>
          </cell>
        </row>
        <row r="45">
          <cell r="D45">
            <v>3420000</v>
          </cell>
        </row>
        <row r="46">
          <cell r="D46">
            <v>890222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261470.16</v>
          </cell>
        </row>
        <row r="43">
          <cell r="D43">
            <v>17881104.520000003</v>
          </cell>
        </row>
        <row r="86">
          <cell r="D86">
            <v>18444.599999999999</v>
          </cell>
        </row>
        <row r="93">
          <cell r="D93">
            <v>100</v>
          </cell>
        </row>
        <row r="100">
          <cell r="D100">
            <v>477733.94</v>
          </cell>
        </row>
        <row r="110">
          <cell r="D110">
            <v>43530.400000000001</v>
          </cell>
        </row>
        <row r="114">
          <cell r="D114">
            <v>19894199</v>
          </cell>
        </row>
        <row r="123">
          <cell r="D123">
            <v>6798417</v>
          </cell>
        </row>
      </sheetData>
      <sheetData sheetId="1">
        <row r="25">
          <cell r="D25">
            <v>845461</v>
          </cell>
        </row>
        <row r="30">
          <cell r="D30">
            <v>6675437</v>
          </cell>
        </row>
        <row r="36">
          <cell r="D36">
            <v>8784099.4100000001</v>
          </cell>
        </row>
        <row r="40">
          <cell r="D40">
            <v>4037507</v>
          </cell>
        </row>
        <row r="45">
          <cell r="D45">
            <v>6907319.8700000001</v>
          </cell>
        </row>
        <row r="46">
          <cell r="D46">
            <v>704846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1319293.97</v>
          </cell>
        </row>
        <row r="43">
          <cell r="D43">
            <v>11878638.02</v>
          </cell>
        </row>
        <row r="86">
          <cell r="D86">
            <v>29171.599999999999</v>
          </cell>
        </row>
        <row r="93">
          <cell r="D93">
            <v>38384.19</v>
          </cell>
        </row>
        <row r="110">
          <cell r="D110">
            <v>35400</v>
          </cell>
        </row>
        <row r="114">
          <cell r="D114">
            <v>6424079</v>
          </cell>
        </row>
        <row r="123">
          <cell r="D123">
            <v>4842356</v>
          </cell>
        </row>
      </sheetData>
      <sheetData sheetId="1">
        <row r="25">
          <cell r="D25">
            <v>3843253.65</v>
          </cell>
        </row>
        <row r="30">
          <cell r="D30">
            <v>6273644.7800000003</v>
          </cell>
        </row>
        <row r="36">
          <cell r="D36">
            <v>4976002.71</v>
          </cell>
        </row>
        <row r="40">
          <cell r="D40">
            <v>5272135.0199999996</v>
          </cell>
        </row>
        <row r="45">
          <cell r="D45">
            <v>2388000</v>
          </cell>
        </row>
        <row r="46">
          <cell r="D46">
            <v>1251200.78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210619.56</v>
          </cell>
        </row>
        <row r="43">
          <cell r="D43">
            <v>17037594.949999999</v>
          </cell>
        </row>
        <row r="86">
          <cell r="D86">
            <v>9184.2000000000007</v>
          </cell>
        </row>
        <row r="93">
          <cell r="D93">
            <v>229345.38</v>
          </cell>
        </row>
        <row r="100">
          <cell r="D100">
            <v>0</v>
          </cell>
        </row>
        <row r="110">
          <cell r="D110">
            <v>66710</v>
          </cell>
        </row>
        <row r="114">
          <cell r="D114">
            <v>20743780</v>
          </cell>
        </row>
        <row r="123">
          <cell r="D123">
            <v>5521590</v>
          </cell>
        </row>
        <row r="131">
          <cell r="D131">
            <v>5017723.66</v>
          </cell>
        </row>
      </sheetData>
      <sheetData sheetId="1">
        <row r="25">
          <cell r="D25">
            <v>1127045.1099999999</v>
          </cell>
        </row>
        <row r="30">
          <cell r="D30">
            <v>6690381.4400000004</v>
          </cell>
        </row>
        <row r="36">
          <cell r="D36">
            <v>9627869.9500000011</v>
          </cell>
        </row>
        <row r="40">
          <cell r="D40">
            <v>3585900</v>
          </cell>
        </row>
        <row r="45">
          <cell r="D45">
            <v>7882482.6699999999</v>
          </cell>
        </row>
        <row r="46">
          <cell r="D46">
            <v>1000000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748733.09</v>
          </cell>
        </row>
        <row r="43">
          <cell r="D43">
            <v>15893526.49</v>
          </cell>
        </row>
        <row r="86">
          <cell r="D86">
            <v>50389</v>
          </cell>
        </row>
        <row r="93">
          <cell r="D93">
            <v>0</v>
          </cell>
        </row>
        <row r="100">
          <cell r="D100">
            <v>637179.43999999994</v>
          </cell>
        </row>
        <row r="110">
          <cell r="D110">
            <v>192850.08</v>
          </cell>
        </row>
        <row r="114">
          <cell r="D114">
            <v>21284973</v>
          </cell>
        </row>
        <row r="123">
          <cell r="D123">
            <v>0</v>
          </cell>
        </row>
      </sheetData>
      <sheetData sheetId="1">
        <row r="25">
          <cell r="D25">
            <v>662728</v>
          </cell>
        </row>
        <row r="30">
          <cell r="D30">
            <v>6271005</v>
          </cell>
        </row>
        <row r="36">
          <cell r="D36">
            <v>11097209.48</v>
          </cell>
        </row>
        <row r="40">
          <cell r="D40">
            <v>6464092</v>
          </cell>
        </row>
        <row r="45">
          <cell r="D45">
            <v>8576556</v>
          </cell>
        </row>
        <row r="46">
          <cell r="D46">
            <v>20000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327280.52</v>
          </cell>
        </row>
        <row r="43">
          <cell r="D43">
            <v>7219295.8799999999</v>
          </cell>
        </row>
        <row r="86">
          <cell r="D86">
            <v>7232</v>
          </cell>
        </row>
        <row r="93">
          <cell r="D93">
            <v>171802.3</v>
          </cell>
        </row>
        <row r="100">
          <cell r="D100">
            <v>0</v>
          </cell>
        </row>
        <row r="110">
          <cell r="D110">
            <v>64195</v>
          </cell>
        </row>
        <row r="114">
          <cell r="D114">
            <v>8083957</v>
          </cell>
        </row>
        <row r="123">
          <cell r="D123">
            <v>7564216</v>
          </cell>
        </row>
        <row r="131">
          <cell r="D131">
            <v>1820031</v>
          </cell>
        </row>
      </sheetData>
      <sheetData sheetId="1">
        <row r="25">
          <cell r="D25">
            <v>258126</v>
          </cell>
        </row>
        <row r="30">
          <cell r="D30">
            <v>4427256</v>
          </cell>
        </row>
        <row r="36">
          <cell r="D36">
            <v>5124981.51</v>
          </cell>
        </row>
        <row r="40">
          <cell r="D40">
            <v>299500</v>
          </cell>
        </row>
        <row r="45">
          <cell r="D45">
            <v>2688000</v>
          </cell>
        </row>
        <row r="46">
          <cell r="D46">
            <v>315051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0</v>
          </cell>
        </row>
        <row r="43">
          <cell r="D43">
            <v>12103246.310000001</v>
          </cell>
        </row>
        <row r="86">
          <cell r="D86">
            <v>252.2</v>
          </cell>
        </row>
        <row r="93">
          <cell r="D93">
            <v>263849.68</v>
          </cell>
        </row>
        <row r="100">
          <cell r="D100">
            <v>0</v>
          </cell>
        </row>
        <row r="110">
          <cell r="D110">
            <v>11000</v>
          </cell>
        </row>
        <row r="114">
          <cell r="D114">
            <v>12682486</v>
          </cell>
        </row>
        <row r="123">
          <cell r="D123">
            <v>0</v>
          </cell>
        </row>
        <row r="131">
          <cell r="D131">
            <v>1991000</v>
          </cell>
        </row>
      </sheetData>
      <sheetData sheetId="1">
        <row r="25">
          <cell r="D25">
            <v>460837</v>
          </cell>
        </row>
        <row r="30">
          <cell r="D30">
            <v>4392253</v>
          </cell>
        </row>
        <row r="36">
          <cell r="D36">
            <v>6689699.6799999997</v>
          </cell>
        </row>
        <row r="40">
          <cell r="D40">
            <v>3421200</v>
          </cell>
        </row>
        <row r="45">
          <cell r="D45">
            <v>3371564.57</v>
          </cell>
        </row>
        <row r="46">
          <cell r="D46">
            <v>509688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312125.18</v>
          </cell>
        </row>
        <row r="43">
          <cell r="D43">
            <v>12219373.579999998</v>
          </cell>
        </row>
        <row r="86">
          <cell r="D86">
            <v>72313.070000000007</v>
          </cell>
        </row>
        <row r="93">
          <cell r="D93">
            <v>61022.79</v>
          </cell>
        </row>
        <row r="100">
          <cell r="D100">
            <v>0</v>
          </cell>
        </row>
        <row r="110">
          <cell r="D110">
            <v>33920.79</v>
          </cell>
        </row>
        <row r="114">
          <cell r="D114">
            <v>4325133</v>
          </cell>
        </row>
        <row r="123">
          <cell r="D123">
            <v>4471830</v>
          </cell>
        </row>
      </sheetData>
      <sheetData sheetId="1">
        <row r="25">
          <cell r="D25">
            <v>2436782.5</v>
          </cell>
        </row>
        <row r="30">
          <cell r="D30">
            <v>6368123.4000000004</v>
          </cell>
        </row>
        <row r="36">
          <cell r="D36">
            <v>3858398.52</v>
          </cell>
        </row>
        <row r="40">
          <cell r="D40">
            <v>2048654.34</v>
          </cell>
        </row>
        <row r="45">
          <cell r="D45">
            <v>569000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246759.3</v>
          </cell>
        </row>
        <row r="43">
          <cell r="D43">
            <v>15498845.290000001</v>
          </cell>
        </row>
        <row r="86">
          <cell r="D86">
            <v>335644</v>
          </cell>
        </row>
        <row r="93">
          <cell r="D93">
            <v>155797.71</v>
          </cell>
        </row>
        <row r="100">
          <cell r="D100">
            <v>0</v>
          </cell>
        </row>
        <row r="110">
          <cell r="D110">
            <v>61734.400000000001</v>
          </cell>
        </row>
        <row r="114">
          <cell r="D114">
            <v>9426808</v>
          </cell>
        </row>
        <row r="123">
          <cell r="D123">
            <v>9644017</v>
          </cell>
        </row>
      </sheetData>
      <sheetData sheetId="1">
        <row r="25">
          <cell r="D25">
            <v>1644595</v>
          </cell>
        </row>
        <row r="30">
          <cell r="D30">
            <v>8437704</v>
          </cell>
        </row>
        <row r="36">
          <cell r="D36">
            <v>5571903.790000001</v>
          </cell>
        </row>
        <row r="40">
          <cell r="D40">
            <v>386600</v>
          </cell>
        </row>
        <row r="45">
          <cell r="D45">
            <v>6415000</v>
          </cell>
        </row>
        <row r="46">
          <cell r="D46">
            <v>1131681.5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146940.74</v>
          </cell>
        </row>
        <row r="43">
          <cell r="D43">
            <v>11659276.220000003</v>
          </cell>
        </row>
        <row r="86">
          <cell r="D86">
            <v>138063.4</v>
          </cell>
        </row>
        <row r="93">
          <cell r="D93">
            <v>122773.75999999999</v>
          </cell>
        </row>
        <row r="100">
          <cell r="D100">
            <v>135920</v>
          </cell>
        </row>
        <row r="110">
          <cell r="D110">
            <v>18964</v>
          </cell>
        </row>
        <row r="114">
          <cell r="D114">
            <v>4768358</v>
          </cell>
        </row>
        <row r="123">
          <cell r="D123">
            <v>8799114.8000000007</v>
          </cell>
        </row>
        <row r="131">
          <cell r="D131">
            <v>789195</v>
          </cell>
        </row>
      </sheetData>
      <sheetData sheetId="1">
        <row r="25">
          <cell r="D25">
            <v>422166</v>
          </cell>
        </row>
        <row r="30">
          <cell r="D30">
            <v>5981122.5</v>
          </cell>
        </row>
        <row r="36">
          <cell r="D36">
            <v>4294089.83</v>
          </cell>
        </row>
        <row r="40">
          <cell r="D40">
            <v>1006774.28</v>
          </cell>
        </row>
        <row r="45">
          <cell r="D45">
            <v>902000</v>
          </cell>
        </row>
        <row r="46">
          <cell r="D46">
            <v>367619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325130.16000000003</v>
          </cell>
        </row>
        <row r="43">
          <cell r="D43">
            <v>18650549.68</v>
          </cell>
        </row>
        <row r="86">
          <cell r="D86">
            <v>668503.19999999995</v>
          </cell>
        </row>
        <row r="93">
          <cell r="D93">
            <v>239107.29</v>
          </cell>
        </row>
        <row r="100">
          <cell r="D100">
            <v>1933115</v>
          </cell>
        </row>
        <row r="110">
          <cell r="D110">
            <v>200955</v>
          </cell>
        </row>
        <row r="114">
          <cell r="D114">
            <v>14366899</v>
          </cell>
        </row>
        <row r="123">
          <cell r="D123">
            <v>16158452</v>
          </cell>
        </row>
      </sheetData>
      <sheetData sheetId="1">
        <row r="25">
          <cell r="D25">
            <v>899446</v>
          </cell>
        </row>
        <row r="30">
          <cell r="D30">
            <v>6537044</v>
          </cell>
        </row>
        <row r="36">
          <cell r="D36">
            <v>7983468.1899999995</v>
          </cell>
        </row>
        <row r="40">
          <cell r="D40">
            <v>6634545.9100000001</v>
          </cell>
        </row>
        <row r="45">
          <cell r="D45">
            <v>3752000</v>
          </cell>
        </row>
        <row r="46">
          <cell r="D46">
            <v>3215225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224249.88</v>
          </cell>
        </row>
        <row r="43">
          <cell r="D43">
            <v>14408294.469999999</v>
          </cell>
        </row>
        <row r="86">
          <cell r="D86">
            <v>1916.8</v>
          </cell>
        </row>
        <row r="93">
          <cell r="D93">
            <v>119273.62</v>
          </cell>
        </row>
        <row r="100">
          <cell r="D100">
            <v>0</v>
          </cell>
        </row>
        <row r="110">
          <cell r="D110">
            <v>12036</v>
          </cell>
        </row>
        <row r="114">
          <cell r="D114">
            <v>8801875</v>
          </cell>
        </row>
        <row r="123">
          <cell r="D123">
            <v>8420853</v>
          </cell>
        </row>
        <row r="131">
          <cell r="D131">
            <v>0</v>
          </cell>
        </row>
      </sheetData>
      <sheetData sheetId="1">
        <row r="25">
          <cell r="D25">
            <v>1416051.7</v>
          </cell>
        </row>
        <row r="30">
          <cell r="D30">
            <v>7975346.46</v>
          </cell>
        </row>
        <row r="36">
          <cell r="D36">
            <v>5878926.1200000001</v>
          </cell>
        </row>
        <row r="40">
          <cell r="D40">
            <v>843700</v>
          </cell>
        </row>
        <row r="45">
          <cell r="D45">
            <v>2431950.14</v>
          </cell>
        </row>
        <row r="46">
          <cell r="D46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337668.74</v>
          </cell>
        </row>
        <row r="43">
          <cell r="D43">
            <v>15722113.779999999</v>
          </cell>
        </row>
        <row r="86">
          <cell r="D86">
            <v>25529.4</v>
          </cell>
        </row>
        <row r="93">
          <cell r="D93">
            <v>118915.17</v>
          </cell>
        </row>
        <row r="100">
          <cell r="D100">
            <v>0</v>
          </cell>
        </row>
        <row r="110">
          <cell r="D110">
            <v>30600</v>
          </cell>
        </row>
        <row r="114">
          <cell r="D114">
            <v>9485050</v>
          </cell>
        </row>
        <row r="123">
          <cell r="D123">
            <v>7478919</v>
          </cell>
        </row>
        <row r="131">
          <cell r="D131">
            <v>3151900</v>
          </cell>
        </row>
      </sheetData>
      <sheetData sheetId="1">
        <row r="25">
          <cell r="D25">
            <v>1430862</v>
          </cell>
        </row>
        <row r="30">
          <cell r="D30">
            <v>8996542.2300000004</v>
          </cell>
        </row>
        <row r="36">
          <cell r="D36">
            <v>7012751.0299999993</v>
          </cell>
        </row>
        <row r="40">
          <cell r="D40">
            <v>5109860</v>
          </cell>
        </row>
        <row r="45">
          <cell r="D45">
            <v>483411.33</v>
          </cell>
        </row>
        <row r="46">
          <cell r="D46">
            <v>745378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277198.26</v>
          </cell>
        </row>
        <row r="43">
          <cell r="D43">
            <v>15657075.229999999</v>
          </cell>
        </row>
        <row r="86">
          <cell r="D86">
            <v>50395.6</v>
          </cell>
        </row>
        <row r="93">
          <cell r="D93">
            <v>183715.62</v>
          </cell>
        </row>
        <row r="110">
          <cell r="D110">
            <v>33952</v>
          </cell>
        </row>
        <row r="114">
          <cell r="D114">
            <v>10841177</v>
          </cell>
        </row>
        <row r="123">
          <cell r="D123">
            <v>12524402.43</v>
          </cell>
        </row>
        <row r="131">
          <cell r="D131">
            <v>3312657</v>
          </cell>
        </row>
      </sheetData>
      <sheetData sheetId="1">
        <row r="25">
          <cell r="D25">
            <v>1155151</v>
          </cell>
        </row>
        <row r="30">
          <cell r="D30">
            <v>8574012</v>
          </cell>
        </row>
        <row r="36">
          <cell r="D36">
            <v>6433697.4899999993</v>
          </cell>
        </row>
        <row r="40">
          <cell r="D40">
            <v>4562413.5999999996</v>
          </cell>
        </row>
        <row r="45">
          <cell r="D45">
            <v>2632000</v>
          </cell>
        </row>
        <row r="46">
          <cell r="D46">
            <v>679860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  <sheetName val="Sheet1"/>
    </sheetNames>
    <sheetDataSet>
      <sheetData sheetId="0">
        <row r="24">
          <cell r="D24">
            <v>260755.8</v>
          </cell>
        </row>
        <row r="43">
          <cell r="D43">
            <v>16130718.959999999</v>
          </cell>
        </row>
        <row r="86">
          <cell r="D86">
            <v>6351.2</v>
          </cell>
        </row>
        <row r="93">
          <cell r="D93">
            <v>278762.45</v>
          </cell>
        </row>
        <row r="100">
          <cell r="D100">
            <v>0</v>
          </cell>
        </row>
        <row r="110">
          <cell r="D110">
            <v>34802.25</v>
          </cell>
        </row>
        <row r="114">
          <cell r="D114">
            <v>13253571</v>
          </cell>
        </row>
        <row r="123">
          <cell r="D123">
            <v>9579572</v>
          </cell>
        </row>
        <row r="131">
          <cell r="D131">
            <v>447844</v>
          </cell>
        </row>
      </sheetData>
      <sheetData sheetId="1">
        <row r="25">
          <cell r="D25">
            <v>825079</v>
          </cell>
        </row>
        <row r="30">
          <cell r="D30">
            <v>5586214</v>
          </cell>
        </row>
        <row r="36">
          <cell r="D36">
            <v>8007124.7699999996</v>
          </cell>
        </row>
        <row r="40">
          <cell r="D40">
            <v>4129133.84</v>
          </cell>
        </row>
        <row r="45">
          <cell r="D45">
            <v>3175000</v>
          </cell>
        </row>
      </sheetData>
      <sheetData sheetId="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744048.28</v>
          </cell>
        </row>
        <row r="43">
          <cell r="D43">
            <v>17865888.829999998</v>
          </cell>
        </row>
        <row r="86">
          <cell r="D86">
            <v>45688.9</v>
          </cell>
        </row>
        <row r="93">
          <cell r="D93">
            <v>287767.37</v>
          </cell>
        </row>
        <row r="100">
          <cell r="D100">
            <v>0</v>
          </cell>
        </row>
        <row r="110">
          <cell r="D110">
            <v>22250</v>
          </cell>
        </row>
        <row r="114">
          <cell r="D114">
            <v>15245513</v>
          </cell>
        </row>
        <row r="123">
          <cell r="D123">
            <v>0</v>
          </cell>
        </row>
      </sheetData>
      <sheetData sheetId="1">
        <row r="25">
          <cell r="D25">
            <v>636833</v>
          </cell>
        </row>
        <row r="30">
          <cell r="D30">
            <v>7780168</v>
          </cell>
        </row>
        <row r="36">
          <cell r="D36">
            <v>5546615.71</v>
          </cell>
        </row>
        <row r="40">
          <cell r="D40">
            <v>4740600</v>
          </cell>
        </row>
        <row r="45">
          <cell r="D45">
            <v>4995980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486536.88</v>
          </cell>
        </row>
        <row r="43">
          <cell r="D43">
            <v>17845575.090000004</v>
          </cell>
        </row>
        <row r="86">
          <cell r="D86">
            <v>79206.2</v>
          </cell>
        </row>
        <row r="93">
          <cell r="D93">
            <v>386024.71</v>
          </cell>
        </row>
        <row r="100">
          <cell r="D100">
            <v>0</v>
          </cell>
        </row>
        <row r="110">
          <cell r="D110">
            <v>31600</v>
          </cell>
        </row>
        <row r="114">
          <cell r="D114">
            <v>15703559</v>
          </cell>
        </row>
        <row r="123">
          <cell r="D123">
            <v>10775550</v>
          </cell>
        </row>
        <row r="131">
          <cell r="D131">
            <v>0</v>
          </cell>
        </row>
      </sheetData>
      <sheetData sheetId="1">
        <row r="25">
          <cell r="D25">
            <v>757684</v>
          </cell>
        </row>
        <row r="30">
          <cell r="D30">
            <v>8153827</v>
          </cell>
        </row>
        <row r="36">
          <cell r="D36">
            <v>5882244.3599999994</v>
          </cell>
        </row>
        <row r="40">
          <cell r="D40">
            <v>4375144</v>
          </cell>
        </row>
        <row r="45">
          <cell r="D45">
            <v>4522000</v>
          </cell>
        </row>
        <row r="46">
          <cell r="D46">
            <v>781311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349316.04</v>
          </cell>
        </row>
        <row r="43">
          <cell r="D43">
            <v>12255599.069999998</v>
          </cell>
        </row>
        <row r="86">
          <cell r="D86">
            <v>2567.8000000000002</v>
          </cell>
        </row>
        <row r="93">
          <cell r="D93">
            <v>49307.41</v>
          </cell>
        </row>
        <row r="100">
          <cell r="D100">
            <v>0</v>
          </cell>
        </row>
        <row r="110">
          <cell r="D110">
            <v>230700</v>
          </cell>
        </row>
        <row r="114">
          <cell r="D114">
            <v>10040429</v>
          </cell>
        </row>
        <row r="123">
          <cell r="D123">
            <v>6448610</v>
          </cell>
        </row>
        <row r="131">
          <cell r="D131">
            <v>2369540</v>
          </cell>
        </row>
      </sheetData>
      <sheetData sheetId="1">
        <row r="25">
          <cell r="D25">
            <v>2513850.59</v>
          </cell>
        </row>
        <row r="30">
          <cell r="D30">
            <v>7437410</v>
          </cell>
        </row>
        <row r="36">
          <cell r="D36">
            <v>5208064.6900000004</v>
          </cell>
        </row>
        <row r="40">
          <cell r="D40">
            <v>3157764.74</v>
          </cell>
        </row>
        <row r="45">
          <cell r="D45">
            <v>10022710</v>
          </cell>
        </row>
        <row r="46">
          <cell r="D46">
            <v>0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572463.31000000006</v>
          </cell>
        </row>
        <row r="43">
          <cell r="D43">
            <v>12532431.139999999</v>
          </cell>
        </row>
        <row r="86">
          <cell r="D86">
            <v>5401.2</v>
          </cell>
        </row>
        <row r="93">
          <cell r="D93">
            <v>205539.86</v>
          </cell>
        </row>
        <row r="100">
          <cell r="D100">
            <v>0</v>
          </cell>
        </row>
        <row r="110">
          <cell r="D110">
            <v>31370</v>
          </cell>
        </row>
        <row r="114">
          <cell r="D114">
            <v>7877222</v>
          </cell>
        </row>
        <row r="123">
          <cell r="D123">
            <v>7902280</v>
          </cell>
        </row>
      </sheetData>
      <sheetData sheetId="1">
        <row r="25">
          <cell r="D25">
            <v>1656378</v>
          </cell>
        </row>
        <row r="30">
          <cell r="D30">
            <v>8890437.75</v>
          </cell>
        </row>
        <row r="36">
          <cell r="D36">
            <v>10293619.43</v>
          </cell>
        </row>
        <row r="40">
          <cell r="D40">
            <v>1450110</v>
          </cell>
        </row>
        <row r="45">
          <cell r="D45">
            <v>300000</v>
          </cell>
        </row>
        <row r="46">
          <cell r="D46">
            <v>25000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309135.77</v>
          </cell>
        </row>
        <row r="43">
          <cell r="D43">
            <v>12448702.26</v>
          </cell>
        </row>
        <row r="86">
          <cell r="D86">
            <v>52004.6</v>
          </cell>
        </row>
        <row r="93">
          <cell r="D93">
            <v>187907.87</v>
          </cell>
        </row>
        <row r="100">
          <cell r="D100">
            <v>98683</v>
          </cell>
        </row>
        <row r="110">
          <cell r="D110">
            <v>19950</v>
          </cell>
        </row>
        <row r="114">
          <cell r="D114">
            <v>8520371</v>
          </cell>
        </row>
        <row r="123">
          <cell r="D123">
            <v>12879713</v>
          </cell>
        </row>
      </sheetData>
      <sheetData sheetId="1">
        <row r="25">
          <cell r="D25">
            <v>1007489</v>
          </cell>
        </row>
        <row r="30">
          <cell r="D30">
            <v>5238252</v>
          </cell>
        </row>
        <row r="36">
          <cell r="D36">
            <v>8602427.0399999991</v>
          </cell>
        </row>
        <row r="40">
          <cell r="D40">
            <v>3169881.2</v>
          </cell>
        </row>
        <row r="45">
          <cell r="D45">
            <v>415000</v>
          </cell>
        </row>
        <row r="46">
          <cell r="D46">
            <v>790549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320412.03999999998</v>
          </cell>
        </row>
        <row r="43">
          <cell r="D43">
            <v>16035546.279999999</v>
          </cell>
        </row>
        <row r="86">
          <cell r="D86">
            <v>2991.4</v>
          </cell>
        </row>
        <row r="93">
          <cell r="D93">
            <v>163139.23000000001</v>
          </cell>
        </row>
        <row r="100">
          <cell r="D100">
            <v>0</v>
          </cell>
        </row>
        <row r="110">
          <cell r="D110">
            <v>166466</v>
          </cell>
        </row>
        <row r="114">
          <cell r="D114">
            <v>13062805</v>
          </cell>
        </row>
        <row r="123">
          <cell r="D123">
            <v>12567060</v>
          </cell>
        </row>
        <row r="131">
          <cell r="D131">
            <v>8425755</v>
          </cell>
        </row>
      </sheetData>
      <sheetData sheetId="1">
        <row r="25">
          <cell r="D25">
            <v>8402996</v>
          </cell>
        </row>
        <row r="30">
          <cell r="D30">
            <v>7965040</v>
          </cell>
        </row>
        <row r="36">
          <cell r="D36">
            <v>6380267.9499999993</v>
          </cell>
        </row>
        <row r="40">
          <cell r="D40">
            <v>8450031.6600000001</v>
          </cell>
        </row>
        <row r="45">
          <cell r="D45">
            <v>3455500</v>
          </cell>
        </row>
        <row r="46">
          <cell r="D46">
            <v>650229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601474.9</v>
          </cell>
        </row>
        <row r="43">
          <cell r="D43">
            <v>16971346.109999999</v>
          </cell>
        </row>
        <row r="86">
          <cell r="D86">
            <v>8954</v>
          </cell>
        </row>
        <row r="93">
          <cell r="D93">
            <v>424300.29</v>
          </cell>
        </row>
        <row r="100">
          <cell r="D100">
            <v>0</v>
          </cell>
        </row>
        <row r="110">
          <cell r="D110">
            <v>66000</v>
          </cell>
        </row>
        <row r="114">
          <cell r="D114">
            <v>9791363</v>
          </cell>
        </row>
        <row r="123">
          <cell r="D123">
            <v>12546712.890000001</v>
          </cell>
        </row>
        <row r="131">
          <cell r="D131">
            <v>7207200</v>
          </cell>
        </row>
      </sheetData>
      <sheetData sheetId="1">
        <row r="25">
          <cell r="D25">
            <v>8947343</v>
          </cell>
        </row>
        <row r="30">
          <cell r="D30">
            <v>8522543</v>
          </cell>
        </row>
        <row r="36">
          <cell r="D36">
            <v>8629935.0599999987</v>
          </cell>
        </row>
        <row r="40">
          <cell r="D40">
            <v>6146874.8100000005</v>
          </cell>
        </row>
        <row r="45">
          <cell r="D45">
            <v>2984000</v>
          </cell>
        </row>
        <row r="46">
          <cell r="D46">
            <v>618754.23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644057.80000000005</v>
          </cell>
        </row>
        <row r="43">
          <cell r="D43">
            <v>16364827.689999999</v>
          </cell>
        </row>
        <row r="86">
          <cell r="D86">
            <v>20100.400000000001</v>
          </cell>
        </row>
        <row r="93">
          <cell r="D93">
            <v>239721.85</v>
          </cell>
        </row>
        <row r="100">
          <cell r="D100">
            <v>0</v>
          </cell>
        </row>
        <row r="110">
          <cell r="D110">
            <v>87000</v>
          </cell>
        </row>
        <row r="114">
          <cell r="D114">
            <v>17994848</v>
          </cell>
        </row>
        <row r="123">
          <cell r="D123">
            <v>12073943.23</v>
          </cell>
        </row>
        <row r="131">
          <cell r="D131">
            <v>4002033</v>
          </cell>
        </row>
      </sheetData>
      <sheetData sheetId="1">
        <row r="25">
          <cell r="D25">
            <v>2070007</v>
          </cell>
        </row>
        <row r="30">
          <cell r="D30">
            <v>8199453</v>
          </cell>
        </row>
        <row r="36">
          <cell r="D36">
            <v>5977874.1399999997</v>
          </cell>
        </row>
        <row r="40">
          <cell r="D40">
            <v>4200900</v>
          </cell>
        </row>
        <row r="45">
          <cell r="D45">
            <v>5307219.74</v>
          </cell>
        </row>
        <row r="46">
          <cell r="D46">
            <v>1194908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197256.59</v>
          </cell>
        </row>
        <row r="43">
          <cell r="D43">
            <v>12326360.57</v>
          </cell>
        </row>
        <row r="86">
          <cell r="D86">
            <v>5153.2</v>
          </cell>
        </row>
        <row r="93">
          <cell r="D93">
            <v>0</v>
          </cell>
        </row>
        <row r="100">
          <cell r="D100">
            <v>0</v>
          </cell>
        </row>
        <row r="110">
          <cell r="D110">
            <v>26968</v>
          </cell>
        </row>
        <row r="114">
          <cell r="D114">
            <v>6277150</v>
          </cell>
        </row>
        <row r="123">
          <cell r="D123">
            <v>8090238</v>
          </cell>
        </row>
        <row r="131">
          <cell r="D131">
            <v>625700</v>
          </cell>
        </row>
      </sheetData>
      <sheetData sheetId="1">
        <row r="25">
          <cell r="D25">
            <v>633496</v>
          </cell>
        </row>
        <row r="30">
          <cell r="D30">
            <v>4757368</v>
          </cell>
        </row>
        <row r="36">
          <cell r="D36">
            <v>4490281.3999999994</v>
          </cell>
        </row>
        <row r="40">
          <cell r="D40">
            <v>1461055.08</v>
          </cell>
        </row>
        <row r="45">
          <cell r="D45">
            <v>2086382</v>
          </cell>
        </row>
        <row r="46">
          <cell r="D4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154631.54999999999</v>
          </cell>
        </row>
        <row r="43">
          <cell r="D43">
            <v>15131575.619999999</v>
          </cell>
        </row>
        <row r="86">
          <cell r="D86">
            <v>36067.4</v>
          </cell>
        </row>
        <row r="93">
          <cell r="D93">
            <v>563834.43000000005</v>
          </cell>
        </row>
        <row r="110">
          <cell r="D110">
            <v>28791</v>
          </cell>
        </row>
        <row r="114">
          <cell r="D114">
            <v>9027055</v>
          </cell>
        </row>
        <row r="123">
          <cell r="D123">
            <v>10356076.390000001</v>
          </cell>
        </row>
      </sheetData>
      <sheetData sheetId="1">
        <row r="25">
          <cell r="D25">
            <v>978888</v>
          </cell>
        </row>
        <row r="30">
          <cell r="D30">
            <v>6678548</v>
          </cell>
        </row>
        <row r="36">
          <cell r="D36">
            <v>5111742.88</v>
          </cell>
        </row>
        <row r="40">
          <cell r="D40">
            <v>4638890</v>
          </cell>
        </row>
        <row r="45">
          <cell r="D45">
            <v>1520000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834914.07000000007</v>
          </cell>
        </row>
        <row r="43">
          <cell r="D43">
            <v>21142425.07</v>
          </cell>
        </row>
        <row r="86">
          <cell r="D86">
            <v>6780</v>
          </cell>
        </row>
        <row r="93">
          <cell r="D93">
            <v>122726.5</v>
          </cell>
        </row>
        <row r="100">
          <cell r="D100">
            <v>0</v>
          </cell>
        </row>
        <row r="110">
          <cell r="D110">
            <v>66130</v>
          </cell>
        </row>
        <row r="114">
          <cell r="D114">
            <v>21576382</v>
          </cell>
        </row>
        <row r="123">
          <cell r="D123">
            <v>0</v>
          </cell>
        </row>
      </sheetData>
      <sheetData sheetId="1">
        <row r="25">
          <cell r="D25">
            <v>1075175</v>
          </cell>
        </row>
        <row r="30">
          <cell r="D30">
            <v>8627005</v>
          </cell>
        </row>
        <row r="36">
          <cell r="D36">
            <v>17102893.68</v>
          </cell>
        </row>
        <row r="40">
          <cell r="D40">
            <v>9528700</v>
          </cell>
        </row>
        <row r="45">
          <cell r="D45">
            <v>3998000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317222.61</v>
          </cell>
        </row>
        <row r="43">
          <cell r="D43">
            <v>12539754.690000001</v>
          </cell>
        </row>
        <row r="86">
          <cell r="D86">
            <v>124678.26000000001</v>
          </cell>
        </row>
        <row r="93">
          <cell r="D93">
            <v>204736.46</v>
          </cell>
        </row>
        <row r="100">
          <cell r="D100">
            <v>0</v>
          </cell>
        </row>
        <row r="110">
          <cell r="D110">
            <v>21600</v>
          </cell>
        </row>
        <row r="114">
          <cell r="D114">
            <v>6806792</v>
          </cell>
        </row>
        <row r="123">
          <cell r="D123">
            <v>7472850</v>
          </cell>
        </row>
        <row r="131">
          <cell r="D131">
            <v>1080000</v>
          </cell>
        </row>
      </sheetData>
      <sheetData sheetId="1">
        <row r="25">
          <cell r="D25">
            <v>500053</v>
          </cell>
        </row>
        <row r="30">
          <cell r="D30">
            <v>6850553</v>
          </cell>
        </row>
        <row r="36">
          <cell r="D36">
            <v>2854311.5</v>
          </cell>
        </row>
        <row r="40">
          <cell r="D40">
            <v>5099125.17</v>
          </cell>
        </row>
        <row r="45">
          <cell r="D45">
            <v>2068000</v>
          </cell>
        </row>
        <row r="46">
          <cell r="D46">
            <v>714968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  <sheetName val="Sheet1"/>
    </sheetNames>
    <sheetDataSet>
      <sheetData sheetId="0">
        <row r="24">
          <cell r="D24">
            <v>986857.63</v>
          </cell>
        </row>
        <row r="43">
          <cell r="D43">
            <v>20494791.969999999</v>
          </cell>
        </row>
        <row r="86">
          <cell r="D86">
            <v>71105</v>
          </cell>
        </row>
        <row r="93">
          <cell r="D93">
            <v>814091.46</v>
          </cell>
        </row>
        <row r="100">
          <cell r="D100">
            <v>0</v>
          </cell>
        </row>
        <row r="110">
          <cell r="D110">
            <v>87960</v>
          </cell>
        </row>
        <row r="114">
          <cell r="D114">
            <v>19709556</v>
          </cell>
        </row>
        <row r="123">
          <cell r="D123">
            <v>16969863</v>
          </cell>
        </row>
        <row r="131">
          <cell r="D131">
            <v>2399452</v>
          </cell>
        </row>
      </sheetData>
      <sheetData sheetId="1">
        <row r="25">
          <cell r="D25">
            <v>2308852.96</v>
          </cell>
        </row>
        <row r="30">
          <cell r="D30">
            <v>9374116</v>
          </cell>
        </row>
        <row r="36">
          <cell r="D36">
            <v>7106114.1399999997</v>
          </cell>
        </row>
        <row r="40">
          <cell r="D40">
            <v>5783947.1799999997</v>
          </cell>
        </row>
        <row r="45">
          <cell r="D45">
            <v>5001996.58</v>
          </cell>
        </row>
        <row r="46">
          <cell r="D46">
            <v>570065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1457245.48</v>
          </cell>
        </row>
        <row r="43">
          <cell r="D43">
            <v>24188346.920000002</v>
          </cell>
        </row>
        <row r="86">
          <cell r="D86">
            <v>31273</v>
          </cell>
        </row>
        <row r="93">
          <cell r="D93">
            <v>1429466.09</v>
          </cell>
        </row>
        <row r="110">
          <cell r="D110">
            <v>140300</v>
          </cell>
        </row>
        <row r="114">
          <cell r="D114">
            <v>27989378</v>
          </cell>
        </row>
        <row r="123">
          <cell r="D123">
            <v>18731446.009999998</v>
          </cell>
        </row>
        <row r="131">
          <cell r="D131">
            <v>3313445.37</v>
          </cell>
        </row>
      </sheetData>
      <sheetData sheetId="1">
        <row r="25">
          <cell r="D25">
            <v>2489100</v>
          </cell>
        </row>
        <row r="30">
          <cell r="D30">
            <v>6950864.1899999995</v>
          </cell>
        </row>
        <row r="36">
          <cell r="D36">
            <v>8611709.9700000007</v>
          </cell>
        </row>
        <row r="40">
          <cell r="D40">
            <v>4954282.53</v>
          </cell>
        </row>
        <row r="45">
          <cell r="D45">
            <v>13829257</v>
          </cell>
        </row>
        <row r="46">
          <cell r="D46">
            <v>22044891.379999999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รายรับ"/>
      <sheetName val="รายจ่าย"/>
    </sheetNames>
    <sheetDataSet>
      <sheetData sheetId="0">
        <row r="24">
          <cell r="D24">
            <v>131404.89000000001</v>
          </cell>
        </row>
        <row r="43">
          <cell r="D43">
            <v>12884986.300000001</v>
          </cell>
        </row>
        <row r="86">
          <cell r="D86">
            <v>6071.8</v>
          </cell>
        </row>
        <row r="93">
          <cell r="D93">
            <v>431530.36</v>
          </cell>
        </row>
        <row r="110">
          <cell r="D110">
            <v>20912</v>
          </cell>
        </row>
        <row r="114">
          <cell r="D114">
            <v>7831350</v>
          </cell>
        </row>
        <row r="123">
          <cell r="D123">
            <v>10736890.439999999</v>
          </cell>
        </row>
        <row r="131">
          <cell r="D131">
            <v>511441</v>
          </cell>
        </row>
      </sheetData>
      <sheetData sheetId="1">
        <row r="25">
          <cell r="D25">
            <v>520182</v>
          </cell>
        </row>
        <row r="30">
          <cell r="D30">
            <v>5345628</v>
          </cell>
        </row>
        <row r="36">
          <cell r="D36">
            <v>5194913.91</v>
          </cell>
        </row>
        <row r="40">
          <cell r="D40">
            <v>3258486.85</v>
          </cell>
        </row>
        <row r="45">
          <cell r="D45">
            <v>2945604.48</v>
          </cell>
        </row>
        <row r="46">
          <cell r="D46">
            <v>1645170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136"/>
  <sheetViews>
    <sheetView tabSelected="1" view="pageBreakPreview" zoomScaleNormal="90" zoomScaleSheetLayoutView="100" workbookViewId="0">
      <selection activeCell="G24" sqref="G24"/>
    </sheetView>
  </sheetViews>
  <sheetFormatPr defaultRowHeight="18.75"/>
  <cols>
    <col min="1" max="1" width="6.85546875" style="20" customWidth="1"/>
    <col min="2" max="2" width="4.85546875" style="20" customWidth="1"/>
    <col min="3" max="3" width="6" style="14" customWidth="1"/>
    <col min="4" max="4" width="15.5703125" style="111" hidden="1" customWidth="1"/>
    <col min="5" max="5" width="14" style="37" customWidth="1"/>
    <col min="6" max="6" width="13.42578125" style="37" customWidth="1"/>
    <col min="7" max="7" width="11.85546875" style="37" customWidth="1"/>
    <col min="8" max="8" width="11.5703125" style="37" customWidth="1"/>
    <col min="9" max="9" width="12" style="37" customWidth="1"/>
    <col min="10" max="10" width="14.140625" style="37" customWidth="1"/>
    <col min="11" max="11" width="15.85546875" style="37" hidden="1" customWidth="1"/>
    <col min="12" max="12" width="13.85546875" style="37" customWidth="1"/>
    <col min="13" max="13" width="13.28515625" style="37" customWidth="1"/>
    <col min="14" max="15" width="12.5703125" style="37" customWidth="1"/>
    <col min="16" max="16" width="23.28515625" style="33" customWidth="1"/>
    <col min="17" max="17" width="0.85546875" style="14" customWidth="1"/>
    <col min="18" max="18" width="8.85546875" style="15" customWidth="1"/>
    <col min="19" max="16384" width="9.140625" style="14"/>
  </cols>
  <sheetData>
    <row r="1" spans="1:18" s="81" customFormat="1" ht="20.25" customHeight="1">
      <c r="A1" s="8" t="s">
        <v>43</v>
      </c>
      <c r="B1" s="9">
        <v>16.3</v>
      </c>
      <c r="C1" s="40" t="s">
        <v>204</v>
      </c>
      <c r="D1" s="9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2"/>
      <c r="R1" s="11"/>
    </row>
    <row r="2" spans="1:18" s="81" customFormat="1" ht="20.25" customHeight="1">
      <c r="A2" s="8" t="s">
        <v>44</v>
      </c>
      <c r="B2" s="9">
        <v>16.3</v>
      </c>
      <c r="C2" s="41" t="s">
        <v>205</v>
      </c>
      <c r="D2" s="9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R2" s="13"/>
    </row>
    <row r="3" spans="1:18" s="10" customFormat="1" ht="20.25" customHeight="1">
      <c r="A3" s="43"/>
      <c r="B3" s="43"/>
      <c r="C3" s="44"/>
      <c r="D3" s="98"/>
      <c r="E3" s="45"/>
      <c r="F3" s="45"/>
      <c r="G3" s="45"/>
      <c r="H3" s="45"/>
      <c r="I3" s="45"/>
      <c r="J3" s="82"/>
      <c r="K3" s="82"/>
      <c r="L3" s="82"/>
      <c r="M3" s="83"/>
      <c r="N3" s="45"/>
      <c r="O3" s="45"/>
      <c r="P3" s="112" t="s">
        <v>203</v>
      </c>
      <c r="R3" s="13"/>
    </row>
    <row r="4" spans="1:18" s="30" customFormat="1" ht="21.75" customHeight="1">
      <c r="A4" s="47"/>
      <c r="B4" s="47"/>
      <c r="C4" s="48"/>
      <c r="D4" s="101"/>
      <c r="E4" s="125" t="s">
        <v>45</v>
      </c>
      <c r="F4" s="126"/>
      <c r="G4" s="126"/>
      <c r="H4" s="126"/>
      <c r="I4" s="126"/>
      <c r="J4" s="127"/>
      <c r="K4" s="72"/>
      <c r="L4" s="125" t="s">
        <v>10</v>
      </c>
      <c r="M4" s="126"/>
      <c r="N4" s="126"/>
      <c r="O4" s="127"/>
      <c r="P4" s="47"/>
      <c r="R4" s="15"/>
    </row>
    <row r="5" spans="1:18">
      <c r="A5" s="50"/>
      <c r="B5" s="50"/>
      <c r="C5" s="51"/>
      <c r="D5" s="96"/>
      <c r="E5" s="128" t="s">
        <v>5</v>
      </c>
      <c r="F5" s="129"/>
      <c r="G5" s="129"/>
      <c r="H5" s="129"/>
      <c r="I5" s="129"/>
      <c r="J5" s="130"/>
      <c r="K5" s="84"/>
      <c r="L5" s="128" t="s">
        <v>11</v>
      </c>
      <c r="M5" s="131"/>
      <c r="N5" s="131"/>
      <c r="O5" s="132"/>
      <c r="P5" s="50"/>
      <c r="R5" s="16"/>
    </row>
    <row r="6" spans="1:18">
      <c r="A6" s="133" t="s">
        <v>49</v>
      </c>
      <c r="B6" s="133"/>
      <c r="C6" s="134"/>
      <c r="D6" s="102"/>
      <c r="E6" s="49" t="s">
        <v>2</v>
      </c>
      <c r="F6" s="49" t="s">
        <v>17</v>
      </c>
      <c r="G6" s="49" t="s">
        <v>3</v>
      </c>
      <c r="H6" s="49" t="s">
        <v>4</v>
      </c>
      <c r="I6" s="49" t="s">
        <v>21</v>
      </c>
      <c r="J6" s="49" t="s">
        <v>8</v>
      </c>
      <c r="K6" s="49"/>
      <c r="L6" s="49" t="s">
        <v>12</v>
      </c>
      <c r="M6" s="85" t="s">
        <v>10</v>
      </c>
      <c r="N6" s="53" t="s">
        <v>10</v>
      </c>
      <c r="O6" s="17" t="s">
        <v>8</v>
      </c>
      <c r="P6" s="50" t="s">
        <v>50</v>
      </c>
      <c r="R6" s="16"/>
    </row>
    <row r="7" spans="1:18" ht="18" customHeight="1">
      <c r="A7" s="133" t="s">
        <v>28</v>
      </c>
      <c r="B7" s="133"/>
      <c r="C7" s="134"/>
      <c r="D7" s="102"/>
      <c r="E7" s="53" t="s">
        <v>16</v>
      </c>
      <c r="F7" s="53" t="s">
        <v>18</v>
      </c>
      <c r="G7" s="53" t="s">
        <v>6</v>
      </c>
      <c r="H7" s="53" t="s">
        <v>19</v>
      </c>
      <c r="I7" s="53" t="s">
        <v>7</v>
      </c>
      <c r="J7" s="53" t="s">
        <v>9</v>
      </c>
      <c r="K7" s="53"/>
      <c r="L7" s="53" t="s">
        <v>13</v>
      </c>
      <c r="M7" s="85" t="s">
        <v>26</v>
      </c>
      <c r="N7" s="53" t="s">
        <v>27</v>
      </c>
      <c r="O7" s="18" t="s">
        <v>9</v>
      </c>
      <c r="P7" s="50" t="s">
        <v>25</v>
      </c>
      <c r="R7" s="16"/>
    </row>
    <row r="8" spans="1:18" ht="18" customHeight="1">
      <c r="A8" s="136" t="s">
        <v>29</v>
      </c>
      <c r="B8" s="136"/>
      <c r="C8" s="137"/>
      <c r="D8" s="103"/>
      <c r="E8" s="53" t="s">
        <v>22</v>
      </c>
      <c r="F8" s="53" t="s">
        <v>24</v>
      </c>
      <c r="G8" s="53"/>
      <c r="H8" s="53" t="s">
        <v>20</v>
      </c>
      <c r="I8" s="53"/>
      <c r="J8" s="53"/>
      <c r="K8" s="53"/>
      <c r="L8" s="53" t="s">
        <v>11</v>
      </c>
      <c r="M8" s="120" t="s">
        <v>11</v>
      </c>
      <c r="N8" s="53" t="s">
        <v>14</v>
      </c>
      <c r="O8" s="18"/>
      <c r="P8" s="50" t="s">
        <v>1</v>
      </c>
      <c r="R8" s="16"/>
    </row>
    <row r="9" spans="1:18" s="21" customFormat="1" ht="21" customHeight="1">
      <c r="A9" s="55"/>
      <c r="B9" s="55"/>
      <c r="C9" s="56"/>
      <c r="D9" s="104">
        <f>SUM(E10:J10)</f>
        <v>2619940626.9099998</v>
      </c>
      <c r="E9" s="57"/>
      <c r="F9" s="57"/>
      <c r="G9" s="57"/>
      <c r="H9" s="57"/>
      <c r="I9" s="57"/>
      <c r="J9" s="57"/>
      <c r="K9" s="86">
        <f>SUM(L10:O10)</f>
        <v>1694484350.5999999</v>
      </c>
      <c r="L9" s="57"/>
      <c r="M9" s="121" t="s">
        <v>208</v>
      </c>
      <c r="N9" s="52" t="s">
        <v>15</v>
      </c>
      <c r="O9" s="19"/>
      <c r="P9" s="55"/>
      <c r="R9" s="16"/>
    </row>
    <row r="10" spans="1:18" s="21" customFormat="1" ht="24.75" customHeight="1">
      <c r="A10" s="59"/>
      <c r="B10" s="12" t="s">
        <v>181</v>
      </c>
      <c r="C10" s="59"/>
      <c r="D10" s="99">
        <f t="shared" ref="D10:O10" si="0">D11+D21+D38+D45+D51+D73+D82+D96+D100+D106+D123+D128+D130</f>
        <v>2619940626.9099994</v>
      </c>
      <c r="E10" s="117">
        <f t="shared" si="0"/>
        <v>1119261483.1600003</v>
      </c>
      <c r="F10" s="117">
        <f t="shared" si="0"/>
        <v>7385694.0799999991</v>
      </c>
      <c r="G10" s="117">
        <f t="shared" si="0"/>
        <v>20792565.219999999</v>
      </c>
      <c r="H10" s="117">
        <f t="shared" si="0"/>
        <v>19147299.460000001</v>
      </c>
      <c r="I10" s="117">
        <f t="shared" si="0"/>
        <v>4625866.29</v>
      </c>
      <c r="J10" s="117">
        <f t="shared" si="0"/>
        <v>1448727718.6999998</v>
      </c>
      <c r="K10" s="117">
        <f t="shared" si="0"/>
        <v>1694484350.6000001</v>
      </c>
      <c r="L10" s="117">
        <f t="shared" si="0"/>
        <v>1024414145.5599999</v>
      </c>
      <c r="M10" s="117">
        <f t="shared" si="0"/>
        <v>313256001.29000002</v>
      </c>
      <c r="N10" s="117">
        <f t="shared" si="0"/>
        <v>111727903.39</v>
      </c>
      <c r="O10" s="117">
        <f t="shared" si="0"/>
        <v>245086300.35999998</v>
      </c>
      <c r="P10" s="87" t="s">
        <v>0</v>
      </c>
      <c r="R10" s="16"/>
    </row>
    <row r="11" spans="1:18" s="21" customFormat="1" ht="24.75" customHeight="1">
      <c r="A11" s="88" t="s">
        <v>30</v>
      </c>
      <c r="B11" s="59"/>
      <c r="C11" s="59"/>
      <c r="D11" s="100">
        <f t="shared" ref="D11:D25" si="1">SUM(E11:J11)</f>
        <v>416283332.65999997</v>
      </c>
      <c r="E11" s="118">
        <f t="shared" ref="E11:J11" si="2">SUM(E12:E20)</f>
        <v>162343954.39999998</v>
      </c>
      <c r="F11" s="118">
        <f t="shared" si="2"/>
        <v>1432098.4100000001</v>
      </c>
      <c r="G11" s="118">
        <f t="shared" si="2"/>
        <v>4500442.080000001</v>
      </c>
      <c r="H11" s="118">
        <f t="shared" si="2"/>
        <v>1608282</v>
      </c>
      <c r="I11" s="118">
        <f t="shared" si="2"/>
        <v>695957.03</v>
      </c>
      <c r="J11" s="118">
        <f t="shared" si="2"/>
        <v>245702598.74000001</v>
      </c>
      <c r="K11" s="117">
        <f>SUM(L11:O11)</f>
        <v>288408124.27999997</v>
      </c>
      <c r="L11" s="118">
        <f>SUM(L12:L20)</f>
        <v>160454507.02999997</v>
      </c>
      <c r="M11" s="118">
        <f>SUM(M12:M20)</f>
        <v>72867792.669999987</v>
      </c>
      <c r="N11" s="118">
        <f>SUM(N12:N20)</f>
        <v>20466951.850000001</v>
      </c>
      <c r="O11" s="118">
        <f>SUM(O12:O20)</f>
        <v>34618872.729999997</v>
      </c>
      <c r="P11" s="88" t="s">
        <v>47</v>
      </c>
      <c r="R11" s="16"/>
    </row>
    <row r="12" spans="1:18" s="21" customFormat="1" ht="22.5" customHeight="1">
      <c r="A12" s="24" t="s">
        <v>51</v>
      </c>
      <c r="B12" s="25"/>
      <c r="C12" s="25"/>
      <c r="D12" s="100">
        <f t="shared" si="1"/>
        <v>33416150.5</v>
      </c>
      <c r="E12" s="27">
        <f>[1]รายรับ!$D$24+[1]รายรับ!$D$43</f>
        <v>12890673.039999999</v>
      </c>
      <c r="F12" s="27">
        <f>[1]รายรับ!$D$86</f>
        <v>174299.1</v>
      </c>
      <c r="G12" s="27">
        <f>[1]รายรับ!$D$93</f>
        <v>238217.5</v>
      </c>
      <c r="H12" s="64">
        <v>0</v>
      </c>
      <c r="I12" s="27">
        <f>[1]รายรับ!$D$110</f>
        <v>113430</v>
      </c>
      <c r="J12" s="27">
        <f>[1]รายรับ!$D$114+[1]รายรับ!$D$123+[1]รายรับ!$D$131</f>
        <v>19999530.859999999</v>
      </c>
      <c r="K12" s="117">
        <f>SUM(L12:O12)</f>
        <v>16197996.51</v>
      </c>
      <c r="L12" s="27">
        <f>[1]รายจ่าย!$D$30+[1]รายจ่าย!$D$36+[1]รายจ่าย!$D$46</f>
        <v>10556939.1</v>
      </c>
      <c r="M12" s="27">
        <f>[1]รายจ่าย!$D$40</f>
        <v>5060454.41</v>
      </c>
      <c r="N12" s="27">
        <f>[1]รายจ่าย!$D$25</f>
        <v>460603</v>
      </c>
      <c r="O12" s="27">
        <f>[1]รายจ่าย!$D$45</f>
        <v>120000</v>
      </c>
      <c r="P12" s="28" t="s">
        <v>190</v>
      </c>
      <c r="R12" s="16"/>
    </row>
    <row r="13" spans="1:18" s="21" customFormat="1" ht="22.5" customHeight="1">
      <c r="A13" s="24" t="s">
        <v>52</v>
      </c>
      <c r="B13" s="25"/>
      <c r="C13" s="25"/>
      <c r="D13" s="100">
        <f t="shared" si="1"/>
        <v>32673744.199999999</v>
      </c>
      <c r="E13" s="27">
        <f>[2]รายรับ!$D$24+[2]รายรับ!$D$43</f>
        <v>13301179.639999999</v>
      </c>
      <c r="F13" s="27">
        <f>[2]รายรับ!$D$86</f>
        <v>507828.71</v>
      </c>
      <c r="G13" s="27">
        <f>[2]รายรับ!$D$93</f>
        <v>136830.15</v>
      </c>
      <c r="H13" s="27">
        <v>1608282</v>
      </c>
      <c r="I13" s="27">
        <f>[2]รายรับ!$D$110</f>
        <v>99655.7</v>
      </c>
      <c r="J13" s="27">
        <f>[2]รายรับ!$D$114+[2]รายรับ!$D$123+[2]รายรับ!$D$131</f>
        <v>17019968</v>
      </c>
      <c r="K13" s="117">
        <f t="shared" ref="K13:K20" si="3">SUM(L13:O13)</f>
        <v>20489665.010000002</v>
      </c>
      <c r="L13" s="27">
        <f>[2]รายจ่าย!$D$36+[2]รายจ่าย!$D$30+[2]รายจ่าย!$D$46</f>
        <v>14230065.85</v>
      </c>
      <c r="M13" s="27">
        <f>[2]รายจ่าย!$D$40</f>
        <v>3179755.79</v>
      </c>
      <c r="N13" s="27">
        <f>[2]รายจ่าย!$D$25</f>
        <v>456401</v>
      </c>
      <c r="O13" s="27">
        <f>[2]รายจ่าย!$D$45</f>
        <v>2623442.37</v>
      </c>
      <c r="P13" s="28" t="s">
        <v>191</v>
      </c>
      <c r="R13" s="16"/>
    </row>
    <row r="14" spans="1:18" s="30" customFormat="1" ht="22.5" customHeight="1">
      <c r="A14" s="24" t="s">
        <v>53</v>
      </c>
      <c r="B14" s="25"/>
      <c r="C14" s="26"/>
      <c r="D14" s="100">
        <f t="shared" si="1"/>
        <v>89003036.049999997</v>
      </c>
      <c r="E14" s="27">
        <f>[3]รายรับ!$D$24+[3]รายรับ!$D$43</f>
        <v>34530866.359999999</v>
      </c>
      <c r="F14" s="27">
        <f>[3]รายรับ!$D$86</f>
        <v>471579.8</v>
      </c>
      <c r="G14" s="27">
        <f>[3]รายรับ!$D$93</f>
        <v>1098873.3600000001</v>
      </c>
      <c r="H14" s="64">
        <v>0</v>
      </c>
      <c r="I14" s="27">
        <f>[3]รายรับ!$D$110</f>
        <v>203637.53</v>
      </c>
      <c r="J14" s="27">
        <f>[3]รายรับ!$D$114+[3]รายรับ!$D$123+[3]รายรับ!$D$131</f>
        <v>52698079</v>
      </c>
      <c r="K14" s="117">
        <f t="shared" si="3"/>
        <v>62587431.780000001</v>
      </c>
      <c r="L14" s="27">
        <f>[3]รายจ่าย!$D$30+[3]รายจ่าย!$D$36+[3]รายจ่าย!$D$46</f>
        <v>22786678.770000003</v>
      </c>
      <c r="M14" s="27">
        <f>[3]รายจ่าย!$D$40</f>
        <v>34136283.649999999</v>
      </c>
      <c r="N14" s="27">
        <f>[3]รายจ่าย!$D$25</f>
        <v>936556</v>
      </c>
      <c r="O14" s="27">
        <f>[3]รายจ่าย!$D$45</f>
        <v>4727913.3600000003</v>
      </c>
      <c r="P14" s="28" t="s">
        <v>192</v>
      </c>
      <c r="R14" s="16"/>
    </row>
    <row r="15" spans="1:18" s="30" customFormat="1" ht="22.5" customHeight="1">
      <c r="A15" s="24" t="s">
        <v>54</v>
      </c>
      <c r="B15" s="25"/>
      <c r="C15" s="26"/>
      <c r="D15" s="100">
        <f t="shared" si="1"/>
        <v>48608986.939999998</v>
      </c>
      <c r="E15" s="27">
        <f>[4]รายรับ!$D$24+[4]รายรับ!$D$43</f>
        <v>18540839.120000001</v>
      </c>
      <c r="F15" s="27">
        <f>[4]รายรับ!$D$86</f>
        <v>125411.4</v>
      </c>
      <c r="G15" s="27">
        <f>[4]รายรับ!$D$93</f>
        <v>379590.38</v>
      </c>
      <c r="H15" s="64">
        <v>0</v>
      </c>
      <c r="I15" s="27">
        <f>[4]รายรับ!$D$110</f>
        <v>19878.8</v>
      </c>
      <c r="J15" s="27">
        <f>[4]รายรับ!$D$114+[4]รายรับ!$D$123+[4]รายรับ!$D$131</f>
        <v>29543267.240000002</v>
      </c>
      <c r="K15" s="117">
        <f t="shared" si="3"/>
        <v>44373500.759999998</v>
      </c>
      <c r="L15" s="27">
        <f>[4]รายจ่าย!$D$30+[4]รายจ่าย!$D$36+[4]รายจ่าย!$D$46</f>
        <v>23108937.219999999</v>
      </c>
      <c r="M15" s="27">
        <f>[4]รายจ่าย!$D$40</f>
        <v>7805090.8200000003</v>
      </c>
      <c r="N15" s="27">
        <f>[4]รายจ่าย!$D$25</f>
        <v>9626817.1999999993</v>
      </c>
      <c r="O15" s="27">
        <f>[4]รายจ่าย!$D$45</f>
        <v>3832655.52</v>
      </c>
      <c r="P15" s="28" t="s">
        <v>193</v>
      </c>
      <c r="R15" s="16"/>
    </row>
    <row r="16" spans="1:18" s="30" customFormat="1" ht="22.5" customHeight="1">
      <c r="A16" s="24" t="s">
        <v>55</v>
      </c>
      <c r="B16" s="25"/>
      <c r="C16" s="26"/>
      <c r="D16" s="100">
        <f t="shared" si="1"/>
        <v>24567322.780000001</v>
      </c>
      <c r="E16" s="27">
        <f>[5]รายรับ!$D$24+[5]รายรับ!$D$43</f>
        <v>13197931.99</v>
      </c>
      <c r="F16" s="27">
        <f>[5]รายรับ!$D$86</f>
        <v>29171.599999999999</v>
      </c>
      <c r="G16" s="27">
        <f>[5]รายรับ!$D$93</f>
        <v>38384.19</v>
      </c>
      <c r="H16" s="64">
        <v>0</v>
      </c>
      <c r="I16" s="27">
        <f>[5]รายรับ!$D$110</f>
        <v>35400</v>
      </c>
      <c r="J16" s="27">
        <f>[5]รายรับ!$D$114+[5]รายรับ!$D$123+[5]รายรับ!$D$131</f>
        <v>11266435</v>
      </c>
      <c r="K16" s="117">
        <f t="shared" si="3"/>
        <v>24004236.939999998</v>
      </c>
      <c r="L16" s="27">
        <f>[5]รายจ่าย!$D$30+[5]รายจ่าย!$D$36+[5]รายจ่าย!$D$46</f>
        <v>12500848.27</v>
      </c>
      <c r="M16" s="27">
        <f>[5]รายจ่าย!$D$40</f>
        <v>5272135.0199999996</v>
      </c>
      <c r="N16" s="27">
        <f>[5]รายจ่าย!$D$25</f>
        <v>3843253.65</v>
      </c>
      <c r="O16" s="27">
        <f>[5]รายจ่าย!$D$45</f>
        <v>2388000</v>
      </c>
      <c r="P16" s="28" t="s">
        <v>194</v>
      </c>
      <c r="R16" s="16"/>
    </row>
    <row r="17" spans="1:18" s="30" customFormat="1" ht="22.5" customHeight="1">
      <c r="A17" s="24" t="s">
        <v>56</v>
      </c>
      <c r="B17" s="25"/>
      <c r="C17" s="26"/>
      <c r="D17" s="100">
        <f t="shared" si="1"/>
        <v>42880573.140000001</v>
      </c>
      <c r="E17" s="27">
        <f>[6]รายรับ!$D$24+[6]รายรับ!$D$43</f>
        <v>15934273.489999998</v>
      </c>
      <c r="F17" s="27">
        <f>[6]รายรับ!$D$86</f>
        <v>50395.6</v>
      </c>
      <c r="G17" s="27">
        <f>[6]รายรับ!$D$93</f>
        <v>183715.62</v>
      </c>
      <c r="H17" s="64">
        <v>0</v>
      </c>
      <c r="I17" s="27">
        <f>[6]รายรับ!$D$110</f>
        <v>33952</v>
      </c>
      <c r="J17" s="27">
        <f>[6]รายรับ!$D$114+[6]รายรับ!$D$123+[6]รายรับ!$D$131</f>
        <v>26678236.43</v>
      </c>
      <c r="K17" s="117">
        <f t="shared" si="3"/>
        <v>24037134.089999996</v>
      </c>
      <c r="L17" s="27">
        <f>[6]รายจ่าย!$D$30+[6]รายจ่าย!$D$36+[6]รายจ่าย!$D$46</f>
        <v>15687569.489999998</v>
      </c>
      <c r="M17" s="27">
        <f>[6]รายจ่าย!$D$40</f>
        <v>4562413.5999999996</v>
      </c>
      <c r="N17" s="27">
        <f>[6]รายจ่าย!$D$25</f>
        <v>1155151</v>
      </c>
      <c r="O17" s="27">
        <f>[6]รายจ่าย!$D$45</f>
        <v>2632000</v>
      </c>
      <c r="P17" s="28" t="s">
        <v>195</v>
      </c>
      <c r="R17" s="16"/>
    </row>
    <row r="18" spans="1:18" s="30" customFormat="1" ht="22.5" customHeight="1">
      <c r="A18" s="24" t="s">
        <v>57</v>
      </c>
      <c r="B18" s="25"/>
      <c r="C18" s="26"/>
      <c r="D18" s="100">
        <f t="shared" si="1"/>
        <v>35298031.390000001</v>
      </c>
      <c r="E18" s="27">
        <f>[7]รายรับ!$D$24+[7]รายรับ!$D$43</f>
        <v>15286207.17</v>
      </c>
      <c r="F18" s="27">
        <f>[7]รายรับ!$D$86</f>
        <v>36067.4</v>
      </c>
      <c r="G18" s="27">
        <f>[7]รายรับ!$D$93</f>
        <v>563834.43000000005</v>
      </c>
      <c r="H18" s="64">
        <v>0</v>
      </c>
      <c r="I18" s="27">
        <f>[7]รายรับ!$D$110</f>
        <v>28791</v>
      </c>
      <c r="J18" s="27">
        <f>[7]รายรับ!$D$114+[7]รายรับ!$D$123+[7]รายรับ!$D$131</f>
        <v>19383131.390000001</v>
      </c>
      <c r="K18" s="117">
        <f t="shared" si="3"/>
        <v>18928068.879999999</v>
      </c>
      <c r="L18" s="27">
        <f>[7]รายจ่าย!$D$30+[7]รายจ่าย!$D$36+[7]รายจ่าย!$D$46</f>
        <v>11790290.879999999</v>
      </c>
      <c r="M18" s="27">
        <f>[7]รายจ่าย!$D$40</f>
        <v>4638890</v>
      </c>
      <c r="N18" s="27">
        <f>[7]รายจ่าย!$D$25</f>
        <v>978888</v>
      </c>
      <c r="O18" s="27">
        <f>[7]รายจ่าย!$D$45</f>
        <v>1520000</v>
      </c>
      <c r="P18" s="28" t="s">
        <v>196</v>
      </c>
      <c r="R18" s="16"/>
    </row>
    <row r="19" spans="1:18" s="30" customFormat="1" ht="22.5" customHeight="1">
      <c r="A19" s="24" t="s">
        <v>58</v>
      </c>
      <c r="B19" s="25"/>
      <c r="C19" s="26"/>
      <c r="D19" s="100">
        <f t="shared" si="1"/>
        <v>77280900.870000005</v>
      </c>
      <c r="E19" s="27">
        <f>[8]รายรับ!$D$24+[8]รายรับ!$D$43</f>
        <v>25645592.400000002</v>
      </c>
      <c r="F19" s="27">
        <f>[8]รายรับ!$D$86</f>
        <v>31273</v>
      </c>
      <c r="G19" s="27">
        <f>[8]รายรับ!$D$93</f>
        <v>1429466.09</v>
      </c>
      <c r="H19" s="64">
        <v>0</v>
      </c>
      <c r="I19" s="27">
        <f>[8]รายรับ!$D$110</f>
        <v>140300</v>
      </c>
      <c r="J19" s="27">
        <f>[8]รายรับ!$D$114+[8]รายรับ!$D$123+[8]รายรับ!$D$131</f>
        <v>50034269.379999995</v>
      </c>
      <c r="K19" s="117">
        <f t="shared" si="3"/>
        <v>58880105.07</v>
      </c>
      <c r="L19" s="27">
        <f>[8]รายจ่าย!$D$30+[8]รายจ่าย!$D$36+[8]รายจ่าย!$D$46</f>
        <v>37607465.539999999</v>
      </c>
      <c r="M19" s="27">
        <f>[8]รายจ่าย!$D$40</f>
        <v>4954282.53</v>
      </c>
      <c r="N19" s="27">
        <f>[8]รายจ่าย!$D$25</f>
        <v>2489100</v>
      </c>
      <c r="O19" s="27">
        <f>[8]รายจ่าย!$D$45</f>
        <v>13829257</v>
      </c>
      <c r="P19" s="28" t="s">
        <v>197</v>
      </c>
      <c r="R19" s="16"/>
    </row>
    <row r="20" spans="1:18" s="30" customFormat="1" ht="22.5" customHeight="1">
      <c r="A20" s="24" t="s">
        <v>59</v>
      </c>
      <c r="B20" s="25"/>
      <c r="C20" s="26"/>
      <c r="D20" s="100">
        <f t="shared" si="1"/>
        <v>32554586.789999999</v>
      </c>
      <c r="E20" s="27">
        <f>[9]รายรับ!$D$24+[9]รายรับ!$D$43</f>
        <v>13016391.190000001</v>
      </c>
      <c r="F20" s="27">
        <f>[9]รายรับ!$D$86</f>
        <v>6071.8</v>
      </c>
      <c r="G20" s="27">
        <f>[9]รายรับ!$D$93</f>
        <v>431530.36</v>
      </c>
      <c r="H20" s="64">
        <v>0</v>
      </c>
      <c r="I20" s="27">
        <f>[9]รายรับ!$D$110</f>
        <v>20912</v>
      </c>
      <c r="J20" s="27">
        <f>[9]รายรับ!$D$114+[9]รายรับ!$D$123+[9]รายรับ!$D$131</f>
        <v>19079681.439999998</v>
      </c>
      <c r="K20" s="117">
        <f t="shared" si="3"/>
        <v>18909985.239999998</v>
      </c>
      <c r="L20" s="63">
        <f>[9]รายจ่าย!$D$30+[9]รายจ่าย!$D$36+[9]รายจ่าย!$D$46</f>
        <v>12185711.91</v>
      </c>
      <c r="M20" s="63">
        <f>[9]รายจ่าย!$D$40</f>
        <v>3258486.85</v>
      </c>
      <c r="N20" s="63">
        <f>[9]รายจ่าย!$D$25</f>
        <v>520182</v>
      </c>
      <c r="O20" s="63">
        <f>[9]รายจ่าย!$D$45</f>
        <v>2945604.48</v>
      </c>
      <c r="P20" s="28" t="s">
        <v>198</v>
      </c>
      <c r="R20" s="16"/>
    </row>
    <row r="21" spans="1:18" s="30" customFormat="1" ht="22.5" customHeight="1">
      <c r="A21" s="22" t="s">
        <v>31</v>
      </c>
      <c r="B21" s="59"/>
      <c r="C21" s="59"/>
      <c r="D21" s="100">
        <f t="shared" si="1"/>
        <v>205055371.28</v>
      </c>
      <c r="E21" s="60">
        <f t="shared" ref="E21:J21" si="4">SUM(E22:E25,E26:E27)</f>
        <v>89397527.900000006</v>
      </c>
      <c r="F21" s="60">
        <f t="shared" si="4"/>
        <v>829285.05</v>
      </c>
      <c r="G21" s="60">
        <f t="shared" si="4"/>
        <v>1843187.18</v>
      </c>
      <c r="H21" s="60">
        <v>1204892</v>
      </c>
      <c r="I21" s="60">
        <f t="shared" si="4"/>
        <v>349061.74</v>
      </c>
      <c r="J21" s="60">
        <f t="shared" si="4"/>
        <v>111431417.41</v>
      </c>
      <c r="K21" s="65">
        <f>SUM(L21:O21)</f>
        <v>124317827.40999998</v>
      </c>
      <c r="L21" s="60">
        <f>SUM(L22:L25,L26:L27)</f>
        <v>80347390.029999986</v>
      </c>
      <c r="M21" s="60">
        <f>SUM(M22:M25,M26:M27)</f>
        <v>23552004.720000003</v>
      </c>
      <c r="N21" s="60">
        <f>SUM(N22:N25,N26:N27)</f>
        <v>5120418</v>
      </c>
      <c r="O21" s="60">
        <f>SUM(O22:O25,O26:O27)</f>
        <v>15298014.66</v>
      </c>
      <c r="P21" s="62" t="s">
        <v>60</v>
      </c>
      <c r="R21" s="16"/>
    </row>
    <row r="22" spans="1:18" s="30" customFormat="1" ht="22.5" customHeight="1">
      <c r="A22" s="24" t="s">
        <v>61</v>
      </c>
      <c r="B22" s="25"/>
      <c r="C22" s="25"/>
      <c r="D22" s="100">
        <f t="shared" si="1"/>
        <v>33981133.869999997</v>
      </c>
      <c r="E22" s="27">
        <f>[10]รายรับ!$D$24+[10]รายรับ!$D$43</f>
        <v>15350907.880000001</v>
      </c>
      <c r="F22" s="27">
        <f>[10]รายรับ!$D$86</f>
        <v>268761</v>
      </c>
      <c r="G22" s="27">
        <f>[10]รายรับ!$D$93</f>
        <v>242011.51</v>
      </c>
      <c r="H22" s="64">
        <v>0</v>
      </c>
      <c r="I22" s="27">
        <f>[10]รายรับ!$D$110</f>
        <v>45051.08</v>
      </c>
      <c r="J22" s="27">
        <f>[10]รายรับ!$D$114+[10]รายรับ!$D$123+[10]รายรับ!$D$131</f>
        <v>18074402.399999999</v>
      </c>
      <c r="K22" s="65">
        <f t="shared" ref="K22:K27" si="5">SUM(L22:O22)</f>
        <v>24965965.629999999</v>
      </c>
      <c r="L22" s="27">
        <f>[10]รายจ่าย!$D$30+[10]รายจ่าย!$D$36+[10]รายจ่าย!$D$46</f>
        <v>14712732.6</v>
      </c>
      <c r="M22" s="27">
        <f>[10]รายจ่าย!$D$40</f>
        <v>5260597.03</v>
      </c>
      <c r="N22" s="27">
        <f>[10]รายจ่าย!$D$25</f>
        <v>1898707</v>
      </c>
      <c r="O22" s="27">
        <f>[10]รายจ่าย!$D$45</f>
        <v>3093929</v>
      </c>
      <c r="P22" s="28" t="s">
        <v>199</v>
      </c>
      <c r="R22" s="16"/>
    </row>
    <row r="23" spans="1:18" s="30" customFormat="1" ht="22.5" customHeight="1">
      <c r="A23" s="24" t="s">
        <v>62</v>
      </c>
      <c r="B23" s="25"/>
      <c r="C23" s="25"/>
      <c r="D23" s="100">
        <f t="shared" si="1"/>
        <v>37696649.939999998</v>
      </c>
      <c r="E23" s="27">
        <f>[11]รายรับ!$D$24+[11]รายรับ!$D$43</f>
        <v>17361104.709999997</v>
      </c>
      <c r="F23" s="27">
        <f>[11]รายรับ!$D$86</f>
        <v>149806</v>
      </c>
      <c r="G23" s="27">
        <f>[11]รายรับ!$D$93</f>
        <v>454351.23</v>
      </c>
      <c r="H23" s="64">
        <v>0</v>
      </c>
      <c r="I23" s="27">
        <f>[11]รายรับ!$D$110</f>
        <v>14400</v>
      </c>
      <c r="J23" s="27">
        <f>[11]รายรับ!$D$114+[11]รายรับ!$D$123+[11]รายรับ!$D$131</f>
        <v>19716988</v>
      </c>
      <c r="K23" s="65">
        <f t="shared" si="5"/>
        <v>22516385.359999999</v>
      </c>
      <c r="L23" s="27">
        <f>[11]รายจ่าย!$D$30+[11]รายจ่าย!$D$36+[11]รายจ่าย!$D$46</f>
        <v>13733143.34</v>
      </c>
      <c r="M23" s="27">
        <f>[11]รายจ่าย!$D$40</f>
        <v>3613611.36</v>
      </c>
      <c r="N23" s="27">
        <f>[11]รายจ่าย!$D$25</f>
        <v>696345</v>
      </c>
      <c r="O23" s="27">
        <f>[11]รายจ่าย!$D$45</f>
        <v>4473285.66</v>
      </c>
      <c r="P23" s="28" t="s">
        <v>200</v>
      </c>
      <c r="R23" s="16"/>
    </row>
    <row r="24" spans="1:18" s="30" customFormat="1" ht="22.5" customHeight="1">
      <c r="A24" s="24" t="s">
        <v>63</v>
      </c>
      <c r="B24" s="25"/>
      <c r="C24" s="26"/>
      <c r="D24" s="100">
        <f t="shared" si="1"/>
        <v>29870045.170000002</v>
      </c>
      <c r="E24" s="27">
        <f>[12]รายรับ!$D$24+[12]รายรับ!$D$43</f>
        <v>13491575.16</v>
      </c>
      <c r="F24" s="27">
        <f>[12]รายรับ!$D$86</f>
        <v>118918.39999999999</v>
      </c>
      <c r="G24" s="27">
        <f>[12]รายรับ!$D$93</f>
        <v>178075.6</v>
      </c>
      <c r="H24" s="27">
        <v>230000</v>
      </c>
      <c r="I24" s="27">
        <f>[12]รายรับ!$D$110</f>
        <v>52350</v>
      </c>
      <c r="J24" s="27">
        <f>[12]รายรับ!$D$114+[12]รายรับ!$D$123+[12]รายรับ!$D$131</f>
        <v>15799126.01</v>
      </c>
      <c r="K24" s="65">
        <f t="shared" si="5"/>
        <v>20281816.699999999</v>
      </c>
      <c r="L24" s="27">
        <f>[12]รายจ่าย!$D$30+[12]รายจ่าย!$D$36+[12]รายจ่าย!$D$46</f>
        <v>14913635.83</v>
      </c>
      <c r="M24" s="27">
        <f>[12]รายจ่าย!$D$40</f>
        <v>2403333.87</v>
      </c>
      <c r="N24" s="27">
        <f>[12]รายจ่าย!$D$25</f>
        <v>804847</v>
      </c>
      <c r="O24" s="27">
        <f>[12]รายจ่าย!$D$45</f>
        <v>2160000</v>
      </c>
      <c r="P24" s="28" t="s">
        <v>201</v>
      </c>
      <c r="R24" s="38"/>
    </row>
    <row r="25" spans="1:18" s="30" customFormat="1" ht="22.5" customHeight="1">
      <c r="A25" s="24" t="s">
        <v>64</v>
      </c>
      <c r="B25" s="25"/>
      <c r="C25" s="26"/>
      <c r="D25" s="100">
        <f t="shared" si="1"/>
        <v>34085665.400000006</v>
      </c>
      <c r="E25" s="27">
        <f>[13]รายรับ!$D$24+[13]รายรับ!$D$43</f>
        <v>16287551.26</v>
      </c>
      <c r="F25" s="27">
        <f>[13]รายรับ!$D$86</f>
        <v>55365.25</v>
      </c>
      <c r="G25" s="27">
        <f>[13]รายรับ!$D$93</f>
        <v>358026.23</v>
      </c>
      <c r="H25" s="119">
        <v>525662</v>
      </c>
      <c r="I25" s="27">
        <f>[13]รายรับ!$D$110</f>
        <v>14020.66</v>
      </c>
      <c r="J25" s="119">
        <f>[13]รายรับ!$D$114+[13]รายรับ!$D$123+[13]รายรับ!$D$131</f>
        <v>16845040</v>
      </c>
      <c r="K25" s="65">
        <f t="shared" si="5"/>
        <v>18459725.16</v>
      </c>
      <c r="L25" s="27">
        <f>[13]รายจ่าย!$D$30+[13]รายจ่าย!$D$36+[13]รายจ่าย!$D$46</f>
        <v>13009043.16</v>
      </c>
      <c r="M25" s="27">
        <f>[13]รายจ่าย!$D$40</f>
        <v>3386000</v>
      </c>
      <c r="N25" s="27">
        <f>[13]รายจ่าย!$D$25</f>
        <v>607682</v>
      </c>
      <c r="O25" s="27">
        <f>[13]รายจ่าย!$D$45</f>
        <v>1457000</v>
      </c>
      <c r="P25" s="28" t="s">
        <v>202</v>
      </c>
      <c r="R25" s="39"/>
    </row>
    <row r="26" spans="1:18" s="30" customFormat="1" ht="22.5" customHeight="1">
      <c r="A26" s="24" t="s">
        <v>65</v>
      </c>
      <c r="B26" s="25"/>
      <c r="C26" s="26"/>
      <c r="D26" s="100">
        <f>SUM(E26:J26)</f>
        <v>38266859.060000002</v>
      </c>
      <c r="E26" s="27">
        <f>[14]รายรับ!$D$24+[14]รายรับ!$D$43</f>
        <v>15244178.800000003</v>
      </c>
      <c r="F26" s="27">
        <f>[14]รายรับ!$D$86</f>
        <v>21807.200000000001</v>
      </c>
      <c r="G26" s="27">
        <f>[14]รายรับ!$D$93</f>
        <v>391153.06</v>
      </c>
      <c r="H26" s="64">
        <v>0</v>
      </c>
      <c r="I26" s="27">
        <f>[14]รายรับ!$D$110</f>
        <v>124440</v>
      </c>
      <c r="J26" s="27">
        <f>[14]รายรับ!$D$114+[14]รายรับ!$D$123+[14]รายรับ!$D$131</f>
        <v>22485280</v>
      </c>
      <c r="K26" s="65">
        <f t="shared" si="5"/>
        <v>15726902.400000002</v>
      </c>
      <c r="L26" s="63">
        <f>[14]รายจ่าย!$D$30+[14]รายจ่าย!$D$36+[14]รายจ่าย!$D$46</f>
        <v>11290785.940000001</v>
      </c>
      <c r="M26" s="63">
        <f>[14]รายจ่าย!$D$40</f>
        <v>3703206.46</v>
      </c>
      <c r="N26" s="63">
        <f>[14]รายจ่าย!$D$25</f>
        <v>732910</v>
      </c>
      <c r="O26" s="124">
        <v>0</v>
      </c>
      <c r="P26" s="28" t="s">
        <v>66</v>
      </c>
      <c r="R26" s="15"/>
    </row>
    <row r="27" spans="1:18" s="30" customFormat="1" ht="22.5" customHeight="1">
      <c r="A27" s="24" t="s">
        <v>67</v>
      </c>
      <c r="B27" s="25"/>
      <c r="C27" s="26"/>
      <c r="D27" s="100">
        <f>SUM(E27:J27)</f>
        <v>31155017.840000004</v>
      </c>
      <c r="E27" s="27">
        <f>[15]รายรับ!$D$24+[15]รายรับ!$D$43</f>
        <v>11662210.090000002</v>
      </c>
      <c r="F27" s="27">
        <f>[15]รายรับ!$D$86</f>
        <v>214627.20000000001</v>
      </c>
      <c r="G27" s="27">
        <f>[15]รายรับ!$D$93</f>
        <v>219569.55</v>
      </c>
      <c r="H27" s="27">
        <v>449230</v>
      </c>
      <c r="I27" s="27">
        <f>[15]รายรับ!$D$110</f>
        <v>98800</v>
      </c>
      <c r="J27" s="27">
        <f>[15]รายรับ!$D$114+[15]รายรับ!$D$123+[15]รายรับ!$D$131</f>
        <v>18510581</v>
      </c>
      <c r="K27" s="65">
        <f t="shared" si="5"/>
        <v>22367032.16</v>
      </c>
      <c r="L27" s="63">
        <f>[15]รายจ่าย!$D$30+[15]รายจ่าย!$D$36+[15]รายจ่าย!$D$46</f>
        <v>12688049.16</v>
      </c>
      <c r="M27" s="63">
        <f>[15]รายจ่าย!$D$40</f>
        <v>5185256</v>
      </c>
      <c r="N27" s="63">
        <f>[15]รายจ่าย!$D$25</f>
        <v>379927</v>
      </c>
      <c r="O27" s="63">
        <f>[15]รายจ่าย!$D$45</f>
        <v>4113800</v>
      </c>
      <c r="P27" s="28" t="s">
        <v>68</v>
      </c>
      <c r="R27" s="15"/>
    </row>
    <row r="28" spans="1:18" s="30" customFormat="1" ht="21" customHeight="1">
      <c r="A28" s="24"/>
      <c r="B28" s="25"/>
      <c r="C28" s="26"/>
      <c r="D28" s="100"/>
      <c r="E28" s="89"/>
      <c r="F28" s="89"/>
      <c r="G28" s="89"/>
      <c r="H28" s="89"/>
      <c r="I28" s="89"/>
      <c r="J28" s="89"/>
      <c r="K28" s="90"/>
      <c r="L28" s="89"/>
      <c r="M28" s="89"/>
      <c r="N28" s="89"/>
      <c r="O28" s="89"/>
      <c r="P28" s="28"/>
      <c r="R28" s="39"/>
    </row>
    <row r="29" spans="1:18" s="10" customFormat="1" ht="21" customHeight="1">
      <c r="A29" s="8" t="s">
        <v>43</v>
      </c>
      <c r="B29" s="9">
        <v>16.3</v>
      </c>
      <c r="C29" s="40" t="s">
        <v>182</v>
      </c>
      <c r="D29" s="96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12"/>
      <c r="R29" s="16"/>
    </row>
    <row r="30" spans="1:18" s="81" customFormat="1" ht="21" customHeight="1">
      <c r="A30" s="8" t="s">
        <v>44</v>
      </c>
      <c r="B30" s="9">
        <v>16.3</v>
      </c>
      <c r="C30" s="41" t="s">
        <v>48</v>
      </c>
      <c r="D30" s="97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2"/>
      <c r="R30" s="15"/>
    </row>
    <row r="31" spans="1:18" s="10" customFormat="1">
      <c r="A31" s="43"/>
      <c r="B31" s="43"/>
      <c r="C31" s="44" t="s">
        <v>183</v>
      </c>
      <c r="D31" s="98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R31" s="15"/>
    </row>
    <row r="32" spans="1:18" s="30" customFormat="1" ht="19.5" customHeight="1">
      <c r="A32" s="47"/>
      <c r="B32" s="47"/>
      <c r="C32" s="48"/>
      <c r="D32" s="105"/>
      <c r="E32" s="138" t="s">
        <v>45</v>
      </c>
      <c r="F32" s="138"/>
      <c r="G32" s="138"/>
      <c r="H32" s="138"/>
      <c r="I32" s="138"/>
      <c r="J32" s="138"/>
      <c r="K32" s="49"/>
      <c r="L32" s="138" t="s">
        <v>10</v>
      </c>
      <c r="M32" s="138"/>
      <c r="N32" s="138"/>
      <c r="O32" s="138"/>
      <c r="P32" s="47"/>
      <c r="R32" s="15"/>
    </row>
    <row r="33" spans="1:18" ht="19.5" customHeight="1">
      <c r="A33" s="50"/>
      <c r="B33" s="50"/>
      <c r="C33" s="51"/>
      <c r="D33" s="106"/>
      <c r="E33" s="135" t="s">
        <v>5</v>
      </c>
      <c r="F33" s="135"/>
      <c r="G33" s="135"/>
      <c r="H33" s="135"/>
      <c r="I33" s="135"/>
      <c r="J33" s="135"/>
      <c r="K33" s="52"/>
      <c r="L33" s="135" t="s">
        <v>11</v>
      </c>
      <c r="M33" s="135"/>
      <c r="N33" s="135"/>
      <c r="O33" s="135"/>
      <c r="P33" s="50"/>
    </row>
    <row r="34" spans="1:18" ht="19.5" customHeight="1">
      <c r="A34" s="133" t="s">
        <v>49</v>
      </c>
      <c r="B34" s="133"/>
      <c r="C34" s="134"/>
      <c r="D34" s="102"/>
      <c r="E34" s="49" t="s">
        <v>2</v>
      </c>
      <c r="F34" s="49" t="s">
        <v>17</v>
      </c>
      <c r="G34" s="49" t="s">
        <v>3</v>
      </c>
      <c r="H34" s="49" t="s">
        <v>4</v>
      </c>
      <c r="I34" s="49" t="s">
        <v>21</v>
      </c>
      <c r="J34" s="49" t="s">
        <v>8</v>
      </c>
      <c r="K34" s="49"/>
      <c r="L34" s="49" t="s">
        <v>12</v>
      </c>
      <c r="M34" s="53" t="s">
        <v>10</v>
      </c>
      <c r="N34" s="53" t="s">
        <v>10</v>
      </c>
      <c r="O34" s="49" t="s">
        <v>8</v>
      </c>
      <c r="P34" s="50" t="s">
        <v>50</v>
      </c>
    </row>
    <row r="35" spans="1:18" ht="19.5" customHeight="1">
      <c r="A35" s="133" t="s">
        <v>28</v>
      </c>
      <c r="B35" s="133"/>
      <c r="C35" s="134"/>
      <c r="D35" s="102"/>
      <c r="E35" s="53" t="s">
        <v>16</v>
      </c>
      <c r="F35" s="53" t="s">
        <v>18</v>
      </c>
      <c r="G35" s="53" t="s">
        <v>6</v>
      </c>
      <c r="H35" s="53" t="s">
        <v>19</v>
      </c>
      <c r="I35" s="53" t="s">
        <v>7</v>
      </c>
      <c r="J35" s="53" t="s">
        <v>9</v>
      </c>
      <c r="K35" s="53"/>
      <c r="L35" s="53" t="s">
        <v>13</v>
      </c>
      <c r="M35" s="53" t="s">
        <v>26</v>
      </c>
      <c r="N35" s="53" t="s">
        <v>27</v>
      </c>
      <c r="O35" s="53" t="s">
        <v>9</v>
      </c>
      <c r="P35" s="50" t="s">
        <v>25</v>
      </c>
    </row>
    <row r="36" spans="1:18" ht="19.5" customHeight="1">
      <c r="A36" s="136" t="s">
        <v>29</v>
      </c>
      <c r="B36" s="136"/>
      <c r="C36" s="137"/>
      <c r="D36" s="103"/>
      <c r="E36" s="53" t="s">
        <v>22</v>
      </c>
      <c r="F36" s="53" t="s">
        <v>24</v>
      </c>
      <c r="G36" s="53"/>
      <c r="H36" s="53" t="s">
        <v>20</v>
      </c>
      <c r="I36" s="53"/>
      <c r="J36" s="53"/>
      <c r="K36" s="53"/>
      <c r="L36" s="53" t="s">
        <v>11</v>
      </c>
      <c r="M36" s="123" t="s">
        <v>209</v>
      </c>
      <c r="N36" s="53" t="s">
        <v>14</v>
      </c>
      <c r="O36" s="53"/>
      <c r="P36" s="50" t="s">
        <v>1</v>
      </c>
    </row>
    <row r="37" spans="1:18" s="30" customFormat="1" ht="19.5" customHeight="1">
      <c r="A37" s="55"/>
      <c r="B37" s="55"/>
      <c r="C37" s="56"/>
      <c r="D37" s="104"/>
      <c r="E37" s="57"/>
      <c r="F37" s="57"/>
      <c r="G37" s="57"/>
      <c r="H37" s="57"/>
      <c r="I37" s="57"/>
      <c r="J37" s="57"/>
      <c r="K37" s="57"/>
      <c r="L37" s="57"/>
      <c r="M37" s="122" t="s">
        <v>208</v>
      </c>
      <c r="N37" s="52" t="s">
        <v>15</v>
      </c>
      <c r="O37" s="57"/>
      <c r="P37" s="55"/>
      <c r="R37" s="15"/>
    </row>
    <row r="38" spans="1:18" s="30" customFormat="1" ht="21" customHeight="1">
      <c r="A38" s="22" t="s">
        <v>32</v>
      </c>
      <c r="B38" s="59"/>
      <c r="C38" s="59"/>
      <c r="D38" s="100">
        <f t="shared" ref="D38:D50" si="6">SUM(E38:J38)</f>
        <v>249227463.38</v>
      </c>
      <c r="E38" s="60">
        <f t="shared" ref="E38:J38" si="7">SUM(E39:E44)</f>
        <v>100465698.16000001</v>
      </c>
      <c r="F38" s="60">
        <f t="shared" si="7"/>
        <v>523576.60000000003</v>
      </c>
      <c r="G38" s="60">
        <f t="shared" si="7"/>
        <v>1446059.8499999999</v>
      </c>
      <c r="H38" s="32">
        <f t="shared" si="7"/>
        <v>0</v>
      </c>
      <c r="I38" s="60">
        <f t="shared" si="7"/>
        <v>632557</v>
      </c>
      <c r="J38" s="60">
        <f t="shared" si="7"/>
        <v>146159571.76999998</v>
      </c>
      <c r="K38" s="65">
        <f>SUM(L38:O38)</f>
        <v>157759626.18000001</v>
      </c>
      <c r="L38" s="60">
        <f>SUM(L39:L44)</f>
        <v>85420819.960000008</v>
      </c>
      <c r="M38" s="60">
        <f>SUM(M39:M44)</f>
        <v>29651628.32</v>
      </c>
      <c r="N38" s="60">
        <f>SUM(N39:N44)</f>
        <v>14392294.199999999</v>
      </c>
      <c r="O38" s="60">
        <f>SUM(O39:O44)</f>
        <v>28294883.700000003</v>
      </c>
      <c r="P38" s="22" t="s">
        <v>69</v>
      </c>
      <c r="R38" s="15"/>
    </row>
    <row r="39" spans="1:18" s="30" customFormat="1" ht="21" customHeight="1">
      <c r="A39" s="24" t="s">
        <v>32</v>
      </c>
      <c r="B39" s="25"/>
      <c r="C39" s="26"/>
      <c r="D39" s="100">
        <f t="shared" si="6"/>
        <v>41893826.799999997</v>
      </c>
      <c r="E39" s="27">
        <f>[16]รายรับ!$D$24+[16]รายรับ!$D$43</f>
        <v>15724541.800000001</v>
      </c>
      <c r="F39" s="64">
        <f>[16]รายรับ!$D$86</f>
        <v>0</v>
      </c>
      <c r="G39" s="64">
        <f>[16]รายรับ!$D$93</f>
        <v>0</v>
      </c>
      <c r="H39" s="64">
        <f>[16]รายรับ!$D$100</f>
        <v>0</v>
      </c>
      <c r="I39" s="64">
        <f>[16]รายรับ!$D$110</f>
        <v>0</v>
      </c>
      <c r="J39" s="27">
        <f>[16]รายรับ!$D$114+[16]รายรับ!$D$123+[16]รายรับ!$D$131</f>
        <v>26169285</v>
      </c>
      <c r="K39" s="65">
        <f t="shared" ref="K39:K44" si="8">SUM(L39:O39)</f>
        <v>24020531.48</v>
      </c>
      <c r="L39" s="27">
        <f>[16]รายจ่าย!$D$30+[16]รายจ่าย!$D$36+[16]รายจ่าย!$D$46</f>
        <v>12858952.32</v>
      </c>
      <c r="M39" s="27">
        <f>[16]รายจ่าย!$D$40</f>
        <v>7439759.1600000001</v>
      </c>
      <c r="N39" s="27">
        <f>[16]รายจ่าย!$D$25</f>
        <v>873764</v>
      </c>
      <c r="O39" s="27">
        <f>[16]รายจ่าย!$D$45</f>
        <v>2848056</v>
      </c>
      <c r="P39" s="28" t="s">
        <v>70</v>
      </c>
      <c r="R39" s="15"/>
    </row>
    <row r="40" spans="1:18" s="30" customFormat="1" ht="21" customHeight="1">
      <c r="A40" s="24" t="s">
        <v>71</v>
      </c>
      <c r="B40" s="25"/>
      <c r="C40" s="26"/>
      <c r="D40" s="100">
        <f t="shared" si="6"/>
        <v>62407396.780000001</v>
      </c>
      <c r="E40" s="27">
        <f>[17]รายรับ!$D$24+[17]รายรับ!$D$43</f>
        <v>23497306.420000006</v>
      </c>
      <c r="F40" s="27">
        <f>[17]รายรับ!$D$86</f>
        <v>242500.8</v>
      </c>
      <c r="G40" s="27">
        <f>[17]รายรับ!$D$93</f>
        <v>563199.93999999994</v>
      </c>
      <c r="H40" s="64">
        <f>[17]รายรับ!$D$100</f>
        <v>0</v>
      </c>
      <c r="I40" s="27">
        <f>[17]รายรับ!$D$110</f>
        <v>168000</v>
      </c>
      <c r="J40" s="27">
        <f>[17]รายรับ!$D$114+[17]รายรับ!$D$123+[17]รายรับ!$D$131</f>
        <v>37936389.619999997</v>
      </c>
      <c r="K40" s="65">
        <f t="shared" si="8"/>
        <v>24402216.810000002</v>
      </c>
      <c r="L40" s="27">
        <f>[17]รายจ่าย!$D$30+[17]รายจ่าย!$D$36+[17]รายจ่าย!$D$46</f>
        <v>15719980.810000001</v>
      </c>
      <c r="M40" s="27">
        <f>[17]รายจ่าย!$D$40</f>
        <v>3013600</v>
      </c>
      <c r="N40" s="27">
        <f>[17]รายจ่าย!$D$25</f>
        <v>922636</v>
      </c>
      <c r="O40" s="27">
        <f>[17]รายจ่าย!$D$45</f>
        <v>4746000</v>
      </c>
      <c r="P40" s="28" t="s">
        <v>72</v>
      </c>
      <c r="R40" s="15"/>
    </row>
    <row r="41" spans="1:18" s="30" customFormat="1" ht="21" customHeight="1">
      <c r="A41" s="24" t="s">
        <v>73</v>
      </c>
      <c r="B41" s="25"/>
      <c r="C41" s="25"/>
      <c r="D41" s="100">
        <f t="shared" si="6"/>
        <v>18780947.619999997</v>
      </c>
      <c r="E41" s="27">
        <f>[18]รายรับ!$D$24+[18]รายรับ!$D$43</f>
        <v>12587496.66</v>
      </c>
      <c r="F41" s="27">
        <f>[18]รายรับ!$D$86</f>
        <v>3138.6</v>
      </c>
      <c r="G41" s="27">
        <f>[18]รายรับ!$D$93</f>
        <v>115087.69</v>
      </c>
      <c r="H41" s="64">
        <f>[18]รายรับ!$D$100</f>
        <v>0</v>
      </c>
      <c r="I41" s="27">
        <f>[18]รายรับ!$D$110</f>
        <v>45207</v>
      </c>
      <c r="J41" s="27">
        <f>[18]รายรับ!$D$114+[18]รายรับ!$D$123+[18]รายรับ!$D$131</f>
        <v>6030017.6699999999</v>
      </c>
      <c r="K41" s="65">
        <f t="shared" si="8"/>
        <v>17378822.140000001</v>
      </c>
      <c r="L41" s="27">
        <f>[18]รายจ่าย!$D$30+[18]รายจ่าย!$D$36+[18]รายจ่าย!$D$46</f>
        <v>13301011.140000001</v>
      </c>
      <c r="M41" s="27">
        <f>[18]รายจ่าย!$D$40</f>
        <v>1574200</v>
      </c>
      <c r="N41" s="27">
        <f>[18]รายจ่าย!$D$25</f>
        <v>639611</v>
      </c>
      <c r="O41" s="27">
        <f>[18]รายจ่าย!$D$45</f>
        <v>1864000</v>
      </c>
      <c r="P41" s="28" t="s">
        <v>187</v>
      </c>
      <c r="R41" s="15"/>
    </row>
    <row r="42" spans="1:18" s="30" customFormat="1" ht="21" customHeight="1">
      <c r="A42" s="24" t="s">
        <v>74</v>
      </c>
      <c r="B42" s="25"/>
      <c r="C42" s="25"/>
      <c r="D42" s="100">
        <f t="shared" si="6"/>
        <v>46205816.260000005</v>
      </c>
      <c r="E42" s="27">
        <f>[19]รายรับ!$D$24+[19]รายรับ!$D$43</f>
        <v>19743856.200000003</v>
      </c>
      <c r="F42" s="27">
        <f>[19]รายรับ!$D$86</f>
        <v>261038.4</v>
      </c>
      <c r="G42" s="27">
        <f>[19]รายรับ!$D$93</f>
        <v>373084.18</v>
      </c>
      <c r="H42" s="64">
        <f>[19]รายรับ!$D$100</f>
        <v>0</v>
      </c>
      <c r="I42" s="27">
        <f>[19]รายรับ!$D$110</f>
        <v>153790</v>
      </c>
      <c r="J42" s="27">
        <f>[19]รายรับ!$D$114+[19]รายรับ!$D$123+[19]รายรับ!$D$131</f>
        <v>25674047.48</v>
      </c>
      <c r="K42" s="65">
        <f t="shared" si="8"/>
        <v>45295680.560000002</v>
      </c>
      <c r="L42" s="27">
        <f>[19]รายจ่าย!$D$30+[19]รายจ่าย!$D$36+[19]รายจ่าย!$D$46</f>
        <v>17883217.48</v>
      </c>
      <c r="M42" s="27">
        <f>[19]รายจ่าย!$D$40</f>
        <v>13332609.08</v>
      </c>
      <c r="N42" s="27">
        <f>[19]รายจ่าย!$D$25</f>
        <v>9787854</v>
      </c>
      <c r="O42" s="27">
        <f>[19]รายจ่าย!$D$45</f>
        <v>4292000</v>
      </c>
      <c r="P42" s="28" t="s">
        <v>75</v>
      </c>
      <c r="R42" s="15"/>
    </row>
    <row r="43" spans="1:18" s="30" customFormat="1" ht="21" customHeight="1">
      <c r="A43" s="24" t="s">
        <v>76</v>
      </c>
      <c r="B43" s="25"/>
      <c r="C43" s="26"/>
      <c r="D43" s="100">
        <f t="shared" si="6"/>
        <v>51674834.870000005</v>
      </c>
      <c r="E43" s="27">
        <f>[20]รายรับ!$D$24+[20]รายรับ!$D$43</f>
        <v>16676206.010000002</v>
      </c>
      <c r="F43" s="27">
        <f>[20]รายรับ!$D$86</f>
        <v>14094.4</v>
      </c>
      <c r="G43" s="27">
        <f>[20]รายรับ!$D$93</f>
        <v>241820.46</v>
      </c>
      <c r="H43" s="64">
        <f>[20]รายรับ!$D$100</f>
        <v>0</v>
      </c>
      <c r="I43" s="27">
        <f>[20]รายรับ!$D$110</f>
        <v>138650</v>
      </c>
      <c r="J43" s="27">
        <f>[20]รายรับ!$D$114+[20]รายรับ!$D$123+[20]รายรับ!$D$131</f>
        <v>34604064</v>
      </c>
      <c r="K43" s="65">
        <f t="shared" si="8"/>
        <v>22782919.91</v>
      </c>
      <c r="L43" s="27">
        <f>[20]รายจ่าย!$D$30+[20]รายจ่าย!$D$36+[20]รายจ่าย!$D$46</f>
        <v>14857628.530000001</v>
      </c>
      <c r="M43" s="27">
        <f>[20]รายจ่าย!$D$40</f>
        <v>3007580.08</v>
      </c>
      <c r="N43" s="27">
        <f>[20]รายจ่าย!$D$25</f>
        <v>805723</v>
      </c>
      <c r="O43" s="27">
        <f>[20]รายจ่าย!$D$45</f>
        <v>4111988.3</v>
      </c>
      <c r="P43" s="24" t="s">
        <v>77</v>
      </c>
      <c r="R43" s="15"/>
    </row>
    <row r="44" spans="1:18" s="30" customFormat="1" ht="21" customHeight="1">
      <c r="A44" s="24" t="s">
        <v>78</v>
      </c>
      <c r="B44" s="25"/>
      <c r="C44" s="26"/>
      <c r="D44" s="100">
        <f t="shared" si="6"/>
        <v>28264641.049999997</v>
      </c>
      <c r="E44" s="27">
        <f>[21]รายรับ!$D$24+[21]รายรับ!$D$43</f>
        <v>12236291.069999998</v>
      </c>
      <c r="F44" s="27">
        <f>[21]รายรับ!$D$86</f>
        <v>2804.4</v>
      </c>
      <c r="G44" s="27">
        <f>[21]รายรับ!$D$93</f>
        <v>152867.57999999999</v>
      </c>
      <c r="H44" s="64">
        <f>[21]รายรับ!$D$100</f>
        <v>0</v>
      </c>
      <c r="I44" s="27">
        <f>[21]รายรับ!$D$110</f>
        <v>126910</v>
      </c>
      <c r="J44" s="27">
        <f>[21]รายรับ!$D$114+[21]รายรับ!$D$123+[21]รายรับ!$D$131</f>
        <v>15745768</v>
      </c>
      <c r="K44" s="65">
        <f t="shared" si="8"/>
        <v>23879455.280000001</v>
      </c>
      <c r="L44" s="27">
        <f>[21]รายจ่าย!$D$30+[21]รายจ่าย!$D$36+[21]รายจ่าย!$D$46</f>
        <v>10800029.68</v>
      </c>
      <c r="M44" s="27">
        <f>[21]รายจ่าย!$D$40</f>
        <v>1283880</v>
      </c>
      <c r="N44" s="27">
        <f>[21]รายจ่าย!$D$25</f>
        <v>1362706.2</v>
      </c>
      <c r="O44" s="27">
        <f>[21]รายจ่าย!$D$45</f>
        <v>10432839.4</v>
      </c>
      <c r="P44" s="24" t="s">
        <v>79</v>
      </c>
      <c r="R44" s="15"/>
    </row>
    <row r="45" spans="1:18" s="30" customFormat="1" ht="21" customHeight="1">
      <c r="A45" s="22" t="s">
        <v>33</v>
      </c>
      <c r="B45" s="59"/>
      <c r="C45" s="59"/>
      <c r="D45" s="100">
        <f t="shared" si="6"/>
        <v>124502411.13000001</v>
      </c>
      <c r="E45" s="60">
        <f t="shared" ref="E45:J45" si="9">SUM(E46:E50)</f>
        <v>62549040.800000012</v>
      </c>
      <c r="F45" s="60">
        <f t="shared" si="9"/>
        <v>505606.8</v>
      </c>
      <c r="G45" s="60">
        <f t="shared" si="9"/>
        <v>756102.41</v>
      </c>
      <c r="H45" s="32">
        <f t="shared" si="9"/>
        <v>0</v>
      </c>
      <c r="I45" s="60">
        <f t="shared" si="9"/>
        <v>243559.06</v>
      </c>
      <c r="J45" s="60">
        <f t="shared" si="9"/>
        <v>60448102.060000002</v>
      </c>
      <c r="K45" s="65">
        <f>SUM(L45:O45)</f>
        <v>77144854.689999998</v>
      </c>
      <c r="L45" s="60">
        <f>SUM(L46:L50)</f>
        <v>44128065.810000002</v>
      </c>
      <c r="M45" s="60">
        <f>SUM(M46:M50)</f>
        <v>20237534.520000003</v>
      </c>
      <c r="N45" s="60">
        <f>SUM(N46:N50)</f>
        <v>1863357.5</v>
      </c>
      <c r="O45" s="60">
        <f>SUM(O46:O50)</f>
        <v>10915896.859999999</v>
      </c>
      <c r="P45" s="22" t="s">
        <v>80</v>
      </c>
      <c r="R45" s="15"/>
    </row>
    <row r="46" spans="1:18" s="30" customFormat="1" ht="21" customHeight="1">
      <c r="A46" s="24" t="s">
        <v>81</v>
      </c>
      <c r="B46" s="25"/>
      <c r="C46" s="25"/>
      <c r="D46" s="100">
        <f t="shared" si="6"/>
        <v>23899911.380000003</v>
      </c>
      <c r="E46" s="27">
        <f>[22]รายรับ!$D$24+[22]รายรับ!$D$43</f>
        <v>12337190.580000002</v>
      </c>
      <c r="F46" s="27">
        <f>[22]รายรับ!$D$86</f>
        <v>8764.6</v>
      </c>
      <c r="G46" s="27">
        <f>[22]รายรับ!$D$93</f>
        <v>149707.20000000001</v>
      </c>
      <c r="H46" s="64">
        <f>[22]รายรับ!$D$100</f>
        <v>0</v>
      </c>
      <c r="I46" s="27">
        <f>[22]รายรับ!$D$110</f>
        <v>10700</v>
      </c>
      <c r="J46" s="27">
        <f>[22]รายรับ!$D$114+[22]รายรับ!$D$123+[22]รายรับ!$D$131</f>
        <v>11393549</v>
      </c>
      <c r="K46" s="65">
        <f t="shared" ref="K46:K50" si="10">SUM(L46:O46)</f>
        <v>15678252.430000002</v>
      </c>
      <c r="L46" s="27">
        <f>[22]รายจ่าย!$D$30+[22]รายจ่าย!$D$36+[22]รายจ่าย!$D$46</f>
        <v>7882143.0300000003</v>
      </c>
      <c r="M46" s="27">
        <f>[22]รายจ่าย!$D$40</f>
        <v>4671672</v>
      </c>
      <c r="N46" s="27">
        <f>[22]รายจ่าย!$D$25</f>
        <v>182484.5</v>
      </c>
      <c r="O46" s="27">
        <f>[22]รายจ่าย!$D$45</f>
        <v>2941952.9</v>
      </c>
      <c r="P46" s="28" t="s">
        <v>82</v>
      </c>
      <c r="R46" s="15"/>
    </row>
    <row r="47" spans="1:18" s="35" customFormat="1" ht="21" customHeight="1">
      <c r="A47" s="24" t="s">
        <v>83</v>
      </c>
      <c r="B47" s="25"/>
      <c r="C47" s="26"/>
      <c r="D47" s="100">
        <f t="shared" si="6"/>
        <v>23963149.140000001</v>
      </c>
      <c r="E47" s="27">
        <f>[23]รายรับ!$D$24+[23]รายรับ!$D$43</f>
        <v>12149586.470000003</v>
      </c>
      <c r="F47" s="27">
        <f>[23]รายรับ!$D$86</f>
        <v>132703</v>
      </c>
      <c r="G47" s="27">
        <f>[23]รายรับ!$D$93</f>
        <v>354703.67</v>
      </c>
      <c r="H47" s="64">
        <f>[23]รายรับ!$D$100</f>
        <v>0</v>
      </c>
      <c r="I47" s="27">
        <f>[23]รายรับ!$D$110</f>
        <v>32300</v>
      </c>
      <c r="J47" s="27">
        <f>[23]รายรับ!$D$114+[23]รายรับ!$D$123+[23]รายรับ!$D$131</f>
        <v>11293856</v>
      </c>
      <c r="K47" s="65">
        <f t="shared" si="10"/>
        <v>17428182.300000001</v>
      </c>
      <c r="L47" s="27">
        <f>[23]รายจ่าย!$D$30+[23]รายจ่าย!$D$36+[23]รายจ่าย!$D$46</f>
        <v>9028766.4299999997</v>
      </c>
      <c r="M47" s="27">
        <f>[23]รายจ่าย!$D$40</f>
        <v>5760286.8700000001</v>
      </c>
      <c r="N47" s="27">
        <f>[23]รายจ่าย!$D$25</f>
        <v>287729</v>
      </c>
      <c r="O47" s="27">
        <f>[23]รายจ่าย!$D$45</f>
        <v>2351400</v>
      </c>
      <c r="P47" s="28" t="s">
        <v>188</v>
      </c>
      <c r="R47" s="15"/>
    </row>
    <row r="48" spans="1:18" s="35" customFormat="1" ht="21" customHeight="1">
      <c r="A48" s="24" t="s">
        <v>84</v>
      </c>
      <c r="B48" s="25"/>
      <c r="C48" s="26"/>
      <c r="D48" s="100">
        <f t="shared" si="6"/>
        <v>24199189.32</v>
      </c>
      <c r="E48" s="27">
        <f>[24]รายรับ!$D$24+[24]รายรับ!$D$43</f>
        <v>11864955.800000001</v>
      </c>
      <c r="F48" s="27">
        <f>[24]รายรับ!$D$86</f>
        <v>91625.4</v>
      </c>
      <c r="G48" s="27">
        <f>[24]รายรับ!$D$93</f>
        <v>0</v>
      </c>
      <c r="H48" s="64">
        <f>[24]รายรับ!$D$100</f>
        <v>0</v>
      </c>
      <c r="I48" s="27">
        <f>[24]รายรับ!$D$110</f>
        <v>159829.06</v>
      </c>
      <c r="J48" s="27">
        <f>[24]รายรับ!$D$114+[24]รายรับ!$D$123+[24]รายรับ!$D$131</f>
        <v>12082779.060000001</v>
      </c>
      <c r="K48" s="65">
        <f t="shared" si="10"/>
        <v>13815922.510000002</v>
      </c>
      <c r="L48" s="27">
        <f>[24]รายจ่าย!$D$30+[24]รายจ่าย!$D$36+[24]รายจ่าย!$D$46</f>
        <v>7974323.6400000006</v>
      </c>
      <c r="M48" s="27">
        <f>[24]รายจ่าย!$D$40</f>
        <v>4394877.87</v>
      </c>
      <c r="N48" s="27">
        <f>[24]รายจ่าย!$D$25</f>
        <v>217221</v>
      </c>
      <c r="O48" s="27">
        <f>[24]รายจ่าย!$D$45</f>
        <v>1229500</v>
      </c>
      <c r="P48" s="28" t="s">
        <v>85</v>
      </c>
      <c r="R48" s="15"/>
    </row>
    <row r="49" spans="1:18" ht="21" customHeight="1">
      <c r="A49" s="24" t="s">
        <v>86</v>
      </c>
      <c r="B49" s="25"/>
      <c r="C49" s="26"/>
      <c r="D49" s="100">
        <f t="shared" si="6"/>
        <v>26574572.75</v>
      </c>
      <c r="E49" s="27">
        <f>[25]รายรับ!$D$24+[25]รายรับ!$D$43</f>
        <v>13189099.15</v>
      </c>
      <c r="F49" s="27">
        <f>[25]รายรับ!$D$86</f>
        <v>248327.8</v>
      </c>
      <c r="G49" s="27">
        <f>[25]รายรับ!$D$93</f>
        <v>104693.8</v>
      </c>
      <c r="H49" s="64">
        <f>[25]รายรับ!$D$100</f>
        <v>0</v>
      </c>
      <c r="I49" s="27">
        <f>[25]รายรับ!$D$110</f>
        <v>10230</v>
      </c>
      <c r="J49" s="27">
        <f>[25]รายรับ!$D$114+[25]รายรับ!$D$123+[25]รายรับ!$D$131</f>
        <v>13022222</v>
      </c>
      <c r="K49" s="65">
        <f t="shared" si="10"/>
        <v>18272166.140000001</v>
      </c>
      <c r="L49" s="27">
        <f>[25]รายจ่าย!$D$30+[25]รายจ่าย!$D$36+[25]รายจ่าย!$D$46</f>
        <v>10900293.57</v>
      </c>
      <c r="M49" s="27">
        <f>[25]รายจ่าย!$D$40</f>
        <v>4534297.78</v>
      </c>
      <c r="N49" s="27">
        <f>[25]รายจ่าย!$D$25</f>
        <v>723786.83000000007</v>
      </c>
      <c r="O49" s="27">
        <f>[25]รายจ่าย!$D$45</f>
        <v>2113787.96</v>
      </c>
      <c r="P49" s="28" t="s">
        <v>87</v>
      </c>
    </row>
    <row r="50" spans="1:18" ht="21" customHeight="1">
      <c r="A50" s="24" t="s">
        <v>88</v>
      </c>
      <c r="B50" s="25"/>
      <c r="C50" s="25"/>
      <c r="D50" s="100">
        <f t="shared" si="6"/>
        <v>25865588.539999999</v>
      </c>
      <c r="E50" s="23">
        <f>[26]รายรับ!$D$24+[26]รายรับ!$D$43</f>
        <v>13008208.800000001</v>
      </c>
      <c r="F50" s="23">
        <f>[26]รายรับ!$D$86</f>
        <v>24186</v>
      </c>
      <c r="G50" s="23">
        <f>[26]รายรับ!$D$93</f>
        <v>146997.74</v>
      </c>
      <c r="H50" s="64">
        <f>[26]รายรับ!$D$100</f>
        <v>0</v>
      </c>
      <c r="I50" s="23">
        <f>[26]รายรับ!$D$110</f>
        <v>30500</v>
      </c>
      <c r="J50" s="23">
        <f>[26]รายรับ!$D$114+[26]รายรับ!$D$123+[26]รายรับ!$D$131</f>
        <v>12655696</v>
      </c>
      <c r="K50" s="65">
        <f t="shared" si="10"/>
        <v>11950331.310000001</v>
      </c>
      <c r="L50" s="27">
        <f>[26]รายจ่าย!$D$30+[26]รายจ่าย!$D$36+[26]รายจ่าย!$D$46</f>
        <v>8342539.1399999997</v>
      </c>
      <c r="M50" s="27">
        <f>[26]รายจ่าย!$D$40</f>
        <v>876400</v>
      </c>
      <c r="N50" s="119">
        <f>[26]รายจ่าย!$D$25</f>
        <v>452136.17</v>
      </c>
      <c r="O50" s="27">
        <f>[26]รายจ่าย!$D$45</f>
        <v>2279256</v>
      </c>
      <c r="P50" s="28" t="s">
        <v>189</v>
      </c>
    </row>
    <row r="51" spans="1:18" ht="22.5" customHeight="1">
      <c r="A51" s="22" t="s">
        <v>34</v>
      </c>
      <c r="B51" s="29"/>
      <c r="C51" s="29"/>
      <c r="D51" s="100">
        <f t="shared" ref="D51:D57" si="11">SUM(E51:J51)</f>
        <v>393198050.66000003</v>
      </c>
      <c r="E51" s="60">
        <f t="shared" ref="E51:J51" si="12">SUM(E52:E72)</f>
        <v>181802576.24000001</v>
      </c>
      <c r="F51" s="60">
        <f t="shared" si="12"/>
        <v>1167460.6299999999</v>
      </c>
      <c r="G51" s="60">
        <f t="shared" si="12"/>
        <v>4582501.5500000007</v>
      </c>
      <c r="H51" s="60">
        <f t="shared" si="12"/>
        <v>2593838.0499999998</v>
      </c>
      <c r="I51" s="60">
        <f t="shared" si="12"/>
        <v>467443.69</v>
      </c>
      <c r="J51" s="60">
        <f t="shared" si="12"/>
        <v>202584230.5</v>
      </c>
      <c r="K51" s="60">
        <f>SUM(L51:O51)</f>
        <v>276405239.65999997</v>
      </c>
      <c r="L51" s="60">
        <f>SUM(L52:L72)</f>
        <v>170975808.14999998</v>
      </c>
      <c r="M51" s="60">
        <f>SUM(M52:M72)</f>
        <v>44785027.449999996</v>
      </c>
      <c r="N51" s="60">
        <f>SUM(N52:N72)</f>
        <v>17871591.039999999</v>
      </c>
      <c r="O51" s="60">
        <f>SUM(O52:O72)</f>
        <v>42772813.019999996</v>
      </c>
      <c r="P51" s="62" t="s">
        <v>89</v>
      </c>
    </row>
    <row r="52" spans="1:18" ht="21.75" customHeight="1">
      <c r="A52" s="24" t="s">
        <v>90</v>
      </c>
      <c r="B52" s="79"/>
      <c r="C52" s="79"/>
      <c r="D52" s="100">
        <f t="shared" si="11"/>
        <v>24691614.670000002</v>
      </c>
      <c r="E52" s="27">
        <f>[27]รายรับ!$D$24+[27]รายรับ!$D$43</f>
        <v>12219430.590000002</v>
      </c>
      <c r="F52" s="27">
        <f>[27]รายรับ!$D$86</f>
        <v>35115.4</v>
      </c>
      <c r="G52" s="27">
        <f>[27]รายรับ!$D$93</f>
        <v>186762.68</v>
      </c>
      <c r="H52" s="64">
        <f>[27]รายรับ!$D$100</f>
        <v>0</v>
      </c>
      <c r="I52" s="27">
        <f>[27]รายรับ!$D$110</f>
        <v>24595</v>
      </c>
      <c r="J52" s="27">
        <f>[27]รายรับ!$D$114+[27]รายรับ!$D$123+[27]รายรับ!$D$131</f>
        <v>12225711</v>
      </c>
      <c r="K52" s="60">
        <f t="shared" ref="K52:K57" si="13">SUM(L52:O52)</f>
        <v>12746755.66</v>
      </c>
      <c r="L52" s="27">
        <f>[27]รายจ่าย!$D$30+[27]รายจ่าย!$D$36+[27]รายจ่าย!$D$46</f>
        <v>8944847.1600000001</v>
      </c>
      <c r="M52" s="27">
        <f>[27]รายจ่าย!$D$40</f>
        <v>2373200</v>
      </c>
      <c r="N52" s="27">
        <f>[27]รายจ่าย!$D$25</f>
        <v>243708.5</v>
      </c>
      <c r="O52" s="27">
        <f>[27]รายจ่าย!$D$45</f>
        <v>1185000</v>
      </c>
      <c r="P52" s="28" t="s">
        <v>91</v>
      </c>
    </row>
    <row r="53" spans="1:18" ht="21.75" customHeight="1">
      <c r="A53" s="24" t="s">
        <v>92</v>
      </c>
      <c r="B53" s="79"/>
      <c r="C53" s="79"/>
      <c r="D53" s="100">
        <f t="shared" si="11"/>
        <v>30181472.609999996</v>
      </c>
      <c r="E53" s="27">
        <f>[28]รายรับ!$D$24+[28]รายรับ!$D$43</f>
        <v>14031590.169999996</v>
      </c>
      <c r="F53" s="27">
        <f>[28]รายรับ!$D$86</f>
        <v>28209</v>
      </c>
      <c r="G53" s="27">
        <f>[28]รายรับ!$D$93</f>
        <v>261687.44</v>
      </c>
      <c r="H53" s="64">
        <f>[28]รายรับ!$D$100</f>
        <v>0</v>
      </c>
      <c r="I53" s="27">
        <f>[28]รายรับ!$D$110</f>
        <v>21100</v>
      </c>
      <c r="J53" s="27">
        <f>[28]รายรับ!$D$114+[28]รายรับ!$D$123+[28]รายรับ!$D$131</f>
        <v>15838886</v>
      </c>
      <c r="K53" s="60">
        <f t="shared" si="13"/>
        <v>25083532.719999999</v>
      </c>
      <c r="L53" s="63">
        <f>[28]รายจ่าย!$D$30+[28]รายจ่าย!$D$36+[28]รายจ่าย!$D$46</f>
        <v>21045337.43</v>
      </c>
      <c r="M53" s="63">
        <f>[28]รายจ่าย!$D$40</f>
        <v>1803100.29</v>
      </c>
      <c r="N53" s="63">
        <f>[28]รายจ่าย!$D$25</f>
        <v>583095</v>
      </c>
      <c r="O53" s="63">
        <f>[28]รายจ่าย!$D$45</f>
        <v>1652000</v>
      </c>
      <c r="P53" s="28" t="s">
        <v>93</v>
      </c>
    </row>
    <row r="54" spans="1:18" ht="21.75" customHeight="1">
      <c r="A54" s="24" t="s">
        <v>94</v>
      </c>
      <c r="B54" s="79"/>
      <c r="C54" s="79"/>
      <c r="D54" s="100">
        <f t="shared" si="11"/>
        <v>34724101.5</v>
      </c>
      <c r="E54" s="27">
        <f>[29]รายรับ!$D$24+[29]รายรับ!$D$43</f>
        <v>14593226.069999998</v>
      </c>
      <c r="F54" s="27">
        <f>[29]รายรับ!$D$86</f>
        <v>115629.8</v>
      </c>
      <c r="G54" s="27">
        <f>[29]รายรับ!$D$93</f>
        <v>199811.63</v>
      </c>
      <c r="H54" s="119">
        <f>[29]รายรับ!$D$100</f>
        <v>240843</v>
      </c>
      <c r="I54" s="27">
        <f>[29]รายรับ!$D$110</f>
        <v>38328</v>
      </c>
      <c r="J54" s="27">
        <f>[29]รายรับ!$D$114+[29]รายรับ!$D$123+[29]รายรับ!$D$131</f>
        <v>19536263</v>
      </c>
      <c r="K54" s="60">
        <f t="shared" si="13"/>
        <v>26263584.600000001</v>
      </c>
      <c r="L54" s="27">
        <f>[29]รายจ่าย!$D$30+[29]รายจ่าย!$D$36+[29]รายจ่าย!$D$46</f>
        <v>14334231.99</v>
      </c>
      <c r="M54" s="27">
        <f>[29]รายจ่าย!$D$40</f>
        <v>2388900</v>
      </c>
      <c r="N54" s="27">
        <f>[29]รายจ่าย!$D$25</f>
        <v>577291</v>
      </c>
      <c r="O54" s="27">
        <f>[29]รายจ่าย!$D$45</f>
        <v>8963161.6099999994</v>
      </c>
      <c r="P54" s="28" t="s">
        <v>95</v>
      </c>
    </row>
    <row r="55" spans="1:18" ht="21.75" customHeight="1">
      <c r="A55" s="24" t="s">
        <v>96</v>
      </c>
      <c r="B55" s="79"/>
      <c r="C55" s="79"/>
      <c r="D55" s="100">
        <f t="shared" si="11"/>
        <v>67384674.960000008</v>
      </c>
      <c r="E55" s="27">
        <f>[30]รายรับ!$D$24+[30]รายรับ!$D$43</f>
        <v>24706217.020000003</v>
      </c>
      <c r="F55" s="27">
        <f>[30]รายรับ!$D$86</f>
        <v>33459</v>
      </c>
      <c r="G55" s="27">
        <f>[30]รายรับ!$D$93</f>
        <v>242160.94</v>
      </c>
      <c r="H55" s="27">
        <f>[30]รายรับ!$D$100</f>
        <v>2304245</v>
      </c>
      <c r="I55" s="27">
        <f>[30]รายรับ!$D$110</f>
        <v>70580</v>
      </c>
      <c r="J55" s="27">
        <f>[30]รายรับ!$D$114+[30]รายรับ!$D$123+[30]รายรับ!$D$131</f>
        <v>40028013</v>
      </c>
      <c r="K55" s="60">
        <f t="shared" si="13"/>
        <v>43043067.630000003</v>
      </c>
      <c r="L55" s="27">
        <f>[30]รายจ่าย!$D$30+[30]รายจ่าย!$D$36+[30]รายจ่าย!$D$46</f>
        <v>27467780.399999999</v>
      </c>
      <c r="M55" s="27">
        <f>[30]รายจ่าย!$D$40</f>
        <v>10427762.41</v>
      </c>
      <c r="N55" s="27">
        <f>[30]รายจ่าย!$D$25</f>
        <v>1062504.82</v>
      </c>
      <c r="O55" s="27">
        <f>[30]รายจ่าย!$D$45</f>
        <v>4085020</v>
      </c>
      <c r="P55" s="24" t="s">
        <v>97</v>
      </c>
    </row>
    <row r="56" spans="1:18" ht="21.75" customHeight="1">
      <c r="A56" s="24" t="s">
        <v>34</v>
      </c>
      <c r="B56" s="79"/>
      <c r="C56" s="79"/>
      <c r="D56" s="100">
        <f t="shared" si="11"/>
        <v>30332834.07</v>
      </c>
      <c r="E56" s="27">
        <f>[31]รายรับ!$D$24+[31]รายรับ!$D$43</f>
        <v>13382653.949999999</v>
      </c>
      <c r="F56" s="27">
        <f>[31]รายรับ!$D$86</f>
        <v>31980.6</v>
      </c>
      <c r="G56" s="27">
        <f>[31]รายรับ!$D$93</f>
        <v>157503.51999999999</v>
      </c>
      <c r="H56" s="64">
        <f>[31]รายรับ!$D$100</f>
        <v>0</v>
      </c>
      <c r="I56" s="27">
        <f>[31]รายรับ!$D$110</f>
        <v>23000</v>
      </c>
      <c r="J56" s="27">
        <f>[31]รายรับ!$D$114+[31]รายรับ!$D$123+[31]รายรับ!$D$131</f>
        <v>16737696</v>
      </c>
      <c r="K56" s="60">
        <f t="shared" si="13"/>
        <v>15055960.220000001</v>
      </c>
      <c r="L56" s="27">
        <f>[31]รายจ่าย!$D$30+[31]รายจ่าย!$D$36+[31]รายจ่าย!$D$46</f>
        <v>12717098.699999999</v>
      </c>
      <c r="M56" s="27">
        <f>[31]รายจ่าย!$D$40</f>
        <v>166523.72</v>
      </c>
      <c r="N56" s="27">
        <f>[31]รายจ่าย!$D$25</f>
        <v>1030337.8</v>
      </c>
      <c r="O56" s="27">
        <f>[31]รายจ่าย!$D$45</f>
        <v>1142000</v>
      </c>
      <c r="P56" s="28" t="s">
        <v>98</v>
      </c>
    </row>
    <row r="57" spans="1:18" ht="21.75" customHeight="1">
      <c r="A57" s="24" t="s">
        <v>99</v>
      </c>
      <c r="B57" s="79"/>
      <c r="C57" s="79"/>
      <c r="D57" s="100">
        <f t="shared" si="11"/>
        <v>22317019.339999996</v>
      </c>
      <c r="E57" s="27">
        <f>[32]รายรับ!$D$24+[32]รายรับ!$D$43</f>
        <v>12311757.249999998</v>
      </c>
      <c r="F57" s="27">
        <f>[32]รายรับ!$D$86</f>
        <v>4548.3999999999996</v>
      </c>
      <c r="G57" s="27">
        <f>[32]รายรับ!$D$93</f>
        <v>0</v>
      </c>
      <c r="H57" s="64">
        <f>[32]รายรับ!$D$100</f>
        <v>270</v>
      </c>
      <c r="I57" s="27">
        <f>[32]รายรับ!$D$110</f>
        <v>131316.69</v>
      </c>
      <c r="J57" s="27">
        <f>[32]รายรับ!$D$114+[32]รายรับ!$D$123+[32]รายรับ!$D$131</f>
        <v>9869127</v>
      </c>
      <c r="K57" s="60">
        <f t="shared" si="13"/>
        <v>17160706.789999999</v>
      </c>
      <c r="L57" s="27">
        <f>[32]รายจ่าย!$D$30+[32]รายจ่าย!$D$36+[32]รายจ่าย!$D$46</f>
        <v>8923561.4100000001</v>
      </c>
      <c r="M57" s="27">
        <f>[32]รายจ่าย!$D$40</f>
        <v>982317.58</v>
      </c>
      <c r="N57" s="27">
        <f>[32]รายจ่าย!$D$25</f>
        <v>300166.7</v>
      </c>
      <c r="O57" s="27">
        <f>[32]รายจ่าย!$D$45</f>
        <v>6954661.1000000006</v>
      </c>
      <c r="P57" s="28" t="s">
        <v>100</v>
      </c>
    </row>
    <row r="58" spans="1:18" s="10" customFormat="1">
      <c r="A58" s="8" t="s">
        <v>43</v>
      </c>
      <c r="B58" s="9">
        <v>16.3</v>
      </c>
      <c r="C58" s="40" t="s">
        <v>182</v>
      </c>
      <c r="D58" s="96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12"/>
      <c r="R58" s="15"/>
    </row>
    <row r="59" spans="1:18" s="10" customFormat="1" ht="19.5" customHeight="1">
      <c r="A59" s="8" t="s">
        <v>44</v>
      </c>
      <c r="B59" s="9">
        <v>16.3</v>
      </c>
      <c r="C59" s="41" t="s">
        <v>48</v>
      </c>
      <c r="D59" s="97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R59" s="15"/>
    </row>
    <row r="60" spans="1:18" s="10" customFormat="1" ht="19.5" customHeight="1">
      <c r="A60" s="43"/>
      <c r="B60" s="43"/>
      <c r="C60" s="44" t="s">
        <v>183</v>
      </c>
      <c r="D60" s="98"/>
      <c r="E60" s="45"/>
      <c r="F60" s="45"/>
      <c r="G60" s="45"/>
      <c r="H60" s="45"/>
      <c r="I60" s="45"/>
      <c r="J60" s="45"/>
      <c r="K60" s="45"/>
      <c r="L60" s="78"/>
      <c r="M60" s="45"/>
      <c r="N60" s="45"/>
      <c r="O60" s="45"/>
      <c r="P60" s="46"/>
      <c r="R60" s="15"/>
    </row>
    <row r="61" spans="1:18" ht="19.5" customHeight="1">
      <c r="A61" s="47"/>
      <c r="B61" s="47"/>
      <c r="C61" s="48"/>
      <c r="D61" s="105"/>
      <c r="E61" s="138" t="s">
        <v>45</v>
      </c>
      <c r="F61" s="138"/>
      <c r="G61" s="138"/>
      <c r="H61" s="138"/>
      <c r="I61" s="138"/>
      <c r="J61" s="138"/>
      <c r="K61" s="53"/>
      <c r="L61" s="139" t="s">
        <v>10</v>
      </c>
      <c r="M61" s="138"/>
      <c r="N61" s="138"/>
      <c r="O61" s="138"/>
      <c r="P61" s="47"/>
    </row>
    <row r="62" spans="1:18" ht="17.25" customHeight="1">
      <c r="A62" s="50"/>
      <c r="B62" s="50"/>
      <c r="C62" s="51"/>
      <c r="D62" s="106"/>
      <c r="E62" s="135" t="s">
        <v>5</v>
      </c>
      <c r="F62" s="135"/>
      <c r="G62" s="135"/>
      <c r="H62" s="135"/>
      <c r="I62" s="135"/>
      <c r="J62" s="135"/>
      <c r="K62" s="52"/>
      <c r="L62" s="135" t="s">
        <v>11</v>
      </c>
      <c r="M62" s="135"/>
      <c r="N62" s="135"/>
      <c r="O62" s="135"/>
      <c r="P62" s="50"/>
    </row>
    <row r="63" spans="1:18" ht="19.5" customHeight="1">
      <c r="A63" s="133" t="s">
        <v>49</v>
      </c>
      <c r="B63" s="133"/>
      <c r="C63" s="134"/>
      <c r="D63" s="102"/>
      <c r="E63" s="49" t="s">
        <v>2</v>
      </c>
      <c r="F63" s="49" t="s">
        <v>17</v>
      </c>
      <c r="G63" s="49" t="s">
        <v>3</v>
      </c>
      <c r="H63" s="49" t="s">
        <v>4</v>
      </c>
      <c r="I63" s="49" t="s">
        <v>21</v>
      </c>
      <c r="J63" s="49" t="s">
        <v>8</v>
      </c>
      <c r="K63" s="49"/>
      <c r="L63" s="49" t="s">
        <v>12</v>
      </c>
      <c r="M63" s="53" t="s">
        <v>10</v>
      </c>
      <c r="N63" s="53" t="s">
        <v>10</v>
      </c>
      <c r="O63" s="17" t="s">
        <v>8</v>
      </c>
      <c r="P63" s="50" t="s">
        <v>50</v>
      </c>
    </row>
    <row r="64" spans="1:18" ht="19.5" customHeight="1">
      <c r="A64" s="133" t="s">
        <v>28</v>
      </c>
      <c r="B64" s="133"/>
      <c r="C64" s="134"/>
      <c r="D64" s="102"/>
      <c r="E64" s="53" t="s">
        <v>16</v>
      </c>
      <c r="F64" s="53" t="s">
        <v>18</v>
      </c>
      <c r="G64" s="53" t="s">
        <v>6</v>
      </c>
      <c r="H64" s="53" t="s">
        <v>19</v>
      </c>
      <c r="I64" s="53" t="s">
        <v>7</v>
      </c>
      <c r="J64" s="53" t="s">
        <v>9</v>
      </c>
      <c r="K64" s="53"/>
      <c r="L64" s="53" t="s">
        <v>13</v>
      </c>
      <c r="M64" s="53" t="s">
        <v>26</v>
      </c>
      <c r="N64" s="53" t="s">
        <v>27</v>
      </c>
      <c r="O64" s="18" t="s">
        <v>9</v>
      </c>
      <c r="P64" s="50" t="s">
        <v>25</v>
      </c>
    </row>
    <row r="65" spans="1:16" ht="19.5" customHeight="1">
      <c r="A65" s="136" t="s">
        <v>29</v>
      </c>
      <c r="B65" s="136"/>
      <c r="C65" s="137"/>
      <c r="D65" s="103"/>
      <c r="E65" s="53" t="s">
        <v>22</v>
      </c>
      <c r="F65" s="53" t="s">
        <v>24</v>
      </c>
      <c r="G65" s="53"/>
      <c r="H65" s="53" t="s">
        <v>20</v>
      </c>
      <c r="I65" s="53"/>
      <c r="J65" s="53"/>
      <c r="K65" s="53"/>
      <c r="L65" s="53" t="s">
        <v>11</v>
      </c>
      <c r="M65" s="123" t="s">
        <v>209</v>
      </c>
      <c r="N65" s="53" t="s">
        <v>14</v>
      </c>
      <c r="O65" s="18"/>
      <c r="P65" s="50" t="s">
        <v>1</v>
      </c>
    </row>
    <row r="66" spans="1:16" ht="19.5" customHeight="1">
      <c r="A66" s="55"/>
      <c r="B66" s="55"/>
      <c r="C66" s="56"/>
      <c r="D66" s="104"/>
      <c r="E66" s="57"/>
      <c r="F66" s="57"/>
      <c r="G66" s="57"/>
      <c r="H66" s="57"/>
      <c r="I66" s="57"/>
      <c r="J66" s="57"/>
      <c r="K66" s="57"/>
      <c r="L66" s="57"/>
      <c r="M66" s="122" t="s">
        <v>208</v>
      </c>
      <c r="N66" s="52" t="s">
        <v>15</v>
      </c>
      <c r="O66" s="19"/>
      <c r="P66" s="58"/>
    </row>
    <row r="67" spans="1:16" ht="21.75" customHeight="1">
      <c r="A67" s="24" t="s">
        <v>101</v>
      </c>
      <c r="B67" s="79"/>
      <c r="C67" s="79"/>
      <c r="D67" s="100">
        <f t="shared" ref="D67:D75" si="14">SUM(E67:J67)</f>
        <v>33201387.809999995</v>
      </c>
      <c r="E67" s="27">
        <f>[33]รายรับ!$D$24+[33]รายรับ!$D$43</f>
        <v>16389164.579999998</v>
      </c>
      <c r="F67" s="27">
        <f>[33]รายรับ!$D$86</f>
        <v>152382.53</v>
      </c>
      <c r="G67" s="27">
        <f>[33]รายรับ!$D$93</f>
        <v>203638.7</v>
      </c>
      <c r="H67" s="64">
        <f>[33]รายรับ!$D$100</f>
        <v>0</v>
      </c>
      <c r="I67" s="27">
        <f>[33]รายรับ!$D$110</f>
        <v>22500</v>
      </c>
      <c r="J67" s="27">
        <f>[33]รายรับ!$D$114+[33]รายรับ!$D$123+[33]รายรับ!$D$131</f>
        <v>16433702</v>
      </c>
      <c r="K67" s="60">
        <f>SUM(L67:O67)</f>
        <v>19944445.050000001</v>
      </c>
      <c r="L67" s="27">
        <f>[33]รายจ่าย!$D$30+[33]รายจ่าย!$D$36+[33]รายจ่าย!$D$46</f>
        <v>14102399.18</v>
      </c>
      <c r="M67" s="27">
        <f>[33]รายจ่าย!$D$40</f>
        <v>2647700</v>
      </c>
      <c r="N67" s="27">
        <f>[33]รายจ่าย!$D$25</f>
        <v>784345.87</v>
      </c>
      <c r="O67" s="27">
        <f>[33]รายจ่าย!$D$45</f>
        <v>2410000</v>
      </c>
      <c r="P67" s="24" t="s">
        <v>102</v>
      </c>
    </row>
    <row r="68" spans="1:16" ht="21.75" customHeight="1">
      <c r="A68" s="24" t="s">
        <v>103</v>
      </c>
      <c r="B68" s="79"/>
      <c r="C68" s="79"/>
      <c r="D68" s="100">
        <f t="shared" si="14"/>
        <v>28929990.970000003</v>
      </c>
      <c r="E68" s="27">
        <f>[34]รายรับ!$D$24+[34]รายรับ!$D$43</f>
        <v>13918835.770000001</v>
      </c>
      <c r="F68" s="27">
        <f>[34]รายรับ!$D$86</f>
        <v>6370.6</v>
      </c>
      <c r="G68" s="27">
        <f>[34]รายรับ!$D$93</f>
        <v>311182.05</v>
      </c>
      <c r="H68" s="27">
        <f>[34]รายรับ!$D$100</f>
        <v>48480.05</v>
      </c>
      <c r="I68" s="27">
        <f>[34]รายรับ!$D$110</f>
        <v>10500</v>
      </c>
      <c r="J68" s="27">
        <f>[34]รายรับ!$D$114+[34]รายรับ!$D$123+[34]รายรับ!$D$131</f>
        <v>14634622.5</v>
      </c>
      <c r="K68" s="60">
        <f t="shared" ref="K68:K72" si="15">SUM(L68:O68)</f>
        <v>15816350.68</v>
      </c>
      <c r="L68" s="27">
        <f>[34]รายจ่าย!$D$30+[34]รายจ่าย!$D$36+[34]รายจ่าย!$D$46</f>
        <v>10264751.18</v>
      </c>
      <c r="M68" s="27">
        <f>[34]รายจ่าย!$D$40</f>
        <v>3319500</v>
      </c>
      <c r="N68" s="27">
        <f>[34]รายจ่าย!$D$25</f>
        <v>235099.5</v>
      </c>
      <c r="O68" s="27">
        <f>[34]รายจ่าย!$D$45</f>
        <v>1997000</v>
      </c>
      <c r="P68" s="28" t="s">
        <v>104</v>
      </c>
    </row>
    <row r="69" spans="1:16" ht="21.75" customHeight="1">
      <c r="A69" s="24" t="s">
        <v>105</v>
      </c>
      <c r="B69" s="79"/>
      <c r="C69" s="79"/>
      <c r="D69" s="100">
        <f t="shared" si="14"/>
        <v>17672103.559999999</v>
      </c>
      <c r="E69" s="27">
        <f>[35]รายรับ!$D$24+[35]รายรับ!$D$43</f>
        <v>11881632.819999998</v>
      </c>
      <c r="F69" s="27">
        <f>[35]รายรับ!$D$86</f>
        <v>48224.4</v>
      </c>
      <c r="G69" s="27">
        <f>[35]รายรับ!$D$93</f>
        <v>250930.34</v>
      </c>
      <c r="H69" s="64">
        <f>[35]รายรับ!$D$100</f>
        <v>0</v>
      </c>
      <c r="I69" s="27">
        <f>[35]รายรับ!$D$110</f>
        <v>8010</v>
      </c>
      <c r="J69" s="27">
        <f>[35]รายรับ!$D$114+[35]รายรับ!$D$123+[35]รายรับ!$D$131</f>
        <v>5483306</v>
      </c>
      <c r="K69" s="60">
        <f t="shared" si="15"/>
        <v>12554452.189999999</v>
      </c>
      <c r="L69" s="27">
        <f>[35]รายจ่าย!$D$30+[35]รายจ่าย!$D$36+[35]รายจ่าย!$D$46</f>
        <v>8185633.8799999999</v>
      </c>
      <c r="M69" s="27">
        <f>[35]รายจ่าย!$D$40</f>
        <v>1495920</v>
      </c>
      <c r="N69" s="27">
        <f>[35]รายจ่าย!$D$25</f>
        <v>2613520</v>
      </c>
      <c r="O69" s="27">
        <f>[35]รายจ่าย!$D$45</f>
        <v>259378.31</v>
      </c>
      <c r="P69" s="28" t="s">
        <v>106</v>
      </c>
    </row>
    <row r="70" spans="1:16" ht="21.75" customHeight="1">
      <c r="A70" s="24" t="s">
        <v>107</v>
      </c>
      <c r="B70" s="79"/>
      <c r="C70" s="79"/>
      <c r="D70" s="100">
        <f t="shared" si="14"/>
        <v>42689264.399999999</v>
      </c>
      <c r="E70" s="27">
        <f>[36]รายรับ!$D$24+[36]รายรับ!$D$43</f>
        <v>21338676.32</v>
      </c>
      <c r="F70" s="27">
        <f>[36]รายรับ!$D$86</f>
        <v>661956.69999999995</v>
      </c>
      <c r="G70" s="27">
        <f>[36]รายรับ!$D$93</f>
        <v>503854.38</v>
      </c>
      <c r="H70" s="64">
        <f>[36]รายรับ!$D$100</f>
        <v>0</v>
      </c>
      <c r="I70" s="27">
        <f>[36]รายรับ!$D$110</f>
        <v>31830</v>
      </c>
      <c r="J70" s="27">
        <f>[36]รายรับ!$D$114+[36]รายรับ!$D$123+[36]รายรับ!$D$131</f>
        <v>20152947</v>
      </c>
      <c r="K70" s="60">
        <f t="shared" si="15"/>
        <v>36833191</v>
      </c>
      <c r="L70" s="27">
        <f>[36]รายจ่าย!$D$30+[36]รายจ่าย!$D$36+[36]รายจ่าย!$D$46</f>
        <v>17651011.129999999</v>
      </c>
      <c r="M70" s="27">
        <f>[36]รายจ่าย!$D$40</f>
        <v>7750446.0199999996</v>
      </c>
      <c r="N70" s="27">
        <f>[36]รายจ่าย!$D$25</f>
        <v>9153733.8499999996</v>
      </c>
      <c r="O70" s="27">
        <f>[36]รายจ่าย!$D$45</f>
        <v>2278000</v>
      </c>
      <c r="P70" s="28" t="s">
        <v>108</v>
      </c>
    </row>
    <row r="71" spans="1:16" ht="21.75" customHeight="1">
      <c r="A71" s="24" t="s">
        <v>109</v>
      </c>
      <c r="B71" s="79"/>
      <c r="C71" s="79"/>
      <c r="D71" s="100">
        <f t="shared" si="14"/>
        <v>33721300.709999993</v>
      </c>
      <c r="E71" s="27">
        <f>[37]รายรับ!$D$24+[37]รายรับ!$D$43</f>
        <v>14531626.999999998</v>
      </c>
      <c r="F71" s="27">
        <f>[37]รายรับ!$D$86</f>
        <v>41150</v>
      </c>
      <c r="G71" s="27">
        <f>[37]รายรับ!$D$93</f>
        <v>2063912.71</v>
      </c>
      <c r="H71" s="64">
        <f>[37]รายรับ!$D$100</f>
        <v>0</v>
      </c>
      <c r="I71" s="27">
        <f>[37]รายรับ!$D$110</f>
        <v>62754</v>
      </c>
      <c r="J71" s="27">
        <f>[37]รายรับ!$D$114+[37]รายรับ!$D$123+[37]รายรับ!$D$131</f>
        <v>17021857</v>
      </c>
      <c r="K71" s="60">
        <f t="shared" si="15"/>
        <v>36722913.829999998</v>
      </c>
      <c r="L71" s="27">
        <f>[37]รายจ่าย!$D$30+[37]รายจ่าย!$D$36+[37]รายจ่าย!$D$46</f>
        <v>15571267.400000002</v>
      </c>
      <c r="M71" s="27">
        <f>[37]รายจ่าย!$D$40</f>
        <v>9152857.4299999997</v>
      </c>
      <c r="N71" s="27">
        <f>[37]รายจ่าย!$D$25</f>
        <v>1069197</v>
      </c>
      <c r="O71" s="27">
        <f>[37]รายจ่าย!$D$45</f>
        <v>10929592</v>
      </c>
      <c r="P71" s="28" t="s">
        <v>110</v>
      </c>
    </row>
    <row r="72" spans="1:16" ht="21.75" customHeight="1">
      <c r="A72" s="24" t="s">
        <v>62</v>
      </c>
      <c r="B72" s="79"/>
      <c r="C72" s="79"/>
      <c r="D72" s="100">
        <f t="shared" si="14"/>
        <v>27352286.060000002</v>
      </c>
      <c r="E72" s="27">
        <f>[38]รายรับ!$D$24+[38]รายรับ!$D$43</f>
        <v>12497764.700000003</v>
      </c>
      <c r="F72" s="27">
        <f>[38]รายรับ!$D$86</f>
        <v>8434.2000000000007</v>
      </c>
      <c r="G72" s="27">
        <f>[38]รายรับ!$D$93</f>
        <v>201057.16</v>
      </c>
      <c r="H72" s="64">
        <f>[38]รายรับ!$D$100</f>
        <v>0</v>
      </c>
      <c r="I72" s="27">
        <f>[38]รายรับ!$D$110</f>
        <v>22930</v>
      </c>
      <c r="J72" s="27">
        <f>[38]รายรับ!$D$114+[38]รายรับ!$D$123+[38]รายรับ!$D$131</f>
        <v>14622100</v>
      </c>
      <c r="K72" s="60">
        <f t="shared" si="15"/>
        <v>15180279.289999999</v>
      </c>
      <c r="L72" s="27">
        <f>[38]รายจ่าย!$D$30+[38]รายจ่าย!$D$36+[38]รายจ่าย!$D$46</f>
        <v>11767888.289999999</v>
      </c>
      <c r="M72" s="27">
        <f>[38]รายจ่าย!$D$40</f>
        <v>2276800</v>
      </c>
      <c r="N72" s="27">
        <f>[38]รายจ่าย!$D$25</f>
        <v>218591</v>
      </c>
      <c r="O72" s="27">
        <f>[38]รายจ่าย!$D$45</f>
        <v>917000</v>
      </c>
      <c r="P72" s="28" t="s">
        <v>185</v>
      </c>
    </row>
    <row r="73" spans="1:16" ht="21.75" customHeight="1">
      <c r="A73" s="22" t="s">
        <v>35</v>
      </c>
      <c r="B73" s="80"/>
      <c r="C73" s="80"/>
      <c r="D73" s="100">
        <f t="shared" si="14"/>
        <v>253972252.33000001</v>
      </c>
      <c r="E73" s="60">
        <f t="shared" ref="E73:J73" si="16">SUM(E74:E75,E76:E81)</f>
        <v>124013463.69</v>
      </c>
      <c r="F73" s="60">
        <f t="shared" si="16"/>
        <v>1078839.6000000001</v>
      </c>
      <c r="G73" s="60">
        <f t="shared" si="16"/>
        <v>2604256.04</v>
      </c>
      <c r="H73" s="61">
        <f t="shared" si="16"/>
        <v>218171.61</v>
      </c>
      <c r="I73" s="60">
        <f t="shared" si="16"/>
        <v>517334.75</v>
      </c>
      <c r="J73" s="60">
        <f t="shared" si="16"/>
        <v>125540186.64000002</v>
      </c>
      <c r="K73" s="60">
        <f>SUM(L73:O73)</f>
        <v>138272591.47000003</v>
      </c>
      <c r="L73" s="60">
        <f>SUM(L74:L75,L76:L81)</f>
        <v>97436130.660000011</v>
      </c>
      <c r="M73" s="60">
        <f>SUM(M74:M75,M76:M81)</f>
        <v>18783590.82</v>
      </c>
      <c r="N73" s="60">
        <f>SUM(N74:N75,N76:N81)</f>
        <v>5991123.5</v>
      </c>
      <c r="O73" s="60">
        <f>SUM(O74:O75,O76:O81)</f>
        <v>16061746.489999998</v>
      </c>
      <c r="P73" s="62" t="s">
        <v>111</v>
      </c>
    </row>
    <row r="74" spans="1:16" ht="21.75" customHeight="1">
      <c r="A74" s="24" t="s">
        <v>35</v>
      </c>
      <c r="B74" s="25"/>
      <c r="C74" s="26"/>
      <c r="D74" s="100">
        <f t="shared" si="14"/>
        <v>24304283.09</v>
      </c>
      <c r="E74" s="27">
        <f>[39]รายรับ!$D$24+[39]รายรับ!$D$43</f>
        <v>14863799.959999999</v>
      </c>
      <c r="F74" s="27">
        <f>[39]รายรับ!$D$86</f>
        <v>217565.8</v>
      </c>
      <c r="G74" s="27">
        <f>[39]รายรับ!$D$93</f>
        <v>280514.33</v>
      </c>
      <c r="H74" s="64">
        <f>[39]รายรับ!$D$100</f>
        <v>0</v>
      </c>
      <c r="I74" s="27">
        <f>[39]รายรับ!$D$110</f>
        <v>4730</v>
      </c>
      <c r="J74" s="27">
        <f>[39]รายรับ!$D$114+[39]รายรับ!$D$123+[39]รายรับ!$D$131</f>
        <v>8937673</v>
      </c>
      <c r="K74" s="60">
        <f t="shared" ref="K74:K81" si="17">SUM(L74:O74)</f>
        <v>11849817.1</v>
      </c>
      <c r="L74" s="74">
        <f>[39]รายจ่าย!$D$30+[39]รายจ่าย!$D$36+[39]รายจ่าย!$D$46</f>
        <v>6956042.0999999996</v>
      </c>
      <c r="M74" s="74">
        <f>[39]รายจ่าย!$D$40</f>
        <v>1097200</v>
      </c>
      <c r="N74" s="74">
        <f>[39]รายจ่าย!$D$25</f>
        <v>3064375</v>
      </c>
      <c r="O74" s="74">
        <f>[39]รายจ่าย!$D$45</f>
        <v>732200</v>
      </c>
      <c r="P74" s="24" t="s">
        <v>186</v>
      </c>
    </row>
    <row r="75" spans="1:16" ht="21.75" customHeight="1">
      <c r="A75" s="24" t="s">
        <v>112</v>
      </c>
      <c r="B75" s="25"/>
      <c r="C75" s="26"/>
      <c r="D75" s="100">
        <f t="shared" si="14"/>
        <v>43172899.439999998</v>
      </c>
      <c r="E75" s="27">
        <f>[40]รายรับ!$D$24+[40]รายรับ!$D$43</f>
        <v>17629845.280000001</v>
      </c>
      <c r="F75" s="27">
        <f>[40]รายรับ!$D$86</f>
        <v>127231.2</v>
      </c>
      <c r="G75" s="27">
        <f>[40]รายรับ!$D$93</f>
        <v>344005.5</v>
      </c>
      <c r="H75" s="64">
        <f>[40]รายรับ!$D$100</f>
        <v>0</v>
      </c>
      <c r="I75" s="27">
        <f>[40]รายรับ!$D$110</f>
        <v>44260</v>
      </c>
      <c r="J75" s="27">
        <f>[40]รายรับ!$D$123+[40]รายรับ!$D$114+[40]รายรับ!$D$131</f>
        <v>25027557.460000001</v>
      </c>
      <c r="K75" s="60">
        <f t="shared" si="17"/>
        <v>25334121.639999997</v>
      </c>
      <c r="L75" s="63">
        <f>[40]รายจ่าย!$D$30+[40]รายจ่าย!$D$36+[40]รายจ่าย!$D$46</f>
        <v>16765244.719999999</v>
      </c>
      <c r="M75" s="63">
        <f>[40]รายจ่าย!$D$40</f>
        <v>5649948.3799999999</v>
      </c>
      <c r="N75" s="63">
        <f>[40]รายจ่าย!$D$25</f>
        <v>598144</v>
      </c>
      <c r="O75" s="63">
        <f>[40]รายจ่าย!$D$45</f>
        <v>2320784.54</v>
      </c>
      <c r="P75" s="24" t="s">
        <v>113</v>
      </c>
    </row>
    <row r="76" spans="1:16" ht="22.5" customHeight="1">
      <c r="A76" s="24" t="s">
        <v>114</v>
      </c>
      <c r="B76" s="25"/>
      <c r="C76" s="26"/>
      <c r="D76" s="100">
        <f t="shared" ref="D76:D86" si="18">SUM(E76:J76)</f>
        <v>27097956.109999999</v>
      </c>
      <c r="E76" s="27">
        <f>[41]รายรับ!$D$24+[41]รายรับ!$D$43</f>
        <v>13409759.41</v>
      </c>
      <c r="F76" s="27">
        <f>[41]รายรับ!$D$86</f>
        <v>288790.8</v>
      </c>
      <c r="G76" s="27">
        <f>[41]รายรับ!$D$93</f>
        <v>273246.90000000002</v>
      </c>
      <c r="H76" s="64">
        <f>[41]รายรับ!$D$100</f>
        <v>0</v>
      </c>
      <c r="I76" s="27">
        <f>[41]รายรับ!$D$110</f>
        <v>187250</v>
      </c>
      <c r="J76" s="27">
        <f>[41]รายรับ!$D$114+[41]รายรับ!$D$123+[41]รายรับ!$D$131</f>
        <v>12938909</v>
      </c>
      <c r="K76" s="60">
        <f t="shared" si="17"/>
        <v>17360389.16</v>
      </c>
      <c r="L76" s="27">
        <f>[41]รายจ่าย!$D$30+[41]รายจ่าย!$D$36+[41]รายจ่าย!$D$46</f>
        <v>12283981.1</v>
      </c>
      <c r="M76" s="27">
        <f>[41]รายจ่าย!$D$40</f>
        <v>2338830</v>
      </c>
      <c r="N76" s="27">
        <f>[41]รายจ่าย!$D$25</f>
        <v>394698.5</v>
      </c>
      <c r="O76" s="27">
        <f>[41]รายจ่าย!$D$45</f>
        <v>2342879.56</v>
      </c>
      <c r="P76" s="24" t="s">
        <v>115</v>
      </c>
    </row>
    <row r="77" spans="1:16" ht="22.5" customHeight="1">
      <c r="A77" s="24" t="s">
        <v>116</v>
      </c>
      <c r="B77" s="25"/>
      <c r="C77" s="26"/>
      <c r="D77" s="100">
        <f t="shared" si="18"/>
        <v>38464859.07</v>
      </c>
      <c r="E77" s="27">
        <f>[42]รายรับ!$D$24+[42]รายรับ!$D$43</f>
        <v>17871896.009999998</v>
      </c>
      <c r="F77" s="27">
        <f>[42]รายรับ!$D$86</f>
        <v>344464</v>
      </c>
      <c r="G77" s="119">
        <f>[42]รายรับ!$D$93</f>
        <v>269652.78000000003</v>
      </c>
      <c r="H77" s="64">
        <f>[42]รายรับ!$D$100</f>
        <v>0</v>
      </c>
      <c r="I77" s="27">
        <f>[42]รายรับ!$D$110</f>
        <v>99085.28</v>
      </c>
      <c r="J77" s="27">
        <f>[42]รายรับ!$D$114+[42]รายรับ!$D$123+[42]รายรับ!$D$131</f>
        <v>19879761</v>
      </c>
      <c r="K77" s="60">
        <f t="shared" si="17"/>
        <v>11516898.560000001</v>
      </c>
      <c r="L77" s="27">
        <f>[42]รายจ่าย!$D$30+[42]รายจ่าย!$D$36+[42]รายจ่าย!$D$46</f>
        <v>8352002.5600000005</v>
      </c>
      <c r="M77" s="27">
        <f>[42]รายจ่าย!$D$40</f>
        <v>1522000</v>
      </c>
      <c r="N77" s="27">
        <f>[42]รายจ่าย!$D$25</f>
        <v>420896</v>
      </c>
      <c r="O77" s="27">
        <f>[42]รายจ่าย!$D$45</f>
        <v>1222000</v>
      </c>
      <c r="P77" s="28" t="s">
        <v>117</v>
      </c>
    </row>
    <row r="78" spans="1:16" ht="22.5" customHeight="1">
      <c r="A78" s="24" t="s">
        <v>118</v>
      </c>
      <c r="B78" s="25"/>
      <c r="C78" s="26"/>
      <c r="D78" s="100">
        <f t="shared" si="18"/>
        <v>33514225.57</v>
      </c>
      <c r="E78" s="27">
        <f>[43]รายรับ!$D$24+[43]รายรับ!$D$43</f>
        <v>16331849.710000001</v>
      </c>
      <c r="F78" s="27">
        <f>[43]รายรับ!$D$86</f>
        <v>35424</v>
      </c>
      <c r="G78" s="27">
        <f>[43]รายรับ!$D$93</f>
        <v>796006.78</v>
      </c>
      <c r="H78" s="64">
        <f>[43]รายรับ!$D$100</f>
        <v>0</v>
      </c>
      <c r="I78" s="27">
        <f>[43]รายรับ!$D$110</f>
        <v>5690</v>
      </c>
      <c r="J78" s="27">
        <f>[43]รายรับ!$D$114+[43]รายรับ!$D$123+[43]รายรับ!$D$131</f>
        <v>16345255.08</v>
      </c>
      <c r="K78" s="60">
        <f t="shared" si="17"/>
        <v>14544341.83</v>
      </c>
      <c r="L78" s="27">
        <f>[43]รายจ่าย!$D$30+[43]รายจ่าย!$D$36+[43]รายจ่าย!$D$46</f>
        <v>11557866.27</v>
      </c>
      <c r="M78" s="27">
        <f>[43]รายจ่าย!$D$40</f>
        <v>209091.56</v>
      </c>
      <c r="N78" s="27">
        <f>[43]รายจ่าย!$D$25</f>
        <v>350384</v>
      </c>
      <c r="O78" s="27">
        <f>[43]รายจ่าย!$D$45</f>
        <v>2427000</v>
      </c>
      <c r="P78" s="28" t="s">
        <v>119</v>
      </c>
    </row>
    <row r="79" spans="1:16" ht="22.5" customHeight="1">
      <c r="A79" s="24" t="s">
        <v>120</v>
      </c>
      <c r="B79" s="25"/>
      <c r="C79" s="26"/>
      <c r="D79" s="108">
        <f t="shared" si="18"/>
        <v>24205672.780000001</v>
      </c>
      <c r="E79" s="77">
        <f>[44]รายรับ!$D$24+[44]รายรับ!$D$43</f>
        <v>12645109.49</v>
      </c>
      <c r="F79" s="77">
        <f>[44]รายรับ!$D$86</f>
        <v>535</v>
      </c>
      <c r="G79" s="77">
        <f>[44]รายรับ!$D$93</f>
        <v>360490.29</v>
      </c>
      <c r="H79" s="64">
        <f>[44]รายรับ!$D$100</f>
        <v>0</v>
      </c>
      <c r="I79" s="77">
        <f>[44]รายรับ!$D$110</f>
        <v>9900</v>
      </c>
      <c r="J79" s="77">
        <f>[44]รายรับ!$D$114+[44]รายรับ!$D$123+[44]รายรับ!$D$131</f>
        <v>11189638</v>
      </c>
      <c r="K79" s="60">
        <f t="shared" si="17"/>
        <v>9659110.7000000011</v>
      </c>
      <c r="L79" s="27">
        <f>[44]รายจ่าย!$D$30+[44]รายจ่าย!$D$36+[44]รายจ่าย!$D$46</f>
        <v>7342783.7000000011</v>
      </c>
      <c r="M79" s="27">
        <f>[44]รายจ่าย!$D$40</f>
        <v>1133000</v>
      </c>
      <c r="N79" s="27">
        <f>[44]รายจ่าย!$D$25</f>
        <v>213207</v>
      </c>
      <c r="O79" s="27">
        <f>[44]รายจ่าย!$D$45</f>
        <v>970120</v>
      </c>
      <c r="P79" s="28" t="s">
        <v>121</v>
      </c>
    </row>
    <row r="80" spans="1:16" ht="22.5" customHeight="1">
      <c r="A80" s="24" t="s">
        <v>122</v>
      </c>
      <c r="B80" s="25"/>
      <c r="C80" s="26"/>
      <c r="D80" s="100">
        <f t="shared" si="18"/>
        <v>37035800.440000005</v>
      </c>
      <c r="E80" s="27">
        <f>[45]รายรับ!$D$24+[45]รายรับ!$D$43</f>
        <v>16664811.280000003</v>
      </c>
      <c r="F80" s="27">
        <f>[45]รายรับ!$D$86</f>
        <v>18750</v>
      </c>
      <c r="G80" s="27">
        <f>[45]รายรับ!$D$93</f>
        <v>280339.46000000002</v>
      </c>
      <c r="H80" s="64">
        <f>[45]รายรับ!$D$100</f>
        <v>0</v>
      </c>
      <c r="I80" s="27">
        <f>[45]รายรับ!$D$110</f>
        <v>30542.6</v>
      </c>
      <c r="J80" s="27">
        <f>[45]รายรับ!$D$114+[45]รายรับ!$D$123+[45]รายรับ!$D$131</f>
        <v>20041357.100000001</v>
      </c>
      <c r="K80" s="60">
        <f t="shared" si="17"/>
        <v>36207695</v>
      </c>
      <c r="L80" s="27">
        <f>[45]รายจ่าย!$D$30+[45]รายจ่าย!$D$36+[45]รายจ่าย!$D$46</f>
        <v>24217106.73</v>
      </c>
      <c r="M80" s="27">
        <f>[45]รายจ่าย!$D$40</f>
        <v>6650160.8799999999</v>
      </c>
      <c r="N80" s="27">
        <f>[45]รายจ่าย!$D$25</f>
        <v>537665</v>
      </c>
      <c r="O80" s="27">
        <f>[45]รายจ่าย!$D$45</f>
        <v>4802762.3899999997</v>
      </c>
      <c r="P80" s="28" t="s">
        <v>123</v>
      </c>
    </row>
    <row r="81" spans="1:18" ht="22.5" customHeight="1">
      <c r="A81" s="24" t="s">
        <v>124</v>
      </c>
      <c r="B81" s="25"/>
      <c r="C81" s="25"/>
      <c r="D81" s="100">
        <f t="shared" si="18"/>
        <v>26176555.829999998</v>
      </c>
      <c r="E81" s="27">
        <f>[46]รายรับ!$D$24+[46]รายรับ!$D$43</f>
        <v>14596392.549999999</v>
      </c>
      <c r="F81" s="27">
        <f>[46]รายรับ!$D$86</f>
        <v>46078.8</v>
      </c>
      <c r="G81" s="27">
        <f>[46]รายรับ!$D$93</f>
        <v>0</v>
      </c>
      <c r="H81" s="119">
        <f>[46]รายรับ!$D$100</f>
        <v>218171.61</v>
      </c>
      <c r="I81" s="27">
        <f>[46]รายรับ!$D$110</f>
        <v>135876.87</v>
      </c>
      <c r="J81" s="27">
        <f>[46]รายรับ!$D$114+[46]รายรับ!$D$123+[46]รายรับ!$D$131</f>
        <v>11180036</v>
      </c>
      <c r="K81" s="60">
        <f t="shared" si="17"/>
        <v>11800217.48</v>
      </c>
      <c r="L81" s="27">
        <f>[46]รายจ่าย!$D$30+[46]รายจ่าย!$D$36+[46]รายจ่าย!$D$46</f>
        <v>9961103.4800000004</v>
      </c>
      <c r="M81" s="27">
        <f>[46]รายจ่าย!$D$40</f>
        <v>183360</v>
      </c>
      <c r="N81" s="27">
        <f>[46]รายจ่าย!$D$25</f>
        <v>411754</v>
      </c>
      <c r="O81" s="27">
        <f>[46]รายจ่าย!$D$45</f>
        <v>1244000</v>
      </c>
      <c r="P81" s="28" t="s">
        <v>125</v>
      </c>
    </row>
    <row r="82" spans="1:18" ht="22.5" customHeight="1">
      <c r="A82" s="22" t="s">
        <v>36</v>
      </c>
      <c r="B82" s="59"/>
      <c r="C82" s="59"/>
      <c r="D82" s="100">
        <f t="shared" si="18"/>
        <v>156170030.81999999</v>
      </c>
      <c r="E82" s="60">
        <f t="shared" ref="E82:J82" si="19">SUM(E83:E86)</f>
        <v>61067393.210000001</v>
      </c>
      <c r="F82" s="60">
        <f t="shared" si="19"/>
        <v>118001.76</v>
      </c>
      <c r="G82" s="60">
        <f t="shared" si="19"/>
        <v>443448.33</v>
      </c>
      <c r="H82" s="60">
        <f t="shared" si="19"/>
        <v>10717218.359999999</v>
      </c>
      <c r="I82" s="60">
        <f t="shared" si="19"/>
        <v>200901.5</v>
      </c>
      <c r="J82" s="60">
        <f t="shared" si="19"/>
        <v>83623067.659999996</v>
      </c>
      <c r="K82" s="27">
        <f>SUM(L82:O82)</f>
        <v>103767379.5</v>
      </c>
      <c r="L82" s="60">
        <f>SUM(L83:L86)</f>
        <v>63639011.829999998</v>
      </c>
      <c r="M82" s="60">
        <f>SUM(M83:M86)</f>
        <v>15470228.58</v>
      </c>
      <c r="N82" s="60">
        <f>SUM(N83:N86)</f>
        <v>5055336.55</v>
      </c>
      <c r="O82" s="60">
        <f>SUM(O83:O86)</f>
        <v>19602802.539999999</v>
      </c>
      <c r="P82" s="62" t="s">
        <v>126</v>
      </c>
    </row>
    <row r="83" spans="1:18" ht="22.5" customHeight="1">
      <c r="A83" s="24" t="s">
        <v>127</v>
      </c>
      <c r="B83" s="25"/>
      <c r="C83" s="26"/>
      <c r="D83" s="100">
        <f t="shared" si="18"/>
        <v>23444174.249999996</v>
      </c>
      <c r="E83" s="27">
        <f>[47]รายรับ!$D$24+[47]รายรับ!$D$43</f>
        <v>12645396.999999998</v>
      </c>
      <c r="F83" s="27">
        <f>[47]รายรับ!$D$86</f>
        <v>10426.200000000001</v>
      </c>
      <c r="G83" s="27">
        <f>[47]รายรับ!$D$93</f>
        <v>185202.95</v>
      </c>
      <c r="H83" s="64">
        <f>[47]รายรับ!$D$100</f>
        <v>0</v>
      </c>
      <c r="I83" s="27">
        <f>[47]รายรับ!$D$110</f>
        <v>12400.1</v>
      </c>
      <c r="J83" s="27">
        <f>[47]รายรับ!$D$114+[47]รายรับ!$D$123+[47]รายรับ!$D$131</f>
        <v>10590748</v>
      </c>
      <c r="K83" s="27">
        <f t="shared" ref="K83:K86" si="20">SUM(L83:O83)</f>
        <v>20200821.530000001</v>
      </c>
      <c r="L83" s="27">
        <f>[47]รายจ่าย!$D$30+[47]รายจ่าย!$D$36+[47]รายจ่าย!$D$46</f>
        <v>13967946.52</v>
      </c>
      <c r="M83" s="27">
        <f>[47]รายจ่าย!$D$40</f>
        <v>4386521.58</v>
      </c>
      <c r="N83" s="27">
        <f>[47]รายจ่าย!$D$25</f>
        <v>453353.43</v>
      </c>
      <c r="O83" s="27">
        <f>[47]รายจ่าย!$D$45</f>
        <v>1393000</v>
      </c>
      <c r="P83" s="28" t="s">
        <v>128</v>
      </c>
    </row>
    <row r="84" spans="1:18" ht="22.5" customHeight="1">
      <c r="A84" s="24" t="s">
        <v>129</v>
      </c>
      <c r="B84" s="25"/>
      <c r="C84" s="26"/>
      <c r="D84" s="108">
        <f t="shared" si="18"/>
        <v>38514309.200000003</v>
      </c>
      <c r="E84" s="27">
        <f>[48]รายรับ!$D$24+[48]รายรับ!$D$43</f>
        <v>13031207.020000001</v>
      </c>
      <c r="F84" s="27">
        <f>[48]รายรับ!$D$86</f>
        <v>79946.759999999995</v>
      </c>
      <c r="G84" s="27">
        <f>[48]รายรับ!$D$93</f>
        <v>28800</v>
      </c>
      <c r="H84" s="27">
        <f>[48]รายรับ!$D$100</f>
        <v>10239484.42</v>
      </c>
      <c r="I84" s="27">
        <f>[48]รายรับ!$D$110</f>
        <v>78261</v>
      </c>
      <c r="J84" s="27">
        <f>[48]รายรับ!$D$114+[48]รายรับ!$D$123+[48]รายรับ!$D$131</f>
        <v>15056610</v>
      </c>
      <c r="K84" s="27">
        <f t="shared" si="20"/>
        <v>25698208.519999996</v>
      </c>
      <c r="L84" s="27">
        <f>[48]รายจ่าย!$D$30+[48]รายจ่าย!$D$36+[48]รายจ่าย!$D$46</f>
        <v>16188431.51</v>
      </c>
      <c r="M84" s="27">
        <f>[48]รายจ่าย!$D$40</f>
        <v>3460300</v>
      </c>
      <c r="N84" s="27">
        <f>[48]รายจ่าย!$D$25</f>
        <v>2629477.0099999998</v>
      </c>
      <c r="O84" s="32">
        <f>[48]รายจ่าย!$D$45</f>
        <v>3420000</v>
      </c>
      <c r="P84" s="28" t="s">
        <v>130</v>
      </c>
    </row>
    <row r="85" spans="1:18" ht="22.5" customHeight="1">
      <c r="A85" s="24" t="s">
        <v>131</v>
      </c>
      <c r="B85" s="25"/>
      <c r="C85" s="26"/>
      <c r="D85" s="100">
        <f t="shared" si="18"/>
        <v>45374999.620000005</v>
      </c>
      <c r="E85" s="27">
        <f>[49]รายรับ!$D$24+[49]รายรับ!$D$43</f>
        <v>18142574.680000003</v>
      </c>
      <c r="F85" s="27">
        <f>[49]รายรับ!$D$86</f>
        <v>18444.599999999999</v>
      </c>
      <c r="G85" s="27">
        <f>[49]รายรับ!$D$93</f>
        <v>100</v>
      </c>
      <c r="H85" s="64">
        <f>[49]รายรับ!$D$100</f>
        <v>477733.94</v>
      </c>
      <c r="I85" s="27">
        <f>[49]รายรับ!$D$110</f>
        <v>43530.400000000001</v>
      </c>
      <c r="J85" s="27">
        <f>[49]รายรับ!$D$114+[49]รายรับ!$D$123+[49]รายรับ!$D$131</f>
        <v>26692616</v>
      </c>
      <c r="K85" s="27">
        <f t="shared" si="20"/>
        <v>27954670.280000001</v>
      </c>
      <c r="L85" s="27">
        <f>[49]รายจ่าย!$D$30+[49]รายจ่าย!$D$36+[49]รายจ่าย!$D$46</f>
        <v>16164382.41</v>
      </c>
      <c r="M85" s="27">
        <f>[49]รายจ่าย!$D$40</f>
        <v>4037507</v>
      </c>
      <c r="N85" s="27">
        <f>[49]รายจ่าย!$D$25</f>
        <v>845461</v>
      </c>
      <c r="O85" s="27">
        <f>[49]รายจ่าย!$D$45</f>
        <v>6907319.8700000001</v>
      </c>
      <c r="P85" s="28" t="s">
        <v>132</v>
      </c>
    </row>
    <row r="86" spans="1:18" ht="22.5" customHeight="1">
      <c r="A86" s="24" t="s">
        <v>133</v>
      </c>
      <c r="B86" s="25"/>
      <c r="C86" s="26"/>
      <c r="D86" s="108">
        <f t="shared" si="18"/>
        <v>48836547.75</v>
      </c>
      <c r="E86" s="77">
        <f>[50]รายรับ!$D$24+[50]รายรับ!$D$43</f>
        <v>17248214.509999998</v>
      </c>
      <c r="F86" s="77">
        <f>[50]รายรับ!$D$86</f>
        <v>9184.2000000000007</v>
      </c>
      <c r="G86" s="77">
        <f>[50]รายรับ!$D$93</f>
        <v>229345.38</v>
      </c>
      <c r="H86" s="64">
        <f>[50]รายรับ!$D$100</f>
        <v>0</v>
      </c>
      <c r="I86" s="77">
        <f>[50]รายรับ!$D$110</f>
        <v>66710</v>
      </c>
      <c r="J86" s="77">
        <f>[50]รายรับ!$D$114+[50]รายรับ!$D$123+[50]รายรับ!$D$131</f>
        <v>31283093.66</v>
      </c>
      <c r="K86" s="27">
        <f t="shared" si="20"/>
        <v>29913679.170000002</v>
      </c>
      <c r="L86" s="27">
        <f>[50]รายจ่าย!$D$30+[50]รายจ่าย!$D$36+[50]รายจ่าย!$D$46</f>
        <v>17318251.390000001</v>
      </c>
      <c r="M86" s="27">
        <f>[50]รายจ่าย!$D$40</f>
        <v>3585900</v>
      </c>
      <c r="N86" s="27">
        <f>[50]รายจ่าย!$D$25</f>
        <v>1127045.1099999999</v>
      </c>
      <c r="O86" s="27">
        <f>[50]รายจ่าย!$D$45</f>
        <v>7882482.6699999999</v>
      </c>
      <c r="P86" s="28" t="s">
        <v>184</v>
      </c>
    </row>
    <row r="87" spans="1:18" s="10" customFormat="1" ht="22.5" customHeight="1">
      <c r="A87" s="8" t="s">
        <v>43</v>
      </c>
      <c r="B87" s="9">
        <v>16.3</v>
      </c>
      <c r="C87" s="40" t="s">
        <v>182</v>
      </c>
      <c r="D87" s="96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12"/>
      <c r="R87" s="15"/>
    </row>
    <row r="88" spans="1:18" s="10" customFormat="1" ht="21" customHeight="1">
      <c r="A88" s="8" t="s">
        <v>44</v>
      </c>
      <c r="B88" s="9">
        <v>16.3</v>
      </c>
      <c r="C88" s="41" t="s">
        <v>48</v>
      </c>
      <c r="D88" s="97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R88" s="15"/>
    </row>
    <row r="89" spans="1:18" s="10" customFormat="1">
      <c r="A89" s="43"/>
      <c r="B89" s="43"/>
      <c r="C89" s="44" t="s">
        <v>183</v>
      </c>
      <c r="D89" s="98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R89" s="15"/>
    </row>
    <row r="90" spans="1:18">
      <c r="A90" s="47"/>
      <c r="B90" s="47"/>
      <c r="C90" s="48"/>
      <c r="D90" s="107"/>
      <c r="E90" s="125" t="s">
        <v>45</v>
      </c>
      <c r="F90" s="126"/>
      <c r="G90" s="126"/>
      <c r="H90" s="126"/>
      <c r="I90" s="126"/>
      <c r="J90" s="127"/>
      <c r="K90" s="72"/>
      <c r="L90" s="125" t="s">
        <v>10</v>
      </c>
      <c r="M90" s="126"/>
      <c r="N90" s="126"/>
      <c r="O90" s="127"/>
      <c r="P90" s="47"/>
    </row>
    <row r="91" spans="1:18">
      <c r="A91" s="50"/>
      <c r="B91" s="50"/>
      <c r="C91" s="51"/>
      <c r="D91" s="96"/>
      <c r="E91" s="140" t="s">
        <v>5</v>
      </c>
      <c r="F91" s="131"/>
      <c r="G91" s="131"/>
      <c r="H91" s="131"/>
      <c r="I91" s="131"/>
      <c r="J91" s="132"/>
      <c r="K91" s="73"/>
      <c r="L91" s="140" t="s">
        <v>11</v>
      </c>
      <c r="M91" s="131"/>
      <c r="N91" s="131"/>
      <c r="O91" s="132"/>
      <c r="P91" s="50"/>
    </row>
    <row r="92" spans="1:18">
      <c r="A92" s="133" t="s">
        <v>49</v>
      </c>
      <c r="B92" s="133"/>
      <c r="C92" s="134"/>
      <c r="D92" s="102"/>
      <c r="E92" s="49" t="s">
        <v>2</v>
      </c>
      <c r="F92" s="49" t="s">
        <v>17</v>
      </c>
      <c r="G92" s="49" t="s">
        <v>3</v>
      </c>
      <c r="H92" s="49" t="s">
        <v>4</v>
      </c>
      <c r="I92" s="49" t="s">
        <v>21</v>
      </c>
      <c r="J92" s="49" t="s">
        <v>8</v>
      </c>
      <c r="K92" s="49"/>
      <c r="L92" s="49" t="s">
        <v>12</v>
      </c>
      <c r="M92" s="53" t="s">
        <v>10</v>
      </c>
      <c r="N92" s="53" t="s">
        <v>10</v>
      </c>
      <c r="O92" s="17" t="s">
        <v>8</v>
      </c>
      <c r="P92" s="50" t="s">
        <v>50</v>
      </c>
    </row>
    <row r="93" spans="1:18">
      <c r="A93" s="133" t="s">
        <v>28</v>
      </c>
      <c r="B93" s="133"/>
      <c r="C93" s="134"/>
      <c r="D93" s="102"/>
      <c r="E93" s="53" t="s">
        <v>16</v>
      </c>
      <c r="F93" s="53" t="s">
        <v>18</v>
      </c>
      <c r="G93" s="53" t="s">
        <v>6</v>
      </c>
      <c r="H93" s="53" t="s">
        <v>19</v>
      </c>
      <c r="I93" s="53" t="s">
        <v>7</v>
      </c>
      <c r="J93" s="53" t="s">
        <v>9</v>
      </c>
      <c r="K93" s="53"/>
      <c r="L93" s="53" t="s">
        <v>13</v>
      </c>
      <c r="M93" s="53" t="s">
        <v>26</v>
      </c>
      <c r="N93" s="53" t="s">
        <v>27</v>
      </c>
      <c r="O93" s="18" t="s">
        <v>9</v>
      </c>
      <c r="P93" s="50" t="s">
        <v>25</v>
      </c>
    </row>
    <row r="94" spans="1:18">
      <c r="A94" s="136" t="s">
        <v>29</v>
      </c>
      <c r="B94" s="136"/>
      <c r="C94" s="137"/>
      <c r="D94" s="103"/>
      <c r="E94" s="53" t="s">
        <v>22</v>
      </c>
      <c r="F94" s="53" t="s">
        <v>24</v>
      </c>
      <c r="G94" s="53"/>
      <c r="H94" s="53" t="s">
        <v>20</v>
      </c>
      <c r="I94" s="53"/>
      <c r="J94" s="53"/>
      <c r="K94" s="53"/>
      <c r="L94" s="53" t="s">
        <v>11</v>
      </c>
      <c r="M94" s="123" t="s">
        <v>209</v>
      </c>
      <c r="N94" s="53" t="s">
        <v>14</v>
      </c>
      <c r="O94" s="18"/>
      <c r="P94" s="50" t="s">
        <v>1</v>
      </c>
    </row>
    <row r="95" spans="1:18">
      <c r="A95" s="55"/>
      <c r="B95" s="55"/>
      <c r="C95" s="56"/>
      <c r="D95" s="104"/>
      <c r="E95" s="57"/>
      <c r="F95" s="57"/>
      <c r="G95" s="57"/>
      <c r="H95" s="57"/>
      <c r="I95" s="57"/>
      <c r="J95" s="57"/>
      <c r="K95" s="57"/>
      <c r="L95" s="57"/>
      <c r="M95" s="122" t="s">
        <v>208</v>
      </c>
      <c r="N95" s="52" t="s">
        <v>15</v>
      </c>
      <c r="O95" s="19"/>
      <c r="P95" s="55"/>
    </row>
    <row r="96" spans="1:18" ht="24" customHeight="1">
      <c r="A96" s="22" t="s">
        <v>37</v>
      </c>
      <c r="B96" s="59"/>
      <c r="C96" s="59"/>
      <c r="D96" s="100">
        <f>SUM(E96:J96)</f>
        <v>91117494.989999995</v>
      </c>
      <c r="E96" s="60">
        <f t="shared" ref="E96:J96" si="21">SUM(E97:E99)</f>
        <v>36292082.289999999</v>
      </c>
      <c r="F96" s="60">
        <f t="shared" si="21"/>
        <v>57873.2</v>
      </c>
      <c r="G96" s="60">
        <f t="shared" si="21"/>
        <v>435651.98</v>
      </c>
      <c r="H96" s="61">
        <f t="shared" si="21"/>
        <v>637179.43999999994</v>
      </c>
      <c r="I96" s="60">
        <f t="shared" si="21"/>
        <v>268045.07999999996</v>
      </c>
      <c r="J96" s="60">
        <f t="shared" si="21"/>
        <v>53426663</v>
      </c>
      <c r="K96" s="27">
        <f>SUM(L96:O96)</f>
        <v>65049747.240000002</v>
      </c>
      <c r="L96" s="60">
        <f>SUM(L97:L99)</f>
        <v>38847143.670000002</v>
      </c>
      <c r="M96" s="60">
        <f>SUM(M97:M99)</f>
        <v>10184792</v>
      </c>
      <c r="N96" s="60">
        <f>SUM(N97:N99)</f>
        <v>1381691</v>
      </c>
      <c r="O96" s="60">
        <f>SUM(O97:O99)</f>
        <v>14636120.57</v>
      </c>
      <c r="P96" s="22" t="s">
        <v>134</v>
      </c>
    </row>
    <row r="97" spans="1:16" ht="24" customHeight="1">
      <c r="A97" s="24" t="s">
        <v>135</v>
      </c>
      <c r="B97" s="25"/>
      <c r="C97" s="25"/>
      <c r="D97" s="100">
        <f>SUM(E97:J97)</f>
        <v>38807651.099999994</v>
      </c>
      <c r="E97" s="27">
        <f>[51]รายรับ!$D$24+[51]รายรับ!$D$43</f>
        <v>16642259.58</v>
      </c>
      <c r="F97" s="27">
        <f>[51]รายรับ!$D$86</f>
        <v>50389</v>
      </c>
      <c r="G97" s="64">
        <f>[51]รายรับ!$D$93</f>
        <v>0</v>
      </c>
      <c r="H97" s="119">
        <f>[51]รายรับ!$D$100</f>
        <v>637179.43999999994</v>
      </c>
      <c r="I97" s="27">
        <f>[51]รายรับ!$D$110</f>
        <v>192850.08</v>
      </c>
      <c r="J97" s="27">
        <f>[51]รายรับ!$D$114+[51]รายรับ!$D$123+[51]รายรับ!$D$131</f>
        <v>21284973</v>
      </c>
      <c r="K97" s="27">
        <f t="shared" ref="K97:K99" si="22">SUM(L97:O97)</f>
        <v>33091590.48</v>
      </c>
      <c r="L97" s="27">
        <f>[51]รายจ่าย!$D$30+[51]รายจ่าย!$D$36+[51]รายจ่าย!$D$46</f>
        <v>17388214.48</v>
      </c>
      <c r="M97" s="27">
        <f>[51]รายจ่าย!$D$40</f>
        <v>6464092</v>
      </c>
      <c r="N97" s="27">
        <f>[51]รายจ่าย!$D$25</f>
        <v>662728</v>
      </c>
      <c r="O97" s="27">
        <f>[51]รายจ่าย!$D$45</f>
        <v>8576556</v>
      </c>
      <c r="P97" s="24" t="s">
        <v>136</v>
      </c>
    </row>
    <row r="98" spans="1:16" ht="24" customHeight="1">
      <c r="A98" s="24" t="s">
        <v>137</v>
      </c>
      <c r="B98" s="25"/>
      <c r="C98" s="26"/>
      <c r="D98" s="100">
        <f>SUM(E98:J98)</f>
        <v>25258009.699999999</v>
      </c>
      <c r="E98" s="27">
        <f>[52]รายรับ!$D$24+[52]รายรับ!$D$43</f>
        <v>7546576.4000000004</v>
      </c>
      <c r="F98" s="27">
        <f>[52]รายรับ!$D$86</f>
        <v>7232</v>
      </c>
      <c r="G98" s="27">
        <f>[52]รายรับ!$D$93</f>
        <v>171802.3</v>
      </c>
      <c r="H98" s="64">
        <f>[52]รายรับ!$D$100</f>
        <v>0</v>
      </c>
      <c r="I98" s="27">
        <f>[52]รายรับ!$D$110</f>
        <v>64195</v>
      </c>
      <c r="J98" s="27">
        <f>[52]รายรับ!$D$114+[52]รายรับ!$D$123+[52]รายรับ!$D$131</f>
        <v>17468204</v>
      </c>
      <c r="K98" s="27">
        <f t="shared" si="22"/>
        <v>13112914.51</v>
      </c>
      <c r="L98" s="27">
        <f>[52]รายจ่าย!$D$30+[52]รายจ่าย!$D$36+[52]รายจ่าย!$D$46</f>
        <v>9867288.5099999998</v>
      </c>
      <c r="M98" s="27">
        <f>[52]รายจ่าย!$D$40</f>
        <v>299500</v>
      </c>
      <c r="N98" s="27">
        <f>[52]รายจ่าย!$D$25</f>
        <v>258126</v>
      </c>
      <c r="O98" s="27">
        <f>[52]รายจ่าย!$D$45</f>
        <v>2688000</v>
      </c>
      <c r="P98" s="28" t="s">
        <v>138</v>
      </c>
    </row>
    <row r="99" spans="1:16" ht="24" customHeight="1">
      <c r="A99" s="24" t="s">
        <v>139</v>
      </c>
      <c r="B99" s="25"/>
      <c r="C99" s="26"/>
      <c r="D99" s="100">
        <f>SUM(E99:J99)</f>
        <v>27051834.189999998</v>
      </c>
      <c r="E99" s="27">
        <f>[53]รายรับ!$D$24+[53]รายรับ!$D$43</f>
        <v>12103246.310000001</v>
      </c>
      <c r="F99" s="27">
        <f>[53]รายรับ!$D$86</f>
        <v>252.2</v>
      </c>
      <c r="G99" s="27">
        <f>[53]รายรับ!$D$93</f>
        <v>263849.68</v>
      </c>
      <c r="H99" s="64">
        <f>[53]รายรับ!$D$100</f>
        <v>0</v>
      </c>
      <c r="I99" s="27">
        <f>[53]รายรับ!$D$110</f>
        <v>11000</v>
      </c>
      <c r="J99" s="27">
        <f>[53]รายรับ!$D$114+[53]รายรับ!$D$123+[53]รายรับ!$D$131</f>
        <v>14673486</v>
      </c>
      <c r="K99" s="27">
        <f t="shared" si="22"/>
        <v>18845242.25</v>
      </c>
      <c r="L99" s="27">
        <f>[53]รายจ่าย!$D$30+[53]รายจ่าย!$D$36+[53]รายจ่าย!$D$46</f>
        <v>11591640.68</v>
      </c>
      <c r="M99" s="27">
        <f>[53]รายจ่าย!$D$40</f>
        <v>3421200</v>
      </c>
      <c r="N99" s="27">
        <f>[53]รายจ่าย!$D$25</f>
        <v>460837</v>
      </c>
      <c r="O99" s="27">
        <f>[53]รายจ่าย!$D$45</f>
        <v>3371564.57</v>
      </c>
      <c r="P99" s="28" t="s">
        <v>140</v>
      </c>
    </row>
    <row r="100" spans="1:16" ht="24" customHeight="1">
      <c r="A100" s="22" t="s">
        <v>38</v>
      </c>
      <c r="B100" s="59"/>
      <c r="C100" s="59"/>
      <c r="D100" s="100">
        <f t="shared" ref="D100:D113" si="23">SUM(E100:J100)</f>
        <v>167975140.13</v>
      </c>
      <c r="E100" s="60">
        <f t="shared" ref="E100:J100" si="24">SUM(E101:E105)</f>
        <v>73691544.5</v>
      </c>
      <c r="F100" s="60">
        <f t="shared" si="24"/>
        <v>1216440.47</v>
      </c>
      <c r="G100" s="60">
        <f t="shared" si="24"/>
        <v>697975.17</v>
      </c>
      <c r="H100" s="60">
        <f t="shared" si="24"/>
        <v>2069035</v>
      </c>
      <c r="I100" s="60">
        <f t="shared" si="24"/>
        <v>327610.19</v>
      </c>
      <c r="J100" s="60">
        <f t="shared" si="24"/>
        <v>89972534.799999997</v>
      </c>
      <c r="K100" s="76">
        <f>SUM(L100:O100)</f>
        <v>99409918.180000007</v>
      </c>
      <c r="L100" s="60">
        <f>SUM(L101:L105)</f>
        <v>67600652.310000002</v>
      </c>
      <c r="M100" s="60">
        <f>SUM(M101:M105)</f>
        <v>10920274.530000001</v>
      </c>
      <c r="N100" s="60">
        <f>SUM(N101:N105)</f>
        <v>6819041.2000000002</v>
      </c>
      <c r="O100" s="60">
        <f>SUM(O101:O105)</f>
        <v>14069950.140000001</v>
      </c>
      <c r="P100" s="22" t="s">
        <v>141</v>
      </c>
    </row>
    <row r="101" spans="1:16" ht="24" customHeight="1">
      <c r="A101" s="24" t="s">
        <v>38</v>
      </c>
      <c r="B101" s="25"/>
      <c r="C101" s="25"/>
      <c r="D101" s="100">
        <f t="shared" si="23"/>
        <v>21495718.409999996</v>
      </c>
      <c r="E101" s="27">
        <f>[54]รายรับ!$D$24+[54]รายรับ!$D$43</f>
        <v>12531498.759999998</v>
      </c>
      <c r="F101" s="27">
        <f>[54]รายรับ!$D$86</f>
        <v>72313.070000000007</v>
      </c>
      <c r="G101" s="27">
        <f>[54]รายรับ!$D$93</f>
        <v>61022.79</v>
      </c>
      <c r="H101" s="64">
        <f>[54]รายรับ!$D$100</f>
        <v>0</v>
      </c>
      <c r="I101" s="27">
        <f>[54]รายรับ!$D$110</f>
        <v>33920.79</v>
      </c>
      <c r="J101" s="27">
        <f>[54]รายรับ!$D$114+[54]รายรับ!$D$123+[54]รายรับ!$D$131</f>
        <v>8796963</v>
      </c>
      <c r="K101" s="76">
        <f t="shared" ref="K101:K105" si="25">SUM(L101:O101)</f>
        <v>15280958.76</v>
      </c>
      <c r="L101" s="27">
        <f>[54]รายจ่าย!$D$30+[54]รายจ่าย!$D$36+[54]รายจ่าย!$D$46</f>
        <v>10226521.92</v>
      </c>
      <c r="M101" s="27">
        <f>[54]รายจ่าย!$D$40</f>
        <v>2048654.34</v>
      </c>
      <c r="N101" s="27">
        <f>[54]รายจ่าย!$D$25</f>
        <v>2436782.5</v>
      </c>
      <c r="O101" s="27">
        <f>[54]รายจ่าย!$D$45</f>
        <v>569000</v>
      </c>
      <c r="P101" s="28" t="s">
        <v>142</v>
      </c>
    </row>
    <row r="102" spans="1:16" ht="24" customHeight="1">
      <c r="A102" s="24" t="s">
        <v>143</v>
      </c>
      <c r="B102" s="25"/>
      <c r="C102" s="25"/>
      <c r="D102" s="100">
        <f t="shared" si="23"/>
        <v>35369605.700000003</v>
      </c>
      <c r="E102" s="27">
        <f>[55]รายรับ!$D$24+[55]รายรับ!$D$43</f>
        <v>15745604.590000002</v>
      </c>
      <c r="F102" s="27">
        <f>[55]รายรับ!$D$86</f>
        <v>335644</v>
      </c>
      <c r="G102" s="27">
        <f>[55]รายรับ!$D$93</f>
        <v>155797.71</v>
      </c>
      <c r="H102" s="64">
        <f>[55]รายรับ!$D$100</f>
        <v>0</v>
      </c>
      <c r="I102" s="27">
        <f>[55]รายรับ!$D$110</f>
        <v>61734.400000000001</v>
      </c>
      <c r="J102" s="27">
        <f>[55]รายรับ!$D$114+[55]รายรับ!$D$123+[55]รายรับ!$D$131</f>
        <v>19070825</v>
      </c>
      <c r="K102" s="76">
        <f t="shared" si="25"/>
        <v>23587484.289999999</v>
      </c>
      <c r="L102" s="27">
        <f>[55]รายจ่าย!$D$30+[55]รายจ่าย!$D$36+[55]รายจ่าย!$D$46</f>
        <v>15141289.290000001</v>
      </c>
      <c r="M102" s="27">
        <f>[55]รายจ่าย!$D$40</f>
        <v>386600</v>
      </c>
      <c r="N102" s="27">
        <f>[55]รายจ่าย!$D$25</f>
        <v>1644595</v>
      </c>
      <c r="O102" s="27">
        <f>[55]รายจ่าย!$D$45</f>
        <v>6415000</v>
      </c>
      <c r="P102" s="28" t="s">
        <v>144</v>
      </c>
    </row>
    <row r="103" spans="1:16" ht="24" customHeight="1">
      <c r="A103" s="24" t="s">
        <v>145</v>
      </c>
      <c r="B103" s="25"/>
      <c r="C103" s="26"/>
      <c r="D103" s="100">
        <f t="shared" si="23"/>
        <v>26578605.920000002</v>
      </c>
      <c r="E103" s="27">
        <f>[56]รายรับ!$D$24+[56]รายรับ!$D$43</f>
        <v>11806216.960000003</v>
      </c>
      <c r="F103" s="27">
        <f>[56]รายรับ!$D$86</f>
        <v>138063.4</v>
      </c>
      <c r="G103" s="27">
        <f>[56]รายรับ!$D$93</f>
        <v>122773.75999999999</v>
      </c>
      <c r="H103" s="27">
        <f>[56]รายรับ!$D$100</f>
        <v>135920</v>
      </c>
      <c r="I103" s="27">
        <f>[56]รายรับ!$D$110</f>
        <v>18964</v>
      </c>
      <c r="J103" s="27">
        <f>[56]รายรับ!$D$114+[56]รายรับ!$D$123+[56]รายรับ!$D$131</f>
        <v>14356667.800000001</v>
      </c>
      <c r="K103" s="76">
        <f t="shared" si="25"/>
        <v>12973771.609999999</v>
      </c>
      <c r="L103" s="27">
        <f>[56]รายจ่าย!$D$30+[56]รายจ่าย!$D$36+[56]รายจ่าย!$D$46</f>
        <v>10642831.33</v>
      </c>
      <c r="M103" s="27">
        <f>[56]รายจ่าย!$D$40</f>
        <v>1006774.28</v>
      </c>
      <c r="N103" s="27">
        <f>[56]รายจ่าย!$D$25</f>
        <v>422166</v>
      </c>
      <c r="O103" s="27">
        <f>[56]รายจ่าย!$D$45</f>
        <v>902000</v>
      </c>
      <c r="P103" s="28" t="s">
        <v>146</v>
      </c>
    </row>
    <row r="104" spans="1:16" ht="24" customHeight="1">
      <c r="A104" s="24" t="s">
        <v>118</v>
      </c>
      <c r="B104" s="25"/>
      <c r="C104" s="26"/>
      <c r="D104" s="100">
        <f t="shared" si="23"/>
        <v>52542711.329999998</v>
      </c>
      <c r="E104" s="27">
        <f>[57]รายรับ!$D$24+[57]รายรับ!$D$43</f>
        <v>18975679.84</v>
      </c>
      <c r="F104" s="27">
        <f>[57]รายรับ!$D$86</f>
        <v>668503.19999999995</v>
      </c>
      <c r="G104" s="27">
        <f>[57]รายรับ!$D$93</f>
        <v>239107.29</v>
      </c>
      <c r="H104" s="119">
        <f>[57]รายรับ!$D$100</f>
        <v>1933115</v>
      </c>
      <c r="I104" s="27">
        <f>[57]รายรับ!$D$110</f>
        <v>200955</v>
      </c>
      <c r="J104" s="27">
        <f>[57]รายรับ!$D$114+[57]รายรับ!$D$123+[57]รายรับ!$D$131</f>
        <v>30525351</v>
      </c>
      <c r="K104" s="76">
        <f t="shared" si="25"/>
        <v>29021729.099999998</v>
      </c>
      <c r="L104" s="75">
        <f>[57]รายจ่าย!$D$30+[57]รายจ่าย!$D$36+[57]รายจ่าย!$D$46</f>
        <v>17735737.189999998</v>
      </c>
      <c r="M104" s="75">
        <f>[57]รายจ่าย!$D$40</f>
        <v>6634545.9100000001</v>
      </c>
      <c r="N104" s="75">
        <f>[57]รายจ่าย!$D$25</f>
        <v>899446</v>
      </c>
      <c r="O104" s="75">
        <f>[57]รายจ่าย!$D$45</f>
        <v>3752000</v>
      </c>
      <c r="P104" s="28" t="s">
        <v>147</v>
      </c>
    </row>
    <row r="105" spans="1:16" ht="24" customHeight="1">
      <c r="A105" s="24" t="s">
        <v>148</v>
      </c>
      <c r="B105" s="25"/>
      <c r="C105" s="26"/>
      <c r="D105" s="100">
        <f t="shared" si="23"/>
        <v>31988498.77</v>
      </c>
      <c r="E105" s="27">
        <f>[58]รายรับ!$D$24+[58]รายรับ!$D$43</f>
        <v>14632544.35</v>
      </c>
      <c r="F105" s="27">
        <f>[58]รายรับ!$D$86</f>
        <v>1916.8</v>
      </c>
      <c r="G105" s="27">
        <f>[58]รายรับ!$D$93</f>
        <v>119273.62</v>
      </c>
      <c r="H105" s="64">
        <f>[58]รายรับ!$D$100</f>
        <v>0</v>
      </c>
      <c r="I105" s="27">
        <f>[58]รายรับ!$D$110</f>
        <v>12036</v>
      </c>
      <c r="J105" s="27">
        <f>[58]รายรับ!$D$114+[58]รายรับ!$D$123+[58]รายรับ!$D$131</f>
        <v>17222728</v>
      </c>
      <c r="K105" s="76">
        <f t="shared" si="25"/>
        <v>18545974.419999998</v>
      </c>
      <c r="L105" s="27">
        <f>[58]รายจ่าย!$D$30+[58]รายจ่าย!$D$36+[58]รายจ่าย!$D$46</f>
        <v>13854272.58</v>
      </c>
      <c r="M105" s="27">
        <f>[58]รายจ่าย!$D$40</f>
        <v>843700</v>
      </c>
      <c r="N105" s="27">
        <f>[58]รายจ่าย!$D$25</f>
        <v>1416051.7</v>
      </c>
      <c r="O105" s="27">
        <f>[58]รายจ่าย!$D$45</f>
        <v>2431950.14</v>
      </c>
      <c r="P105" s="24" t="s">
        <v>149</v>
      </c>
    </row>
    <row r="106" spans="1:16" ht="24" customHeight="1">
      <c r="A106" s="22" t="s">
        <v>39</v>
      </c>
      <c r="B106" s="59"/>
      <c r="C106" s="59"/>
      <c r="D106" s="100">
        <f t="shared" si="23"/>
        <v>251251526.34</v>
      </c>
      <c r="E106" s="76">
        <f t="shared" ref="E106:J106" si="26">SUM(E107:E113)</f>
        <v>107860953.95</v>
      </c>
      <c r="F106" s="76">
        <f t="shared" si="26"/>
        <v>216749.30000000002</v>
      </c>
      <c r="G106" s="76">
        <f t="shared" si="26"/>
        <v>1514224.8399999999</v>
      </c>
      <c r="H106" s="76">
        <f t="shared" si="26"/>
        <v>98683</v>
      </c>
      <c r="I106" s="76">
        <f t="shared" si="26"/>
        <v>401272.25</v>
      </c>
      <c r="J106" s="76">
        <f t="shared" si="26"/>
        <v>141159643</v>
      </c>
      <c r="K106" s="76">
        <f>SUM(L106:O106)</f>
        <v>163852706.70999998</v>
      </c>
      <c r="L106" s="60">
        <f>SUM(L107:L113)</f>
        <v>104977936.00999999</v>
      </c>
      <c r="M106" s="60">
        <f>SUM(M107:M113)</f>
        <v>26132493.779999997</v>
      </c>
      <c r="N106" s="60">
        <f>SUM(N107:N113)</f>
        <v>8828175.5899999999</v>
      </c>
      <c r="O106" s="60">
        <f>SUM(O107:O113)</f>
        <v>23914101.329999998</v>
      </c>
      <c r="P106" s="22" t="s">
        <v>150</v>
      </c>
    </row>
    <row r="107" spans="1:16" ht="24" customHeight="1">
      <c r="A107" s="24" t="s">
        <v>39</v>
      </c>
      <c r="B107" s="25"/>
      <c r="C107" s="26"/>
      <c r="D107" s="100">
        <f t="shared" si="23"/>
        <v>36350696.090000004</v>
      </c>
      <c r="E107" s="27">
        <f>[59]รายรับ!$D$24+[59]รายรับ!$D$43</f>
        <v>16059782.52</v>
      </c>
      <c r="F107" s="27">
        <f>[59]รายรับ!$D$86</f>
        <v>25529.4</v>
      </c>
      <c r="G107" s="27">
        <f>[59]รายรับ!$D$93</f>
        <v>118915.17</v>
      </c>
      <c r="H107" s="64">
        <f>[59]รายรับ!$D$100</f>
        <v>0</v>
      </c>
      <c r="I107" s="27">
        <f>[59]รายรับ!$D$110</f>
        <v>30600</v>
      </c>
      <c r="J107" s="27">
        <f>[59]รายรับ!$D$114+[59]รายรับ!$D$123+[59]รายรับ!$D$131</f>
        <v>20115869</v>
      </c>
      <c r="K107" s="76">
        <f t="shared" ref="K107:K113" si="27">SUM(L107:O107)</f>
        <v>23778804.589999996</v>
      </c>
      <c r="L107" s="27">
        <f>[59]รายจ่าย!$D$30+[59]รายจ่าย!$D$36+[59]รายจ่าย!$D$46</f>
        <v>16754671.26</v>
      </c>
      <c r="M107" s="27">
        <f>[59]รายจ่าย!$D$40</f>
        <v>5109860</v>
      </c>
      <c r="N107" s="27">
        <f>[59]รายจ่าย!$D$25</f>
        <v>1430862</v>
      </c>
      <c r="O107" s="32">
        <f>[59]รายจ่าย!$D$45</f>
        <v>483411.33</v>
      </c>
      <c r="P107" s="28" t="s">
        <v>151</v>
      </c>
    </row>
    <row r="108" spans="1:16" ht="24" customHeight="1">
      <c r="A108" s="24" t="s">
        <v>152</v>
      </c>
      <c r="B108" s="25"/>
      <c r="C108" s="26"/>
      <c r="D108" s="100">
        <f t="shared" si="23"/>
        <v>39992377.659999996</v>
      </c>
      <c r="E108" s="27">
        <f>[60]รายรับ!$D$24+[60]รายรับ!$D$43</f>
        <v>16391474.76</v>
      </c>
      <c r="F108" s="27">
        <f>[60]รายรับ!$D$86</f>
        <v>6351.2</v>
      </c>
      <c r="G108" s="27">
        <f>[60]รายรับ!$D$93</f>
        <v>278762.45</v>
      </c>
      <c r="H108" s="64">
        <f>[60]รายรับ!$D$100</f>
        <v>0</v>
      </c>
      <c r="I108" s="27">
        <f>[60]รายรับ!$D$110</f>
        <v>34802.25</v>
      </c>
      <c r="J108" s="27">
        <f>[60]รายรับ!$D$114+[60]รายรับ!$D$123+[60]รายรับ!$D$131</f>
        <v>23280987</v>
      </c>
      <c r="K108" s="76">
        <f t="shared" si="27"/>
        <v>21722551.609999999</v>
      </c>
      <c r="L108" s="27">
        <f>[60]รายจ่าย!$D$30+[60]รายจ่าย!$D$36+[60]รายจ่าย!$D$46</f>
        <v>13593338.77</v>
      </c>
      <c r="M108" s="27">
        <f>[60]รายจ่าย!$D$40</f>
        <v>4129133.84</v>
      </c>
      <c r="N108" s="27">
        <f>[60]รายจ่าย!$D$25</f>
        <v>825079</v>
      </c>
      <c r="O108" s="27">
        <f>[60]รายจ่าย!$D$45</f>
        <v>3175000</v>
      </c>
      <c r="P108" s="28" t="s">
        <v>153</v>
      </c>
    </row>
    <row r="109" spans="1:16" ht="24" customHeight="1">
      <c r="A109" s="24" t="s">
        <v>154</v>
      </c>
      <c r="B109" s="25"/>
      <c r="C109" s="26"/>
      <c r="D109" s="100">
        <f t="shared" si="23"/>
        <v>34211156.379999995</v>
      </c>
      <c r="E109" s="27">
        <f>[61]รายรับ!$D$24+[61]รายรับ!$D$43</f>
        <v>18609937.109999999</v>
      </c>
      <c r="F109" s="27">
        <f>[61]รายรับ!$D$86</f>
        <v>45688.9</v>
      </c>
      <c r="G109" s="27">
        <f>[61]รายรับ!$D$93</f>
        <v>287767.37</v>
      </c>
      <c r="H109" s="64">
        <f>[61]รายรับ!$D$100</f>
        <v>0</v>
      </c>
      <c r="I109" s="27">
        <f>[61]รายรับ!$D$110</f>
        <v>22250</v>
      </c>
      <c r="J109" s="27">
        <f>[61]รายรับ!$D$114+[61]รายรับ!$D$123+[61]รายรับ!$D$131</f>
        <v>15245513</v>
      </c>
      <c r="K109" s="76">
        <f t="shared" si="27"/>
        <v>23700196.710000001</v>
      </c>
      <c r="L109" s="63">
        <f>[61]รายจ่าย!$D$30+[61]รายจ่าย!$D$36+[61]รายจ่าย!$D$46</f>
        <v>13326783.710000001</v>
      </c>
      <c r="M109" s="63">
        <f>[61]รายจ่าย!$D$40</f>
        <v>4740600</v>
      </c>
      <c r="N109" s="63">
        <f>[61]รายจ่าย!$D$25</f>
        <v>636833</v>
      </c>
      <c r="O109" s="63">
        <f>[61]รายจ่าย!$D$45</f>
        <v>4995980</v>
      </c>
      <c r="P109" s="28" t="s">
        <v>155</v>
      </c>
    </row>
    <row r="110" spans="1:16" ht="24" customHeight="1">
      <c r="A110" s="24" t="s">
        <v>156</v>
      </c>
      <c r="B110" s="25"/>
      <c r="C110" s="26"/>
      <c r="D110" s="100">
        <f t="shared" si="23"/>
        <v>45308051.880000003</v>
      </c>
      <c r="E110" s="27">
        <f>[62]รายรับ!$D$24+[62]รายรับ!$D$43</f>
        <v>18332111.970000003</v>
      </c>
      <c r="F110" s="27">
        <f>[62]รายรับ!$D$86</f>
        <v>79206.2</v>
      </c>
      <c r="G110" s="27">
        <f>[62]รายรับ!$D$93</f>
        <v>386024.71</v>
      </c>
      <c r="H110" s="27">
        <f>[62]รายรับ!$D$100</f>
        <v>0</v>
      </c>
      <c r="I110" s="27">
        <f>[62]รายรับ!$D$110</f>
        <v>31600</v>
      </c>
      <c r="J110" s="27">
        <f>[62]รายรับ!$D$114+[62]รายรับ!$D$123+[62]รายรับ!$D$131</f>
        <v>26479109</v>
      </c>
      <c r="K110" s="76">
        <f t="shared" si="27"/>
        <v>24472210.359999999</v>
      </c>
      <c r="L110" s="63">
        <f>[62]รายจ่าย!$D$30+[62]รายจ่าย!$D$36+[62]รายจ่าย!$D$46</f>
        <v>14817382.359999999</v>
      </c>
      <c r="M110" s="63">
        <f>[62]รายจ่าย!$D$40</f>
        <v>4375144</v>
      </c>
      <c r="N110" s="63">
        <f>[62]รายจ่าย!$D$25</f>
        <v>757684</v>
      </c>
      <c r="O110" s="63">
        <f>[62]รายจ่าย!$D$45</f>
        <v>4522000</v>
      </c>
      <c r="P110" s="24" t="s">
        <v>157</v>
      </c>
    </row>
    <row r="111" spans="1:16" ht="24" customHeight="1">
      <c r="A111" s="24" t="s">
        <v>158</v>
      </c>
      <c r="B111" s="25"/>
      <c r="C111" s="25"/>
      <c r="D111" s="108">
        <f>SUM(E111:J111)</f>
        <v>31746069.32</v>
      </c>
      <c r="E111" s="27">
        <f>[63]รายรับ!$D$24+[63]รายรับ!$D$43</f>
        <v>12604915.109999998</v>
      </c>
      <c r="F111" s="27">
        <f>[63]รายรับ!$D$86</f>
        <v>2567.8000000000002</v>
      </c>
      <c r="G111" s="27">
        <f>[63]รายรับ!$D$93</f>
        <v>49307.41</v>
      </c>
      <c r="H111" s="64">
        <f>[63]รายรับ!$D$100</f>
        <v>0</v>
      </c>
      <c r="I111" s="27">
        <f>[63]รายรับ!$D$110</f>
        <v>230700</v>
      </c>
      <c r="J111" s="27">
        <f>[63]รายรับ!$D$114+[63]รายรับ!$D$123+[63]รายรับ!$D$131</f>
        <v>18858579</v>
      </c>
      <c r="K111" s="76">
        <f t="shared" si="27"/>
        <v>28339800.020000003</v>
      </c>
      <c r="L111" s="63">
        <f>[63]รายจ่าย!$D$30+[63]รายจ่าย!$D$36+[63]รายจ่าย!$D$46</f>
        <v>12645474.690000001</v>
      </c>
      <c r="M111" s="63">
        <f>[63]รายจ่าย!$D$40</f>
        <v>3157764.74</v>
      </c>
      <c r="N111" s="63">
        <f>[63]รายจ่าย!$D$25</f>
        <v>2513850.59</v>
      </c>
      <c r="O111" s="63">
        <f>[63]รายจ่าย!$D$45</f>
        <v>10022710</v>
      </c>
      <c r="P111" s="28" t="s">
        <v>159</v>
      </c>
    </row>
    <row r="112" spans="1:16" ht="24" customHeight="1">
      <c r="A112" s="24" t="s">
        <v>160</v>
      </c>
      <c r="B112" s="25"/>
      <c r="C112" s="26"/>
      <c r="D112" s="100">
        <f t="shared" si="23"/>
        <v>29126707.509999998</v>
      </c>
      <c r="E112" s="27">
        <f>[64]รายรับ!$D$24+[64]รายรับ!$D$43</f>
        <v>13104894.449999999</v>
      </c>
      <c r="F112" s="27">
        <f>[64]รายรับ!$D$86</f>
        <v>5401.2</v>
      </c>
      <c r="G112" s="27">
        <f>[64]รายรับ!$D$93</f>
        <v>205539.86</v>
      </c>
      <c r="H112" s="27">
        <f>[64]รายรับ!$D$100</f>
        <v>0</v>
      </c>
      <c r="I112" s="27">
        <f>[64]รายรับ!$D$110</f>
        <v>31370</v>
      </c>
      <c r="J112" s="27">
        <f>[64]รายรับ!$D$114+[64]รายรับ!$D$123+[64]รายรับ!$D$131</f>
        <v>15779502</v>
      </c>
      <c r="K112" s="76">
        <f t="shared" si="27"/>
        <v>22615545.18</v>
      </c>
      <c r="L112" s="63">
        <f>[64]รายจ่าย!$D$30+[64]รายจ่าย!$D$36+[64]รายจ่าย!$D$46</f>
        <v>19209057.18</v>
      </c>
      <c r="M112" s="63">
        <f>[64]รายจ่าย!$D$40</f>
        <v>1450110</v>
      </c>
      <c r="N112" s="63">
        <f>[64]รายจ่าย!$D$25</f>
        <v>1656378</v>
      </c>
      <c r="O112" s="63">
        <f>[64]รายจ่าย!$D$45</f>
        <v>300000</v>
      </c>
      <c r="P112" s="28" t="s">
        <v>161</v>
      </c>
    </row>
    <row r="113" spans="1:18" ht="24" customHeight="1">
      <c r="A113" s="24" t="s">
        <v>162</v>
      </c>
      <c r="B113" s="25"/>
      <c r="C113" s="26"/>
      <c r="D113" s="100">
        <f t="shared" si="23"/>
        <v>34516467.5</v>
      </c>
      <c r="E113" s="27">
        <f>[65]รายรับ!$D$24+[65]รายรับ!$D$43</f>
        <v>12757838.029999999</v>
      </c>
      <c r="F113" s="27">
        <f>[65]รายรับ!$D$86</f>
        <v>52004.6</v>
      </c>
      <c r="G113" s="27">
        <f>[65]รายรับ!$D$93</f>
        <v>187907.87</v>
      </c>
      <c r="H113" s="27">
        <f>[65]รายรับ!$D$100</f>
        <v>98683</v>
      </c>
      <c r="I113" s="27">
        <f>[65]รายรับ!$D$110</f>
        <v>19950</v>
      </c>
      <c r="J113" s="27">
        <f>[65]รายรับ!$D$114+[65]รายรับ!$D$123+[65]รายรับ!$D$131</f>
        <v>21400084</v>
      </c>
      <c r="K113" s="76">
        <f t="shared" si="27"/>
        <v>19223598.239999998</v>
      </c>
      <c r="L113" s="63">
        <f>[65]รายจ่าย!$D$30+[65]รายจ่าย!$D$36+[65]รายจ่าย!$D$46</f>
        <v>14631228.039999999</v>
      </c>
      <c r="M113" s="63">
        <f>[65]รายจ่าย!$D$40</f>
        <v>3169881.2</v>
      </c>
      <c r="N113" s="63">
        <f>[65]รายจ่าย!$D$25</f>
        <v>1007489</v>
      </c>
      <c r="O113" s="63">
        <f>[65]รายจ่าย!$D$45</f>
        <v>415000</v>
      </c>
      <c r="P113" s="28" t="s">
        <v>163</v>
      </c>
    </row>
    <row r="114" spans="1:18" s="10" customFormat="1">
      <c r="A114" s="8" t="s">
        <v>43</v>
      </c>
      <c r="B114" s="9">
        <v>16.3</v>
      </c>
      <c r="C114" s="40" t="s">
        <v>182</v>
      </c>
      <c r="D114" s="96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12"/>
      <c r="R114" s="15"/>
    </row>
    <row r="115" spans="1:18" s="10" customFormat="1">
      <c r="A115" s="8" t="s">
        <v>44</v>
      </c>
      <c r="B115" s="9">
        <v>16.3</v>
      </c>
      <c r="C115" s="41" t="s">
        <v>48</v>
      </c>
      <c r="D115" s="97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2"/>
      <c r="R115" s="15"/>
    </row>
    <row r="116" spans="1:18" s="10" customFormat="1">
      <c r="A116" s="43"/>
      <c r="B116" s="43"/>
      <c r="C116" s="44" t="s">
        <v>183</v>
      </c>
      <c r="D116" s="98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6"/>
      <c r="R116" s="15"/>
    </row>
    <row r="117" spans="1:18">
      <c r="A117" s="47"/>
      <c r="B117" s="47"/>
      <c r="C117" s="48"/>
      <c r="D117" s="105"/>
      <c r="E117" s="138" t="s">
        <v>45</v>
      </c>
      <c r="F117" s="138"/>
      <c r="G117" s="138"/>
      <c r="H117" s="138"/>
      <c r="I117" s="138"/>
      <c r="J117" s="138"/>
      <c r="K117" s="49"/>
      <c r="L117" s="138" t="s">
        <v>10</v>
      </c>
      <c r="M117" s="138"/>
      <c r="N117" s="138"/>
      <c r="O117" s="138"/>
      <c r="P117" s="47"/>
    </row>
    <row r="118" spans="1:18">
      <c r="A118" s="50"/>
      <c r="B118" s="50"/>
      <c r="C118" s="51"/>
      <c r="D118" s="106"/>
      <c r="E118" s="135" t="s">
        <v>5</v>
      </c>
      <c r="F118" s="135"/>
      <c r="G118" s="135"/>
      <c r="H118" s="135"/>
      <c r="I118" s="135"/>
      <c r="J118" s="135"/>
      <c r="K118" s="52"/>
      <c r="L118" s="135" t="s">
        <v>11</v>
      </c>
      <c r="M118" s="135"/>
      <c r="N118" s="135"/>
      <c r="O118" s="135"/>
      <c r="P118" s="50"/>
    </row>
    <row r="119" spans="1:18">
      <c r="A119" s="133" t="s">
        <v>49</v>
      </c>
      <c r="B119" s="133"/>
      <c r="C119" s="134"/>
      <c r="D119" s="102"/>
      <c r="E119" s="49" t="s">
        <v>2</v>
      </c>
      <c r="F119" s="49" t="s">
        <v>17</v>
      </c>
      <c r="G119" s="49" t="s">
        <v>3</v>
      </c>
      <c r="H119" s="49" t="s">
        <v>4</v>
      </c>
      <c r="I119" s="49" t="s">
        <v>21</v>
      </c>
      <c r="J119" s="49" t="s">
        <v>8</v>
      </c>
      <c r="K119" s="49"/>
      <c r="L119" s="49" t="s">
        <v>12</v>
      </c>
      <c r="M119" s="53" t="s">
        <v>10</v>
      </c>
      <c r="N119" s="53" t="s">
        <v>10</v>
      </c>
      <c r="O119" s="17" t="s">
        <v>8</v>
      </c>
      <c r="P119" s="50" t="s">
        <v>50</v>
      </c>
    </row>
    <row r="120" spans="1:18">
      <c r="A120" s="133" t="s">
        <v>28</v>
      </c>
      <c r="B120" s="133"/>
      <c r="C120" s="134"/>
      <c r="D120" s="102"/>
      <c r="E120" s="53" t="s">
        <v>16</v>
      </c>
      <c r="F120" s="53" t="s">
        <v>18</v>
      </c>
      <c r="G120" s="53" t="s">
        <v>6</v>
      </c>
      <c r="H120" s="53" t="s">
        <v>19</v>
      </c>
      <c r="I120" s="53" t="s">
        <v>7</v>
      </c>
      <c r="J120" s="53" t="s">
        <v>9</v>
      </c>
      <c r="K120" s="53"/>
      <c r="L120" s="53" t="s">
        <v>13</v>
      </c>
      <c r="M120" s="53" t="s">
        <v>26</v>
      </c>
      <c r="N120" s="53" t="s">
        <v>27</v>
      </c>
      <c r="O120" s="18" t="s">
        <v>9</v>
      </c>
      <c r="P120" s="50" t="s">
        <v>25</v>
      </c>
    </row>
    <row r="121" spans="1:18">
      <c r="A121" s="136" t="s">
        <v>29</v>
      </c>
      <c r="B121" s="136"/>
      <c r="C121" s="137"/>
      <c r="D121" s="103"/>
      <c r="E121" s="53" t="s">
        <v>22</v>
      </c>
      <c r="F121" s="53" t="s">
        <v>24</v>
      </c>
      <c r="G121" s="53"/>
      <c r="H121" s="53" t="s">
        <v>20</v>
      </c>
      <c r="I121" s="53"/>
      <c r="J121" s="53"/>
      <c r="K121" s="53"/>
      <c r="L121" s="53" t="s">
        <v>11</v>
      </c>
      <c r="M121" s="53" t="s">
        <v>46</v>
      </c>
      <c r="N121" s="53" t="s">
        <v>14</v>
      </c>
      <c r="O121" s="18"/>
      <c r="P121" s="54" t="s">
        <v>1</v>
      </c>
    </row>
    <row r="122" spans="1:18">
      <c r="A122" s="55"/>
      <c r="B122" s="55"/>
      <c r="C122" s="56"/>
      <c r="D122" s="104"/>
      <c r="E122" s="57"/>
      <c r="F122" s="57"/>
      <c r="G122" s="57"/>
      <c r="H122" s="57"/>
      <c r="I122" s="57"/>
      <c r="J122" s="57"/>
      <c r="K122" s="57"/>
      <c r="L122" s="57"/>
      <c r="M122" s="52" t="s">
        <v>23</v>
      </c>
      <c r="N122" s="52" t="s">
        <v>15</v>
      </c>
      <c r="O122" s="19"/>
      <c r="P122" s="58"/>
    </row>
    <row r="123" spans="1:18" ht="22.5" customHeight="1">
      <c r="A123" s="22" t="s">
        <v>40</v>
      </c>
      <c r="B123" s="59"/>
      <c r="C123" s="91"/>
      <c r="D123" s="100">
        <f t="shared" ref="D123:D132" si="28">SUM(E123:J123)</f>
        <v>177336884.47</v>
      </c>
      <c r="E123" s="60">
        <f t="shared" ref="E123:J123" si="29">SUM(E124:E127)</f>
        <v>63461281.979999989</v>
      </c>
      <c r="F123" s="60">
        <f t="shared" si="29"/>
        <v>37199</v>
      </c>
      <c r="G123" s="60">
        <f t="shared" si="29"/>
        <v>827161.37</v>
      </c>
      <c r="H123" s="61">
        <f t="shared" si="29"/>
        <v>0</v>
      </c>
      <c r="I123" s="60">
        <f t="shared" si="29"/>
        <v>346434</v>
      </c>
      <c r="J123" s="60">
        <f t="shared" si="29"/>
        <v>112664808.12</v>
      </c>
      <c r="K123" s="60">
        <f>SUM(L123:O123)</f>
        <v>111532459.06999998</v>
      </c>
      <c r="L123" s="60">
        <f>SUM(L124:L127)</f>
        <v>57386653.779999994</v>
      </c>
      <c r="M123" s="60">
        <f>SUM(M124:M127)</f>
        <v>20258861.549999997</v>
      </c>
      <c r="N123" s="60">
        <f>SUM(N124:N127)</f>
        <v>20053842</v>
      </c>
      <c r="O123" s="60">
        <f>SUM(O124:O127)</f>
        <v>13833101.74</v>
      </c>
      <c r="P123" s="62" t="s">
        <v>164</v>
      </c>
    </row>
    <row r="124" spans="1:18" ht="22.5" customHeight="1">
      <c r="A124" s="24" t="s">
        <v>40</v>
      </c>
      <c r="B124" s="25"/>
      <c r="C124" s="92"/>
      <c r="D124" s="100">
        <f t="shared" si="28"/>
        <v>50744174.950000003</v>
      </c>
      <c r="E124" s="27">
        <f>[66]รายรับ!$D$24+[66]รายรับ!$D$43</f>
        <v>16355958.319999998</v>
      </c>
      <c r="F124" s="27">
        <f>[66]รายรับ!$D$86</f>
        <v>2991.4</v>
      </c>
      <c r="G124" s="119">
        <f>[66]รายรับ!$D$93</f>
        <v>163139.23000000001</v>
      </c>
      <c r="H124" s="64">
        <f>[66]รายรับ!$D$100</f>
        <v>0</v>
      </c>
      <c r="I124" s="27">
        <f>[66]รายรับ!$D$110</f>
        <v>166466</v>
      </c>
      <c r="J124" s="27">
        <f>[66]รายรับ!$D$114+[66]รายรับ!$D$123+[66]รายรับ!$D$131</f>
        <v>34055620</v>
      </c>
      <c r="K124" s="60">
        <f t="shared" ref="K124:K127" si="30">SUM(L124:O124)</f>
        <v>35304064.609999999</v>
      </c>
      <c r="L124" s="63">
        <f>[66]รายจ่าย!$D$30+[66]รายจ่าย!$D$36+[66]รายจ่าย!$D$46</f>
        <v>14995536.949999999</v>
      </c>
      <c r="M124" s="63">
        <f>[66]รายจ่าย!$D$40</f>
        <v>8450031.6600000001</v>
      </c>
      <c r="N124" s="63">
        <f>[66]รายจ่าย!$D$25</f>
        <v>8402996</v>
      </c>
      <c r="O124" s="63">
        <f>[66]รายจ่าย!$D$45</f>
        <v>3455500</v>
      </c>
      <c r="P124" s="28" t="s">
        <v>165</v>
      </c>
    </row>
    <row r="125" spans="1:18" ht="22.5" customHeight="1">
      <c r="A125" s="24" t="s">
        <v>166</v>
      </c>
      <c r="B125" s="25"/>
      <c r="C125" s="93"/>
      <c r="D125" s="100">
        <f t="shared" si="28"/>
        <v>47617351.189999998</v>
      </c>
      <c r="E125" s="27">
        <f>[67]รายรับ!$D$24+[67]รายรับ!$D$43</f>
        <v>17572821.009999998</v>
      </c>
      <c r="F125" s="27">
        <f>[67]รายรับ!$D$86</f>
        <v>8954</v>
      </c>
      <c r="G125" s="27">
        <f>[67]รายรับ!$D$93</f>
        <v>424300.29</v>
      </c>
      <c r="H125" s="64">
        <f>[67]รายรับ!$D$100</f>
        <v>0</v>
      </c>
      <c r="I125" s="27">
        <f>[67]รายรับ!$D$110</f>
        <v>66000</v>
      </c>
      <c r="J125" s="27">
        <f>[67]รายรับ!$D$114+[67]รายรับ!$D$123+[67]รายรับ!$D$131</f>
        <v>29545275.890000001</v>
      </c>
      <c r="K125" s="60">
        <f t="shared" si="30"/>
        <v>35849450.100000001</v>
      </c>
      <c r="L125" s="63">
        <f>[67]รายจ่าย!$D$30+[67]รายจ่าย!$D$36+[67]รายจ่าย!$D$46</f>
        <v>17771232.289999999</v>
      </c>
      <c r="M125" s="63">
        <f>[67]รายจ่าย!$D$40</f>
        <v>6146874.8100000005</v>
      </c>
      <c r="N125" s="63">
        <f>[67]รายจ่าย!$D$25</f>
        <v>8947343</v>
      </c>
      <c r="O125" s="63">
        <f>[67]รายจ่าย!$D$45</f>
        <v>2984000</v>
      </c>
      <c r="P125" s="28" t="s">
        <v>167</v>
      </c>
    </row>
    <row r="126" spans="1:18" ht="22.5" customHeight="1">
      <c r="A126" s="24" t="s">
        <v>168</v>
      </c>
      <c r="B126" s="25"/>
      <c r="C126" s="92"/>
      <c r="D126" s="100">
        <f t="shared" si="28"/>
        <v>51426531.969999999</v>
      </c>
      <c r="E126" s="27">
        <f>[68]รายรับ!$D$24+[68]รายรับ!$D$43</f>
        <v>17008885.489999998</v>
      </c>
      <c r="F126" s="27">
        <f>[68]รายรับ!$D$86</f>
        <v>20100.400000000001</v>
      </c>
      <c r="G126" s="27">
        <f>[68]รายรับ!$D$93</f>
        <v>239721.85</v>
      </c>
      <c r="H126" s="119">
        <f>[68]รายรับ!$D$100</f>
        <v>0</v>
      </c>
      <c r="I126" s="27">
        <f>[68]รายรับ!$D$110</f>
        <v>87000</v>
      </c>
      <c r="J126" s="27">
        <f>[68]รายรับ!$D$114+[68]รายรับ!$D$123+[68]รายรับ!$D$131</f>
        <v>34070824.230000004</v>
      </c>
      <c r="K126" s="60">
        <f t="shared" si="30"/>
        <v>26950361.880000003</v>
      </c>
      <c r="L126" s="63">
        <f>[68]รายจ่าย!$D$30+[68]รายจ่าย!$D$36+[68]รายจ่าย!$D$46</f>
        <v>15372235.140000001</v>
      </c>
      <c r="M126" s="63">
        <f>[68]รายจ่าย!$D$40</f>
        <v>4200900</v>
      </c>
      <c r="N126" s="63">
        <f>[68]รายจ่าย!$D$25</f>
        <v>2070007</v>
      </c>
      <c r="O126" s="63">
        <f>[68]รายจ่าย!$D$45</f>
        <v>5307219.74</v>
      </c>
      <c r="P126" s="28" t="s">
        <v>169</v>
      </c>
    </row>
    <row r="127" spans="1:18" ht="22.5" customHeight="1">
      <c r="A127" s="24" t="s">
        <v>170</v>
      </c>
      <c r="B127" s="25"/>
      <c r="C127" s="93"/>
      <c r="D127" s="100">
        <f t="shared" si="28"/>
        <v>27548826.359999999</v>
      </c>
      <c r="E127" s="27">
        <f>[69]รายรับ!$D$24+[69]รายรับ!$D$43</f>
        <v>12523617.16</v>
      </c>
      <c r="F127" s="27">
        <f>[69]รายรับ!$D$86</f>
        <v>5153.2</v>
      </c>
      <c r="G127" s="64">
        <f>[69]รายรับ!$D$93</f>
        <v>0</v>
      </c>
      <c r="H127" s="64">
        <f>[69]รายรับ!$D$100</f>
        <v>0</v>
      </c>
      <c r="I127" s="27">
        <f>[69]รายรับ!$D$110</f>
        <v>26968</v>
      </c>
      <c r="J127" s="27">
        <f>[69]รายรับ!$D$114+[69]รายรับ!$D$123+[69]รายรับ!$D$131</f>
        <v>14993088</v>
      </c>
      <c r="K127" s="60">
        <f t="shared" si="30"/>
        <v>13428582.479999999</v>
      </c>
      <c r="L127" s="27">
        <f>[69]รายจ่าย!$D$30+[69]รายจ่าย!$D$36+[69]รายจ่าย!$D$46</f>
        <v>9247649.3999999985</v>
      </c>
      <c r="M127" s="27">
        <f>[69]รายจ่าย!$D$40</f>
        <v>1461055.08</v>
      </c>
      <c r="N127" s="27">
        <f>[69]รายจ่าย!$D$25</f>
        <v>633496</v>
      </c>
      <c r="O127" s="27">
        <f>[69]รายจ่าย!$D$45</f>
        <v>2086382</v>
      </c>
      <c r="P127" s="24" t="s">
        <v>171</v>
      </c>
    </row>
    <row r="128" spans="1:18" ht="22.5" customHeight="1">
      <c r="A128" s="22" t="s">
        <v>41</v>
      </c>
      <c r="B128" s="59"/>
      <c r="C128" s="94"/>
      <c r="D128" s="100">
        <f t="shared" si="28"/>
        <v>43749357.640000001</v>
      </c>
      <c r="E128" s="65">
        <f t="shared" ref="E128:J128" si="31">SUM(E129:E129)</f>
        <v>21977339.140000001</v>
      </c>
      <c r="F128" s="65">
        <f t="shared" si="31"/>
        <v>6780</v>
      </c>
      <c r="G128" s="65">
        <f t="shared" si="31"/>
        <v>122726.5</v>
      </c>
      <c r="H128" s="32">
        <f t="shared" si="31"/>
        <v>0</v>
      </c>
      <c r="I128" s="65">
        <f t="shared" si="31"/>
        <v>66130</v>
      </c>
      <c r="J128" s="65">
        <f t="shared" si="31"/>
        <v>21576382</v>
      </c>
      <c r="K128" s="60">
        <f>SUM(L128:O128)</f>
        <v>40331773.68</v>
      </c>
      <c r="L128" s="66">
        <f>SUM(L129:L129)</f>
        <v>25729898.68</v>
      </c>
      <c r="M128" s="66">
        <f>SUM(M129:M129)</f>
        <v>9528700</v>
      </c>
      <c r="N128" s="66">
        <f>SUM(N129:N129)</f>
        <v>1075175</v>
      </c>
      <c r="O128" s="66">
        <f>SUM(O129:O129)</f>
        <v>3998000</v>
      </c>
      <c r="P128" s="22" t="s">
        <v>172</v>
      </c>
    </row>
    <row r="129" spans="1:18" ht="22.5" customHeight="1">
      <c r="A129" s="24" t="s">
        <v>41</v>
      </c>
      <c r="B129" s="25"/>
      <c r="C129" s="92"/>
      <c r="D129" s="100">
        <f t="shared" si="28"/>
        <v>43749357.640000001</v>
      </c>
      <c r="E129" s="27">
        <f>[70]รายรับ!$D$24+[70]รายรับ!$D$43</f>
        <v>21977339.140000001</v>
      </c>
      <c r="F129" s="27">
        <f>[70]รายรับ!$D$86</f>
        <v>6780</v>
      </c>
      <c r="G129" s="27">
        <f>[70]รายรับ!$D$93</f>
        <v>122726.5</v>
      </c>
      <c r="H129" s="64">
        <f>[70]รายรับ!$D$100</f>
        <v>0</v>
      </c>
      <c r="I129" s="27">
        <f>[70]รายรับ!$D$110</f>
        <v>66130</v>
      </c>
      <c r="J129" s="27">
        <f>[70]รายรับ!$D$114+[70]รายรับ!$D$123+[70]รายรับ!$D$131</f>
        <v>21576382</v>
      </c>
      <c r="K129" s="60">
        <f>SUM(L129:O129)</f>
        <v>40331773.68</v>
      </c>
      <c r="L129" s="27">
        <f>[70]รายจ่าย!$D$30+[70]รายจ่าย!$D$36+[70]รายจ่าย!$D$46</f>
        <v>25729898.68</v>
      </c>
      <c r="M129" s="27">
        <f>[70]รายจ่าย!$D$40</f>
        <v>9528700</v>
      </c>
      <c r="N129" s="27">
        <f>[70]รายจ่าย!$D$25</f>
        <v>1075175</v>
      </c>
      <c r="O129" s="27">
        <f>[70]รายจ่าย!$D$45</f>
        <v>3998000</v>
      </c>
      <c r="P129" s="28" t="s">
        <v>173</v>
      </c>
    </row>
    <row r="130" spans="1:18" ht="22.5" customHeight="1">
      <c r="A130" s="22" t="s">
        <v>42</v>
      </c>
      <c r="B130" s="59"/>
      <c r="C130" s="94"/>
      <c r="D130" s="100">
        <f t="shared" si="28"/>
        <v>90101311.079999998</v>
      </c>
      <c r="E130" s="65">
        <f t="shared" ref="E130:J130" si="32">SUM(E131:E132)</f>
        <v>34338626.899999999</v>
      </c>
      <c r="F130" s="65">
        <f t="shared" si="32"/>
        <v>195783.26</v>
      </c>
      <c r="G130" s="65">
        <f t="shared" si="32"/>
        <v>1018827.9199999999</v>
      </c>
      <c r="H130" s="65">
        <f t="shared" si="32"/>
        <v>0</v>
      </c>
      <c r="I130" s="65">
        <f t="shared" si="32"/>
        <v>109560</v>
      </c>
      <c r="J130" s="65">
        <f t="shared" si="32"/>
        <v>54438513</v>
      </c>
      <c r="K130" s="60">
        <f>SUM(L130:O130)</f>
        <v>48232102.530000001</v>
      </c>
      <c r="L130" s="66">
        <f>SUM(L131:L132)</f>
        <v>27470127.640000001</v>
      </c>
      <c r="M130" s="66">
        <f>SUM(M131:M132)</f>
        <v>10883072.35</v>
      </c>
      <c r="N130" s="66">
        <f>SUM(N131:N132)</f>
        <v>2808905.96</v>
      </c>
      <c r="O130" s="66">
        <f>SUM(O131:O132)</f>
        <v>7069996.5800000001</v>
      </c>
      <c r="P130" s="22" t="s">
        <v>174</v>
      </c>
    </row>
    <row r="131" spans="1:18" ht="22.5" customHeight="1">
      <c r="A131" s="24" t="s">
        <v>175</v>
      </c>
      <c r="B131" s="25"/>
      <c r="C131" s="93"/>
      <c r="D131" s="100">
        <f t="shared" si="28"/>
        <v>28567634.020000003</v>
      </c>
      <c r="E131" s="67">
        <f>[71]รายรับ!$D$24+[71]รายรับ!$D$43</f>
        <v>12856977.300000001</v>
      </c>
      <c r="F131" s="67">
        <f>[71]รายรับ!$D$86</f>
        <v>124678.26000000001</v>
      </c>
      <c r="G131" s="67">
        <f>[71]รายรับ!$D$93</f>
        <v>204736.46</v>
      </c>
      <c r="H131" s="64">
        <f>[71]รายรับ!$D$100</f>
        <v>0</v>
      </c>
      <c r="I131" s="67">
        <f>[71]รายรับ!$D$110</f>
        <v>21600</v>
      </c>
      <c r="J131" s="67">
        <f>[71]รายรับ!$D$114+[71]รายรับ!$D$123+[71]รายรับ!$D$131</f>
        <v>15359642</v>
      </c>
      <c r="K131" s="60">
        <f t="shared" ref="K131:K132" si="33">SUM(L131:O131)</f>
        <v>18087010.670000002</v>
      </c>
      <c r="L131" s="63">
        <f>[71]รายจ่าย!$D$30+[71]รายจ่าย!$D$36+[71]รายจ่าย!$D$46</f>
        <v>10419832.5</v>
      </c>
      <c r="M131" s="63">
        <f>[71]รายจ่าย!$D$40</f>
        <v>5099125.17</v>
      </c>
      <c r="N131" s="63">
        <f>[71]รายจ่าย!$D$25</f>
        <v>500053</v>
      </c>
      <c r="O131" s="63">
        <f>[71]รายจ่าย!$D$45</f>
        <v>2068000</v>
      </c>
      <c r="P131" s="28" t="s">
        <v>176</v>
      </c>
    </row>
    <row r="132" spans="1:18" ht="22.5" customHeight="1">
      <c r="A132" s="24" t="s">
        <v>177</v>
      </c>
      <c r="B132" s="25"/>
      <c r="C132" s="92"/>
      <c r="D132" s="100">
        <f t="shared" si="28"/>
        <v>61533677.060000002</v>
      </c>
      <c r="E132" s="67">
        <f>[72]รายรับ!$D$24+[72]รายรับ!$D$43</f>
        <v>21481649.599999998</v>
      </c>
      <c r="F132" s="67">
        <f>[72]รายรับ!$D$86</f>
        <v>71105</v>
      </c>
      <c r="G132" s="119">
        <f>[72]รายรับ!$D$93</f>
        <v>814091.46</v>
      </c>
      <c r="H132" s="67">
        <f>[72]รายรับ!$D$100</f>
        <v>0</v>
      </c>
      <c r="I132" s="67">
        <f>[72]รายรับ!$D$110</f>
        <v>87960</v>
      </c>
      <c r="J132" s="67">
        <f>[72]รายรับ!$D$114+[72]รายรับ!$D$123+[72]รายรับ!$D$131</f>
        <v>39078871</v>
      </c>
      <c r="K132" s="60">
        <f t="shared" si="33"/>
        <v>30145091.859999999</v>
      </c>
      <c r="L132" s="63">
        <f>[72]รายจ่าย!$D$30+[72]รายจ่าย!$D$36+[72]รายจ่าย!$D$46</f>
        <v>17050295.140000001</v>
      </c>
      <c r="M132" s="63">
        <f>[72]รายจ่าย!$D$40</f>
        <v>5783947.1799999997</v>
      </c>
      <c r="N132" s="63">
        <f>[72]รายจ่าย!$D$25</f>
        <v>2308852.96</v>
      </c>
      <c r="O132" s="63">
        <f>[72]รายจ่าย!$D$45</f>
        <v>5001996.58</v>
      </c>
      <c r="P132" s="28" t="s">
        <v>178</v>
      </c>
    </row>
    <row r="133" spans="1:18" ht="10.5" customHeight="1">
      <c r="A133" s="68"/>
      <c r="B133" s="68"/>
      <c r="C133" s="69"/>
      <c r="D133" s="109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68"/>
    </row>
    <row r="134" spans="1:18" ht="10.5" customHeight="1">
      <c r="C134" s="71"/>
      <c r="D134" s="110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20"/>
    </row>
    <row r="135" spans="1:18" s="35" customFormat="1" ht="21" customHeight="1">
      <c r="A135" s="3" t="s">
        <v>179</v>
      </c>
      <c r="B135" s="1" t="s">
        <v>206</v>
      </c>
      <c r="C135" s="2"/>
      <c r="D135" s="2"/>
      <c r="E135" s="4"/>
      <c r="F135" s="5"/>
      <c r="G135" s="34"/>
      <c r="H135" s="34"/>
      <c r="I135" s="34"/>
      <c r="J135" s="6"/>
      <c r="K135" s="6"/>
      <c r="L135" s="7"/>
      <c r="M135" s="36"/>
      <c r="N135" s="33"/>
      <c r="O135" s="33"/>
      <c r="P135" s="36"/>
      <c r="R135" s="15"/>
    </row>
    <row r="136" spans="1:18">
      <c r="A136" s="4" t="s">
        <v>180</v>
      </c>
      <c r="B136" s="95" t="s">
        <v>207</v>
      </c>
      <c r="C136" s="2"/>
      <c r="D136" s="4"/>
      <c r="E136" s="36"/>
    </row>
  </sheetData>
  <mergeCells count="35">
    <mergeCell ref="A120:C120"/>
    <mergeCell ref="A121:C121"/>
    <mergeCell ref="A92:C92"/>
    <mergeCell ref="A93:C93"/>
    <mergeCell ref="A94:C94"/>
    <mergeCell ref="L118:O118"/>
    <mergeCell ref="E90:J90"/>
    <mergeCell ref="L90:O90"/>
    <mergeCell ref="E91:J91"/>
    <mergeCell ref="A119:C119"/>
    <mergeCell ref="L91:O91"/>
    <mergeCell ref="E118:J118"/>
    <mergeCell ref="A63:C63"/>
    <mergeCell ref="A64:C64"/>
    <mergeCell ref="A65:C65"/>
    <mergeCell ref="E117:J117"/>
    <mergeCell ref="L117:O117"/>
    <mergeCell ref="A7:C7"/>
    <mergeCell ref="L62:O62"/>
    <mergeCell ref="A8:C8"/>
    <mergeCell ref="E32:J32"/>
    <mergeCell ref="L32:O32"/>
    <mergeCell ref="E33:J33"/>
    <mergeCell ref="L33:O33"/>
    <mergeCell ref="A34:C34"/>
    <mergeCell ref="A35:C35"/>
    <mergeCell ref="A36:C36"/>
    <mergeCell ref="E61:J61"/>
    <mergeCell ref="L61:O61"/>
    <mergeCell ref="E62:J62"/>
    <mergeCell ref="E4:J4"/>
    <mergeCell ref="L4:O4"/>
    <mergeCell ref="E5:J5"/>
    <mergeCell ref="L5:O5"/>
    <mergeCell ref="A6:C6"/>
  </mergeCells>
  <printOptions horizontalCentered="1"/>
  <pageMargins left="0.59055118110236227" right="0.27559055118110237" top="0.98425196850393704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R29"/>
  <sheetViews>
    <sheetView view="pageBreakPreview" zoomScaleNormal="90" zoomScaleSheetLayoutView="100" workbookViewId="0">
      <selection activeCell="I8" sqref="I8"/>
    </sheetView>
  </sheetViews>
  <sheetFormatPr defaultRowHeight="18.75"/>
  <cols>
    <col min="1" max="1" width="6.85546875" style="20" customWidth="1"/>
    <col min="2" max="2" width="4.85546875" style="20" customWidth="1"/>
    <col min="3" max="3" width="6" style="14" customWidth="1"/>
    <col min="4" max="4" width="15.5703125" style="111" hidden="1" customWidth="1"/>
    <col min="5" max="5" width="14" style="37" customWidth="1"/>
    <col min="6" max="6" width="13.42578125" style="37" customWidth="1"/>
    <col min="7" max="7" width="11.85546875" style="37" customWidth="1"/>
    <col min="8" max="8" width="11.5703125" style="37" customWidth="1"/>
    <col min="9" max="9" width="12" style="37" customWidth="1"/>
    <col min="10" max="10" width="14.140625" style="37" customWidth="1"/>
    <col min="11" max="11" width="15.85546875" style="37" hidden="1" customWidth="1"/>
    <col min="12" max="12" width="13.85546875" style="37" customWidth="1"/>
    <col min="13" max="13" width="13.28515625" style="37" customWidth="1"/>
    <col min="14" max="15" width="12.5703125" style="37" customWidth="1"/>
    <col min="16" max="16" width="23.28515625" style="33" customWidth="1"/>
    <col min="17" max="17" width="0.85546875" style="14" customWidth="1"/>
    <col min="18" max="18" width="8.85546875" style="15" customWidth="1"/>
    <col min="19" max="16384" width="9.140625" style="14"/>
  </cols>
  <sheetData>
    <row r="1" spans="1:18" s="10" customFormat="1" ht="21" customHeight="1">
      <c r="A1" s="8" t="s">
        <v>43</v>
      </c>
      <c r="B1" s="9">
        <v>16.3</v>
      </c>
      <c r="C1" s="40" t="s">
        <v>211</v>
      </c>
      <c r="D1" s="9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2"/>
      <c r="R1" s="16"/>
    </row>
    <row r="2" spans="1:18" s="81" customFormat="1" ht="21" customHeight="1">
      <c r="A2" s="8" t="s">
        <v>44</v>
      </c>
      <c r="B2" s="9">
        <v>16.3</v>
      </c>
      <c r="C2" s="41" t="s">
        <v>210</v>
      </c>
      <c r="D2" s="9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R2" s="15"/>
    </row>
    <row r="3" spans="1:18" s="10" customFormat="1">
      <c r="A3" s="43"/>
      <c r="B3" s="43"/>
      <c r="C3" s="44"/>
      <c r="D3" s="9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12" t="s">
        <v>203</v>
      </c>
      <c r="R3" s="15"/>
    </row>
    <row r="4" spans="1:18" s="30" customFormat="1" ht="19.5" customHeight="1">
      <c r="A4" s="47"/>
      <c r="B4" s="47"/>
      <c r="C4" s="48"/>
      <c r="D4" s="105"/>
      <c r="E4" s="138" t="s">
        <v>45</v>
      </c>
      <c r="F4" s="138"/>
      <c r="G4" s="138"/>
      <c r="H4" s="138"/>
      <c r="I4" s="138"/>
      <c r="J4" s="138"/>
      <c r="K4" s="49"/>
      <c r="L4" s="138" t="s">
        <v>10</v>
      </c>
      <c r="M4" s="138"/>
      <c r="N4" s="138"/>
      <c r="O4" s="138"/>
      <c r="P4" s="47"/>
      <c r="R4" s="15"/>
    </row>
    <row r="5" spans="1:18" ht="19.5" customHeight="1">
      <c r="A5" s="50"/>
      <c r="B5" s="50"/>
      <c r="C5" s="51"/>
      <c r="D5" s="106"/>
      <c r="E5" s="135" t="s">
        <v>5</v>
      </c>
      <c r="F5" s="135"/>
      <c r="G5" s="135"/>
      <c r="H5" s="135"/>
      <c r="I5" s="135"/>
      <c r="J5" s="135"/>
      <c r="K5" s="52"/>
      <c r="L5" s="135" t="s">
        <v>11</v>
      </c>
      <c r="M5" s="135"/>
      <c r="N5" s="135"/>
      <c r="O5" s="135"/>
      <c r="P5" s="50"/>
    </row>
    <row r="6" spans="1:18" ht="19.5" customHeight="1">
      <c r="A6" s="133" t="s">
        <v>49</v>
      </c>
      <c r="B6" s="133"/>
      <c r="C6" s="134"/>
      <c r="D6" s="102"/>
      <c r="E6" s="49" t="s">
        <v>2</v>
      </c>
      <c r="F6" s="49" t="s">
        <v>17</v>
      </c>
      <c r="G6" s="49" t="s">
        <v>3</v>
      </c>
      <c r="H6" s="49" t="s">
        <v>4</v>
      </c>
      <c r="I6" s="49" t="s">
        <v>21</v>
      </c>
      <c r="J6" s="49" t="s">
        <v>8</v>
      </c>
      <c r="K6" s="49"/>
      <c r="L6" s="49" t="s">
        <v>12</v>
      </c>
      <c r="M6" s="53" t="s">
        <v>10</v>
      </c>
      <c r="N6" s="53" t="s">
        <v>10</v>
      </c>
      <c r="O6" s="49" t="s">
        <v>8</v>
      </c>
      <c r="P6" s="50" t="s">
        <v>50</v>
      </c>
    </row>
    <row r="7" spans="1:18" ht="19.5" customHeight="1">
      <c r="A7" s="133" t="s">
        <v>28</v>
      </c>
      <c r="B7" s="133"/>
      <c r="C7" s="134"/>
      <c r="D7" s="102"/>
      <c r="E7" s="53" t="s">
        <v>16</v>
      </c>
      <c r="F7" s="53" t="s">
        <v>18</v>
      </c>
      <c r="G7" s="53" t="s">
        <v>6</v>
      </c>
      <c r="H7" s="53" t="s">
        <v>19</v>
      </c>
      <c r="I7" s="53" t="s">
        <v>7</v>
      </c>
      <c r="J7" s="53" t="s">
        <v>9</v>
      </c>
      <c r="K7" s="53"/>
      <c r="L7" s="53" t="s">
        <v>13</v>
      </c>
      <c r="M7" s="53" t="s">
        <v>26</v>
      </c>
      <c r="N7" s="53" t="s">
        <v>27</v>
      </c>
      <c r="O7" s="53" t="s">
        <v>9</v>
      </c>
      <c r="P7" s="50" t="s">
        <v>25</v>
      </c>
    </row>
    <row r="8" spans="1:18" ht="19.5" customHeight="1">
      <c r="A8" s="136" t="s">
        <v>29</v>
      </c>
      <c r="B8" s="136"/>
      <c r="C8" s="137"/>
      <c r="D8" s="103"/>
      <c r="E8" s="53" t="s">
        <v>22</v>
      </c>
      <c r="F8" s="53" t="s">
        <v>24</v>
      </c>
      <c r="G8" s="53"/>
      <c r="H8" s="53" t="s">
        <v>20</v>
      </c>
      <c r="I8" s="53"/>
      <c r="J8" s="53"/>
      <c r="K8" s="53"/>
      <c r="L8" s="53" t="s">
        <v>11</v>
      </c>
      <c r="M8" s="123" t="s">
        <v>209</v>
      </c>
      <c r="N8" s="53" t="s">
        <v>14</v>
      </c>
      <c r="O8" s="53"/>
      <c r="P8" s="50" t="s">
        <v>1</v>
      </c>
    </row>
    <row r="9" spans="1:18" s="30" customFormat="1" ht="19.5" customHeight="1">
      <c r="A9" s="55"/>
      <c r="B9" s="55"/>
      <c r="C9" s="56"/>
      <c r="D9" s="104"/>
      <c r="E9" s="57"/>
      <c r="F9" s="57"/>
      <c r="G9" s="57"/>
      <c r="H9" s="57"/>
      <c r="I9" s="57"/>
      <c r="J9" s="57"/>
      <c r="K9" s="57"/>
      <c r="L9" s="57"/>
      <c r="M9" s="122" t="s">
        <v>208</v>
      </c>
      <c r="N9" s="52" t="s">
        <v>15</v>
      </c>
      <c r="O9" s="57"/>
      <c r="P9" s="55"/>
      <c r="R9" s="15"/>
    </row>
    <row r="10" spans="1:18" s="30" customFormat="1" ht="21" customHeight="1">
      <c r="A10" s="22" t="s">
        <v>32</v>
      </c>
      <c r="B10" s="59"/>
      <c r="C10" s="59"/>
      <c r="D10" s="100">
        <f t="shared" ref="D10:D22" si="0">SUM(E10:J10)</f>
        <v>249227463.38</v>
      </c>
      <c r="E10" s="60">
        <f t="shared" ref="E10:J10" si="1">SUM(E11:E16)</f>
        <v>100465698.16000001</v>
      </c>
      <c r="F10" s="60">
        <f t="shared" si="1"/>
        <v>523576.60000000003</v>
      </c>
      <c r="G10" s="60">
        <f t="shared" si="1"/>
        <v>1446059.8499999999</v>
      </c>
      <c r="H10" s="32">
        <v>0</v>
      </c>
      <c r="I10" s="60">
        <f t="shared" si="1"/>
        <v>632557</v>
      </c>
      <c r="J10" s="60">
        <f t="shared" si="1"/>
        <v>146159571.76999998</v>
      </c>
      <c r="K10" s="65">
        <f>SUM(L10:O10)</f>
        <v>157759626.18000001</v>
      </c>
      <c r="L10" s="60">
        <f>SUM(L11:L16)</f>
        <v>85420819.960000008</v>
      </c>
      <c r="M10" s="60">
        <f>SUM(M11:M16)</f>
        <v>29651628.32</v>
      </c>
      <c r="N10" s="60">
        <f>SUM(N11:N16)</f>
        <v>14392294.199999999</v>
      </c>
      <c r="O10" s="60">
        <f>SUM(O11:O16)</f>
        <v>28294883.700000003</v>
      </c>
      <c r="P10" s="22" t="s">
        <v>69</v>
      </c>
      <c r="R10" s="15"/>
    </row>
    <row r="11" spans="1:18" s="30" customFormat="1" ht="21" customHeight="1">
      <c r="A11" s="24" t="s">
        <v>32</v>
      </c>
      <c r="B11" s="25"/>
      <c r="C11" s="26"/>
      <c r="D11" s="100">
        <f t="shared" si="0"/>
        <v>41893826.799999997</v>
      </c>
      <c r="E11" s="27">
        <f>[16]รายรับ!$D$24+[16]รายรับ!$D$43</f>
        <v>15724541.800000001</v>
      </c>
      <c r="F11" s="64">
        <f>[16]รายรับ!$D$86</f>
        <v>0</v>
      </c>
      <c r="G11" s="64">
        <f>[16]รายรับ!$D$93</f>
        <v>0</v>
      </c>
      <c r="H11" s="64">
        <v>0</v>
      </c>
      <c r="I11" s="64">
        <v>0</v>
      </c>
      <c r="J11" s="27">
        <f>[16]รายรับ!$D$114+[16]รายรับ!$D$123+[16]รายรับ!$D$131</f>
        <v>26169285</v>
      </c>
      <c r="K11" s="65">
        <f t="shared" ref="K11:K16" si="2">SUM(L11:O11)</f>
        <v>24020531.48</v>
      </c>
      <c r="L11" s="27">
        <f>[16]รายจ่าย!$D$30+[16]รายจ่าย!$D$36+[16]รายจ่าย!$D$46</f>
        <v>12858952.32</v>
      </c>
      <c r="M11" s="27">
        <f>[16]รายจ่าย!$D$40</f>
        <v>7439759.1600000001</v>
      </c>
      <c r="N11" s="27">
        <f>[16]รายจ่าย!$D$25</f>
        <v>873764</v>
      </c>
      <c r="O11" s="27">
        <f>[16]รายจ่าย!$D$45</f>
        <v>2848056</v>
      </c>
      <c r="P11" s="28" t="s">
        <v>70</v>
      </c>
      <c r="R11" s="15"/>
    </row>
    <row r="12" spans="1:18" s="30" customFormat="1" ht="21" customHeight="1">
      <c r="A12" s="24" t="s">
        <v>71</v>
      </c>
      <c r="B12" s="25"/>
      <c r="C12" s="26"/>
      <c r="D12" s="100">
        <f t="shared" si="0"/>
        <v>62407396.780000001</v>
      </c>
      <c r="E12" s="27">
        <f>[17]รายรับ!$D$24+[17]รายรับ!$D$43</f>
        <v>23497306.420000006</v>
      </c>
      <c r="F12" s="27">
        <f>[17]รายรับ!$D$86</f>
        <v>242500.8</v>
      </c>
      <c r="G12" s="27">
        <f>[17]รายรับ!$D$93</f>
        <v>563199.93999999994</v>
      </c>
      <c r="H12" s="64">
        <v>0</v>
      </c>
      <c r="I12" s="27">
        <f>[17]รายรับ!$D$110</f>
        <v>168000</v>
      </c>
      <c r="J12" s="27">
        <f>[17]รายรับ!$D$114+[17]รายรับ!$D$123+[17]รายรับ!$D$131</f>
        <v>37936389.619999997</v>
      </c>
      <c r="K12" s="65">
        <f t="shared" si="2"/>
        <v>24402216.810000002</v>
      </c>
      <c r="L12" s="27">
        <f>[17]รายจ่าย!$D$30+[17]รายจ่าย!$D$36+[17]รายจ่าย!$D$46</f>
        <v>15719980.810000001</v>
      </c>
      <c r="M12" s="27">
        <f>[17]รายจ่าย!$D$40</f>
        <v>3013600</v>
      </c>
      <c r="N12" s="27">
        <f>[17]รายจ่าย!$D$25</f>
        <v>922636</v>
      </c>
      <c r="O12" s="27">
        <f>[17]รายจ่าย!$D$45</f>
        <v>4746000</v>
      </c>
      <c r="P12" s="28" t="s">
        <v>72</v>
      </c>
      <c r="R12" s="15"/>
    </row>
    <row r="13" spans="1:18" s="30" customFormat="1" ht="21" customHeight="1">
      <c r="A13" s="24" t="s">
        <v>73</v>
      </c>
      <c r="B13" s="25"/>
      <c r="C13" s="25"/>
      <c r="D13" s="100">
        <f t="shared" si="0"/>
        <v>18780947.619999997</v>
      </c>
      <c r="E13" s="27">
        <f>[18]รายรับ!$D$24+[18]รายรับ!$D$43</f>
        <v>12587496.66</v>
      </c>
      <c r="F13" s="27">
        <f>[18]รายรับ!$D$86</f>
        <v>3138.6</v>
      </c>
      <c r="G13" s="27">
        <f>[18]รายรับ!$D$93</f>
        <v>115087.69</v>
      </c>
      <c r="H13" s="64">
        <v>0</v>
      </c>
      <c r="I13" s="27">
        <f>[18]รายรับ!$D$110</f>
        <v>45207</v>
      </c>
      <c r="J13" s="27">
        <f>[18]รายรับ!$D$114+[18]รายรับ!$D$123+[18]รายรับ!$D$131</f>
        <v>6030017.6699999999</v>
      </c>
      <c r="K13" s="65">
        <f t="shared" si="2"/>
        <v>17378822.140000001</v>
      </c>
      <c r="L13" s="27">
        <f>[18]รายจ่าย!$D$30+[18]รายจ่าย!$D$36+[18]รายจ่าย!$D$46</f>
        <v>13301011.140000001</v>
      </c>
      <c r="M13" s="27">
        <f>[18]รายจ่าย!$D$40</f>
        <v>1574200</v>
      </c>
      <c r="N13" s="27">
        <f>[18]รายจ่าย!$D$25</f>
        <v>639611</v>
      </c>
      <c r="O13" s="27">
        <f>[18]รายจ่าย!$D$45</f>
        <v>1864000</v>
      </c>
      <c r="P13" s="28" t="s">
        <v>187</v>
      </c>
      <c r="R13" s="15"/>
    </row>
    <row r="14" spans="1:18" s="30" customFormat="1" ht="21" customHeight="1">
      <c r="A14" s="24" t="s">
        <v>74</v>
      </c>
      <c r="B14" s="25"/>
      <c r="C14" s="25"/>
      <c r="D14" s="100">
        <f t="shared" si="0"/>
        <v>46205816.260000005</v>
      </c>
      <c r="E14" s="27">
        <f>[19]รายรับ!$D$24+[19]รายรับ!$D$43</f>
        <v>19743856.200000003</v>
      </c>
      <c r="F14" s="27">
        <f>[19]รายรับ!$D$86</f>
        <v>261038.4</v>
      </c>
      <c r="G14" s="27">
        <f>[19]รายรับ!$D$93</f>
        <v>373084.18</v>
      </c>
      <c r="H14" s="64">
        <v>0</v>
      </c>
      <c r="I14" s="27">
        <f>[19]รายรับ!$D$110</f>
        <v>153790</v>
      </c>
      <c r="J14" s="27">
        <f>[19]รายรับ!$D$114+[19]รายรับ!$D$123+[19]รายรับ!$D$131</f>
        <v>25674047.48</v>
      </c>
      <c r="K14" s="65">
        <f t="shared" si="2"/>
        <v>45295680.560000002</v>
      </c>
      <c r="L14" s="27">
        <f>[19]รายจ่าย!$D$30+[19]รายจ่าย!$D$36+[19]รายจ่าย!$D$46</f>
        <v>17883217.48</v>
      </c>
      <c r="M14" s="27">
        <f>[19]รายจ่าย!$D$40</f>
        <v>13332609.08</v>
      </c>
      <c r="N14" s="27">
        <f>[19]รายจ่าย!$D$25</f>
        <v>9787854</v>
      </c>
      <c r="O14" s="27">
        <f>[19]รายจ่าย!$D$45</f>
        <v>4292000</v>
      </c>
      <c r="P14" s="28" t="s">
        <v>75</v>
      </c>
      <c r="R14" s="15"/>
    </row>
    <row r="15" spans="1:18" s="30" customFormat="1" ht="21" customHeight="1">
      <c r="A15" s="24" t="s">
        <v>76</v>
      </c>
      <c r="B15" s="25"/>
      <c r="C15" s="26"/>
      <c r="D15" s="100">
        <f t="shared" si="0"/>
        <v>51674834.870000005</v>
      </c>
      <c r="E15" s="27">
        <f>[20]รายรับ!$D$24+[20]รายรับ!$D$43</f>
        <v>16676206.010000002</v>
      </c>
      <c r="F15" s="27">
        <f>[20]รายรับ!$D$86</f>
        <v>14094.4</v>
      </c>
      <c r="G15" s="27">
        <f>[20]รายรับ!$D$93</f>
        <v>241820.46</v>
      </c>
      <c r="H15" s="64">
        <v>0</v>
      </c>
      <c r="I15" s="27">
        <f>[20]รายรับ!$D$110</f>
        <v>138650</v>
      </c>
      <c r="J15" s="27">
        <f>[20]รายรับ!$D$114+[20]รายรับ!$D$123+[20]รายรับ!$D$131</f>
        <v>34604064</v>
      </c>
      <c r="K15" s="65">
        <f t="shared" si="2"/>
        <v>22782919.91</v>
      </c>
      <c r="L15" s="27">
        <f>[20]รายจ่าย!$D$30+[20]รายจ่าย!$D$36+[20]รายจ่าย!$D$46</f>
        <v>14857628.530000001</v>
      </c>
      <c r="M15" s="27">
        <f>[20]รายจ่าย!$D$40</f>
        <v>3007580.08</v>
      </c>
      <c r="N15" s="27">
        <f>[20]รายจ่าย!$D$25</f>
        <v>805723</v>
      </c>
      <c r="O15" s="27">
        <f>[20]รายจ่าย!$D$45</f>
        <v>4111988.3</v>
      </c>
      <c r="P15" s="24" t="s">
        <v>77</v>
      </c>
      <c r="R15" s="15"/>
    </row>
    <row r="16" spans="1:18" s="30" customFormat="1" ht="21" customHeight="1">
      <c r="A16" s="24" t="s">
        <v>78</v>
      </c>
      <c r="B16" s="25"/>
      <c r="C16" s="26"/>
      <c r="D16" s="100">
        <f t="shared" si="0"/>
        <v>28264641.049999997</v>
      </c>
      <c r="E16" s="27">
        <f>[21]รายรับ!$D$24+[21]รายรับ!$D$43</f>
        <v>12236291.069999998</v>
      </c>
      <c r="F16" s="27">
        <f>[21]รายรับ!$D$86</f>
        <v>2804.4</v>
      </c>
      <c r="G16" s="27">
        <f>[21]รายรับ!$D$93</f>
        <v>152867.57999999999</v>
      </c>
      <c r="H16" s="64">
        <v>0</v>
      </c>
      <c r="I16" s="27">
        <f>[21]รายรับ!$D$110</f>
        <v>126910</v>
      </c>
      <c r="J16" s="27">
        <f>[21]รายรับ!$D$114+[21]รายรับ!$D$123+[21]รายรับ!$D$131</f>
        <v>15745768</v>
      </c>
      <c r="K16" s="65">
        <f t="shared" si="2"/>
        <v>23879455.280000001</v>
      </c>
      <c r="L16" s="27">
        <f>[21]รายจ่าย!$D$30+[21]รายจ่าย!$D$36+[21]รายจ่าย!$D$46</f>
        <v>10800029.68</v>
      </c>
      <c r="M16" s="27">
        <f>[21]รายจ่าย!$D$40</f>
        <v>1283880</v>
      </c>
      <c r="N16" s="27">
        <f>[21]รายจ่าย!$D$25</f>
        <v>1362706.2</v>
      </c>
      <c r="O16" s="27">
        <f>[21]รายจ่าย!$D$45</f>
        <v>10432839.4</v>
      </c>
      <c r="P16" s="24" t="s">
        <v>79</v>
      </c>
      <c r="R16" s="15"/>
    </row>
    <row r="17" spans="1:18" s="30" customFormat="1" ht="21" customHeight="1">
      <c r="A17" s="22" t="s">
        <v>33</v>
      </c>
      <c r="B17" s="59"/>
      <c r="C17" s="59"/>
      <c r="D17" s="100">
        <f t="shared" si="0"/>
        <v>124502411.13000001</v>
      </c>
      <c r="E17" s="60">
        <f t="shared" ref="E17:J17" si="3">SUM(E18:E22)</f>
        <v>62549040.800000012</v>
      </c>
      <c r="F17" s="60">
        <f t="shared" si="3"/>
        <v>505606.8</v>
      </c>
      <c r="G17" s="60">
        <f t="shared" si="3"/>
        <v>756102.41</v>
      </c>
      <c r="H17" s="32">
        <v>0</v>
      </c>
      <c r="I17" s="60">
        <f t="shared" si="3"/>
        <v>243559.06</v>
      </c>
      <c r="J17" s="60">
        <f t="shared" si="3"/>
        <v>60448102.060000002</v>
      </c>
      <c r="K17" s="65">
        <f>SUM(L17:O17)</f>
        <v>77144854.689999998</v>
      </c>
      <c r="L17" s="60">
        <f>SUM(L18:L22)</f>
        <v>44128065.810000002</v>
      </c>
      <c r="M17" s="60">
        <f>SUM(M18:M22)</f>
        <v>20237534.520000003</v>
      </c>
      <c r="N17" s="60">
        <f>SUM(N18:N22)</f>
        <v>1863357.5</v>
      </c>
      <c r="O17" s="60">
        <f>SUM(O18:O22)</f>
        <v>10915896.859999999</v>
      </c>
      <c r="P17" s="22" t="s">
        <v>80</v>
      </c>
      <c r="R17" s="15"/>
    </row>
    <row r="18" spans="1:18" s="30" customFormat="1" ht="21" customHeight="1">
      <c r="A18" s="24" t="s">
        <v>81</v>
      </c>
      <c r="B18" s="25"/>
      <c r="C18" s="25"/>
      <c r="D18" s="100">
        <f t="shared" si="0"/>
        <v>23899911.380000003</v>
      </c>
      <c r="E18" s="27">
        <f>[22]รายรับ!$D$24+[22]รายรับ!$D$43</f>
        <v>12337190.580000002</v>
      </c>
      <c r="F18" s="27">
        <f>[22]รายรับ!$D$86</f>
        <v>8764.6</v>
      </c>
      <c r="G18" s="27">
        <f>[22]รายรับ!$D$93</f>
        <v>149707.20000000001</v>
      </c>
      <c r="H18" s="64">
        <v>0</v>
      </c>
      <c r="I18" s="27">
        <f>[22]รายรับ!$D$110</f>
        <v>10700</v>
      </c>
      <c r="J18" s="27">
        <f>[22]รายรับ!$D$114+[22]รายรับ!$D$123+[22]รายรับ!$D$131</f>
        <v>11393549</v>
      </c>
      <c r="K18" s="65">
        <f t="shared" ref="K18:K22" si="4">SUM(L18:O18)</f>
        <v>15678252.430000002</v>
      </c>
      <c r="L18" s="27">
        <f>[22]รายจ่าย!$D$30+[22]รายจ่าย!$D$36+[22]รายจ่าย!$D$46</f>
        <v>7882143.0300000003</v>
      </c>
      <c r="M18" s="27">
        <f>[22]รายจ่าย!$D$40</f>
        <v>4671672</v>
      </c>
      <c r="N18" s="27">
        <f>[22]รายจ่าย!$D$25</f>
        <v>182484.5</v>
      </c>
      <c r="O18" s="27">
        <f>[22]รายจ่าย!$D$45</f>
        <v>2941952.9</v>
      </c>
      <c r="P18" s="28" t="s">
        <v>82</v>
      </c>
      <c r="R18" s="15"/>
    </row>
    <row r="19" spans="1:18" s="35" customFormat="1" ht="21" customHeight="1">
      <c r="A19" s="24" t="s">
        <v>83</v>
      </c>
      <c r="B19" s="25"/>
      <c r="C19" s="26"/>
      <c r="D19" s="100">
        <f t="shared" si="0"/>
        <v>23963149.140000001</v>
      </c>
      <c r="E19" s="27">
        <f>[23]รายรับ!$D$24+[23]รายรับ!$D$43</f>
        <v>12149586.470000003</v>
      </c>
      <c r="F19" s="27">
        <f>[23]รายรับ!$D$86</f>
        <v>132703</v>
      </c>
      <c r="G19" s="27">
        <f>[23]รายรับ!$D$93</f>
        <v>354703.67</v>
      </c>
      <c r="H19" s="64">
        <v>0</v>
      </c>
      <c r="I19" s="27">
        <f>[23]รายรับ!$D$110</f>
        <v>32300</v>
      </c>
      <c r="J19" s="27">
        <f>[23]รายรับ!$D$114+[23]รายรับ!$D$123+[23]รายรับ!$D$131</f>
        <v>11293856</v>
      </c>
      <c r="K19" s="65">
        <f t="shared" si="4"/>
        <v>17428182.300000001</v>
      </c>
      <c r="L19" s="27">
        <f>[23]รายจ่าย!$D$30+[23]รายจ่าย!$D$36+[23]รายจ่าย!$D$46</f>
        <v>9028766.4299999997</v>
      </c>
      <c r="M19" s="27">
        <f>[23]รายจ่าย!$D$40</f>
        <v>5760286.8700000001</v>
      </c>
      <c r="N19" s="27">
        <f>[23]รายจ่าย!$D$25</f>
        <v>287729</v>
      </c>
      <c r="O19" s="27">
        <f>[23]รายจ่าย!$D$45</f>
        <v>2351400</v>
      </c>
      <c r="P19" s="28" t="s">
        <v>188</v>
      </c>
      <c r="R19" s="15"/>
    </row>
    <row r="20" spans="1:18" s="35" customFormat="1" ht="21" customHeight="1">
      <c r="A20" s="24" t="s">
        <v>84</v>
      </c>
      <c r="B20" s="25"/>
      <c r="C20" s="26"/>
      <c r="D20" s="100">
        <f t="shared" si="0"/>
        <v>24199189.32</v>
      </c>
      <c r="E20" s="27">
        <f>[24]รายรับ!$D$24+[24]รายรับ!$D$43</f>
        <v>11864955.800000001</v>
      </c>
      <c r="F20" s="27">
        <f>[24]รายรับ!$D$86</f>
        <v>91625.4</v>
      </c>
      <c r="G20" s="64">
        <v>0</v>
      </c>
      <c r="H20" s="64">
        <v>0</v>
      </c>
      <c r="I20" s="27">
        <f>[24]รายรับ!$D$110</f>
        <v>159829.06</v>
      </c>
      <c r="J20" s="27">
        <f>[24]รายรับ!$D$114+[24]รายรับ!$D$123+[24]รายรับ!$D$131</f>
        <v>12082779.060000001</v>
      </c>
      <c r="K20" s="65">
        <f t="shared" si="4"/>
        <v>13815922.510000002</v>
      </c>
      <c r="L20" s="27">
        <f>[24]รายจ่าย!$D$30+[24]รายจ่าย!$D$36+[24]รายจ่าย!$D$46</f>
        <v>7974323.6400000006</v>
      </c>
      <c r="M20" s="27">
        <f>[24]รายจ่าย!$D$40</f>
        <v>4394877.87</v>
      </c>
      <c r="N20" s="27">
        <f>[24]รายจ่าย!$D$25</f>
        <v>217221</v>
      </c>
      <c r="O20" s="27">
        <f>[24]รายจ่าย!$D$45</f>
        <v>1229500</v>
      </c>
      <c r="P20" s="28" t="s">
        <v>85</v>
      </c>
      <c r="R20" s="15"/>
    </row>
    <row r="21" spans="1:18" ht="21" customHeight="1">
      <c r="A21" s="24" t="s">
        <v>86</v>
      </c>
      <c r="B21" s="25"/>
      <c r="C21" s="26"/>
      <c r="D21" s="100">
        <f t="shared" si="0"/>
        <v>26574572.75</v>
      </c>
      <c r="E21" s="27">
        <f>[25]รายรับ!$D$24+[25]รายรับ!$D$43</f>
        <v>13189099.15</v>
      </c>
      <c r="F21" s="27">
        <f>[25]รายรับ!$D$86</f>
        <v>248327.8</v>
      </c>
      <c r="G21" s="27">
        <f>[25]รายรับ!$D$93</f>
        <v>104693.8</v>
      </c>
      <c r="H21" s="64">
        <v>0</v>
      </c>
      <c r="I21" s="27">
        <f>[25]รายรับ!$D$110</f>
        <v>10230</v>
      </c>
      <c r="J21" s="27">
        <f>[25]รายรับ!$D$114+[25]รายรับ!$D$123+[25]รายรับ!$D$131</f>
        <v>13022222</v>
      </c>
      <c r="K21" s="65">
        <f t="shared" si="4"/>
        <v>18272166.140000001</v>
      </c>
      <c r="L21" s="27">
        <f>[25]รายจ่าย!$D$30+[25]รายจ่าย!$D$36+[25]รายจ่าย!$D$46</f>
        <v>10900293.57</v>
      </c>
      <c r="M21" s="27">
        <f>[25]รายจ่าย!$D$40</f>
        <v>4534297.78</v>
      </c>
      <c r="N21" s="27">
        <f>[25]รายจ่าย!$D$25</f>
        <v>723786.83000000007</v>
      </c>
      <c r="O21" s="27">
        <f>[25]รายจ่าย!$D$45</f>
        <v>2113787.96</v>
      </c>
      <c r="P21" s="28" t="s">
        <v>87</v>
      </c>
    </row>
    <row r="22" spans="1:18" ht="21" customHeight="1">
      <c r="A22" s="24" t="s">
        <v>88</v>
      </c>
      <c r="B22" s="25"/>
      <c r="C22" s="25"/>
      <c r="D22" s="100">
        <f t="shared" si="0"/>
        <v>25865588.539999999</v>
      </c>
      <c r="E22" s="23">
        <f>[26]รายรับ!$D$24+[26]รายรับ!$D$43</f>
        <v>13008208.800000001</v>
      </c>
      <c r="F22" s="23">
        <f>[26]รายรับ!$D$86</f>
        <v>24186</v>
      </c>
      <c r="G22" s="23">
        <f>[26]รายรับ!$D$93</f>
        <v>146997.74</v>
      </c>
      <c r="H22" s="64">
        <v>0</v>
      </c>
      <c r="I22" s="23">
        <f>[26]รายรับ!$D$110</f>
        <v>30500</v>
      </c>
      <c r="J22" s="23">
        <f>[26]รายรับ!$D$114+[26]รายรับ!$D$123+[26]รายรับ!$D$131</f>
        <v>12655696</v>
      </c>
      <c r="K22" s="65">
        <f t="shared" si="4"/>
        <v>11950331.310000001</v>
      </c>
      <c r="L22" s="27">
        <f>[26]รายจ่าย!$D$30+[26]รายจ่าย!$D$36+[26]รายจ่าย!$D$46</f>
        <v>8342539.1399999997</v>
      </c>
      <c r="M22" s="27">
        <f>[26]รายจ่าย!$D$40</f>
        <v>876400</v>
      </c>
      <c r="N22" s="119">
        <f>[26]รายจ่าย!$D$25</f>
        <v>452136.17</v>
      </c>
      <c r="O22" s="27">
        <f>[26]รายจ่าย!$D$45</f>
        <v>2279256</v>
      </c>
      <c r="P22" s="28" t="s">
        <v>189</v>
      </c>
    </row>
    <row r="23" spans="1:18" ht="22.5" customHeight="1">
      <c r="A23" s="22" t="s">
        <v>34</v>
      </c>
      <c r="B23" s="29"/>
      <c r="C23" s="29"/>
      <c r="D23" s="100">
        <f t="shared" ref="D23:D29" si="5">SUM(E23:J23)</f>
        <v>209631717.14999998</v>
      </c>
      <c r="E23" s="60">
        <f t="shared" ref="E23:J23" si="6">SUM(E24:E29)</f>
        <v>91244875.049999997</v>
      </c>
      <c r="F23" s="60">
        <f t="shared" si="6"/>
        <v>248942.2</v>
      </c>
      <c r="G23" s="60">
        <f t="shared" si="6"/>
        <v>1047926.21</v>
      </c>
      <c r="H23" s="60">
        <v>2545358</v>
      </c>
      <c r="I23" s="60">
        <f t="shared" si="6"/>
        <v>308919.69</v>
      </c>
      <c r="J23" s="60">
        <f t="shared" si="6"/>
        <v>114235696</v>
      </c>
      <c r="K23" s="60">
        <f>SUM(L23:O23)</f>
        <v>139353607.62</v>
      </c>
      <c r="L23" s="60">
        <f>SUM(L24:L29)</f>
        <v>93432857.089999989</v>
      </c>
      <c r="M23" s="60">
        <f>SUM(M24:M29)</f>
        <v>18141803.999999996</v>
      </c>
      <c r="N23" s="60">
        <f>SUM(N24:N29)</f>
        <v>3797103.8200000003</v>
      </c>
      <c r="O23" s="60">
        <f>SUM(O24:O29)</f>
        <v>23981842.710000001</v>
      </c>
      <c r="P23" s="62" t="s">
        <v>89</v>
      </c>
    </row>
    <row r="24" spans="1:18" ht="21.75" customHeight="1">
      <c r="A24" s="24" t="s">
        <v>90</v>
      </c>
      <c r="B24" s="79"/>
      <c r="C24" s="79"/>
      <c r="D24" s="100">
        <f t="shared" si="5"/>
        <v>24691614.670000002</v>
      </c>
      <c r="E24" s="27">
        <f>[27]รายรับ!$D$24+[27]รายรับ!$D$43</f>
        <v>12219430.590000002</v>
      </c>
      <c r="F24" s="27">
        <f>[27]รายรับ!$D$86</f>
        <v>35115.4</v>
      </c>
      <c r="G24" s="27">
        <f>[27]รายรับ!$D$93</f>
        <v>186762.68</v>
      </c>
      <c r="H24" s="64">
        <v>0</v>
      </c>
      <c r="I24" s="27">
        <f>[27]รายรับ!$D$110</f>
        <v>24595</v>
      </c>
      <c r="J24" s="27">
        <f>[27]รายรับ!$D$114+[27]รายรับ!$D$123+[27]รายรับ!$D$131</f>
        <v>12225711</v>
      </c>
      <c r="K24" s="60">
        <f t="shared" ref="K24:K29" si="7">SUM(L24:O24)</f>
        <v>12746755.66</v>
      </c>
      <c r="L24" s="27">
        <f>[27]รายจ่าย!$D$30+[27]รายจ่าย!$D$36+[27]รายจ่าย!$D$46</f>
        <v>8944847.1600000001</v>
      </c>
      <c r="M24" s="27">
        <f>[27]รายจ่าย!$D$40</f>
        <v>2373200</v>
      </c>
      <c r="N24" s="27">
        <f>[27]รายจ่าย!$D$25</f>
        <v>243708.5</v>
      </c>
      <c r="O24" s="27">
        <f>[27]รายจ่าย!$D$45</f>
        <v>1185000</v>
      </c>
      <c r="P24" s="28" t="s">
        <v>91</v>
      </c>
    </row>
    <row r="25" spans="1:18" ht="21.75" customHeight="1">
      <c r="A25" s="24" t="s">
        <v>92</v>
      </c>
      <c r="B25" s="79"/>
      <c r="C25" s="79"/>
      <c r="D25" s="100">
        <f t="shared" si="5"/>
        <v>30181472.609999996</v>
      </c>
      <c r="E25" s="27">
        <f>[28]รายรับ!$D$24+[28]รายรับ!$D$43</f>
        <v>14031590.169999996</v>
      </c>
      <c r="F25" s="27">
        <f>[28]รายรับ!$D$86</f>
        <v>28209</v>
      </c>
      <c r="G25" s="27">
        <f>[28]รายรับ!$D$93</f>
        <v>261687.44</v>
      </c>
      <c r="H25" s="64">
        <v>0</v>
      </c>
      <c r="I25" s="27">
        <f>[28]รายรับ!$D$110</f>
        <v>21100</v>
      </c>
      <c r="J25" s="27">
        <f>[28]รายรับ!$D$114+[28]รายรับ!$D$123+[28]รายรับ!$D$131</f>
        <v>15838886</v>
      </c>
      <c r="K25" s="60">
        <f t="shared" si="7"/>
        <v>25083532.719999999</v>
      </c>
      <c r="L25" s="63">
        <f>[28]รายจ่าย!$D$30+[28]รายจ่าย!$D$36+[28]รายจ่าย!$D$46</f>
        <v>21045337.43</v>
      </c>
      <c r="M25" s="63">
        <f>[28]รายจ่าย!$D$40</f>
        <v>1803100.29</v>
      </c>
      <c r="N25" s="63">
        <f>[28]รายจ่าย!$D$25</f>
        <v>583095</v>
      </c>
      <c r="O25" s="63">
        <f>[28]รายจ่าย!$D$45</f>
        <v>1652000</v>
      </c>
      <c r="P25" s="28" t="s">
        <v>93</v>
      </c>
    </row>
    <row r="26" spans="1:18" ht="21.75" customHeight="1">
      <c r="A26" s="24" t="s">
        <v>94</v>
      </c>
      <c r="B26" s="79"/>
      <c r="C26" s="79"/>
      <c r="D26" s="100">
        <f t="shared" si="5"/>
        <v>34724101.5</v>
      </c>
      <c r="E26" s="27">
        <f>[29]รายรับ!$D$24+[29]รายรับ!$D$43</f>
        <v>14593226.069999998</v>
      </c>
      <c r="F26" s="27">
        <f>[29]รายรับ!$D$86</f>
        <v>115629.8</v>
      </c>
      <c r="G26" s="27">
        <f>[29]รายรับ!$D$93</f>
        <v>199811.63</v>
      </c>
      <c r="H26" s="119">
        <v>240843</v>
      </c>
      <c r="I26" s="27">
        <f>[29]รายรับ!$D$110</f>
        <v>38328</v>
      </c>
      <c r="J26" s="27">
        <f>[29]รายรับ!$D$114+[29]รายรับ!$D$123+[29]รายรับ!$D$131</f>
        <v>19536263</v>
      </c>
      <c r="K26" s="60">
        <f t="shared" si="7"/>
        <v>26263584.600000001</v>
      </c>
      <c r="L26" s="27">
        <f>[29]รายจ่าย!$D$30+[29]รายจ่าย!$D$36+[29]รายจ่าย!$D$46</f>
        <v>14334231.99</v>
      </c>
      <c r="M26" s="27">
        <f>[29]รายจ่าย!$D$40</f>
        <v>2388900</v>
      </c>
      <c r="N26" s="27">
        <f>[29]รายจ่าย!$D$25</f>
        <v>577291</v>
      </c>
      <c r="O26" s="27">
        <f>[29]รายจ่าย!$D$45</f>
        <v>8963161.6099999994</v>
      </c>
      <c r="P26" s="28" t="s">
        <v>95</v>
      </c>
    </row>
    <row r="27" spans="1:18" ht="21.75" customHeight="1">
      <c r="A27" s="24" t="s">
        <v>96</v>
      </c>
      <c r="B27" s="79"/>
      <c r="C27" s="79"/>
      <c r="D27" s="100">
        <f t="shared" si="5"/>
        <v>67384674.960000008</v>
      </c>
      <c r="E27" s="27">
        <f>[30]รายรับ!$D$24+[30]รายรับ!$D$43</f>
        <v>24706217.020000003</v>
      </c>
      <c r="F27" s="27">
        <f>[30]รายรับ!$D$86</f>
        <v>33459</v>
      </c>
      <c r="G27" s="27">
        <f>[30]รายรับ!$D$93</f>
        <v>242160.94</v>
      </c>
      <c r="H27" s="27">
        <v>2304245</v>
      </c>
      <c r="I27" s="27">
        <f>[30]รายรับ!$D$110</f>
        <v>70580</v>
      </c>
      <c r="J27" s="27">
        <f>[30]รายรับ!$D$114+[30]รายรับ!$D$123+[30]รายรับ!$D$131</f>
        <v>40028013</v>
      </c>
      <c r="K27" s="60">
        <f t="shared" si="7"/>
        <v>43043067.630000003</v>
      </c>
      <c r="L27" s="27">
        <f>[30]รายจ่าย!$D$30+[30]รายจ่าย!$D$36+[30]รายจ่าย!$D$46</f>
        <v>27467780.399999999</v>
      </c>
      <c r="M27" s="27">
        <f>[30]รายจ่าย!$D$40</f>
        <v>10427762.41</v>
      </c>
      <c r="N27" s="27">
        <f>[30]รายจ่าย!$D$25</f>
        <v>1062504.82</v>
      </c>
      <c r="O27" s="27">
        <f>[30]รายจ่าย!$D$45</f>
        <v>4085020</v>
      </c>
      <c r="P27" s="24" t="s">
        <v>97</v>
      </c>
    </row>
    <row r="28" spans="1:18" ht="21.75" customHeight="1">
      <c r="A28" s="24" t="s">
        <v>34</v>
      </c>
      <c r="B28" s="79"/>
      <c r="C28" s="79"/>
      <c r="D28" s="100">
        <f t="shared" si="5"/>
        <v>30332834.07</v>
      </c>
      <c r="E28" s="27">
        <f>[31]รายรับ!$D$24+[31]รายรับ!$D$43</f>
        <v>13382653.949999999</v>
      </c>
      <c r="F28" s="27">
        <f>[31]รายรับ!$D$86</f>
        <v>31980.6</v>
      </c>
      <c r="G28" s="27">
        <f>[31]รายรับ!$D$93</f>
        <v>157503.51999999999</v>
      </c>
      <c r="H28" s="64">
        <v>0</v>
      </c>
      <c r="I28" s="27">
        <f>[31]รายรับ!$D$110</f>
        <v>23000</v>
      </c>
      <c r="J28" s="27">
        <f>[31]รายรับ!$D$114+[31]รายรับ!$D$123+[31]รายรับ!$D$131</f>
        <v>16737696</v>
      </c>
      <c r="K28" s="60">
        <f t="shared" si="7"/>
        <v>15055960.220000001</v>
      </c>
      <c r="L28" s="27">
        <f>[31]รายจ่าย!$D$30+[31]รายจ่าย!$D$36+[31]รายจ่าย!$D$46</f>
        <v>12717098.699999999</v>
      </c>
      <c r="M28" s="27">
        <f>[31]รายจ่าย!$D$40</f>
        <v>166523.72</v>
      </c>
      <c r="N28" s="27">
        <f>[31]รายจ่าย!$D$25</f>
        <v>1030337.8</v>
      </c>
      <c r="O28" s="27">
        <f>[31]รายจ่าย!$D$45</f>
        <v>1142000</v>
      </c>
      <c r="P28" s="28" t="s">
        <v>98</v>
      </c>
    </row>
    <row r="29" spans="1:18" ht="21.75" customHeight="1">
      <c r="A29" s="24" t="s">
        <v>99</v>
      </c>
      <c r="B29" s="79"/>
      <c r="C29" s="79"/>
      <c r="D29" s="100">
        <f t="shared" si="5"/>
        <v>22317019.339999996</v>
      </c>
      <c r="E29" s="27">
        <f>[32]รายรับ!$D$24+[32]รายรับ!$D$43</f>
        <v>12311757.249999998</v>
      </c>
      <c r="F29" s="27">
        <f>[32]รายรับ!$D$86</f>
        <v>4548.3999999999996</v>
      </c>
      <c r="G29" s="64">
        <v>0</v>
      </c>
      <c r="H29" s="27">
        <v>270</v>
      </c>
      <c r="I29" s="27">
        <f>[32]รายรับ!$D$110</f>
        <v>131316.69</v>
      </c>
      <c r="J29" s="27">
        <f>[32]รายรับ!$D$114+[32]รายรับ!$D$123+[32]รายรับ!$D$131</f>
        <v>9869127</v>
      </c>
      <c r="K29" s="60">
        <f t="shared" si="7"/>
        <v>17160706.789999999</v>
      </c>
      <c r="L29" s="27">
        <f>[32]รายจ่าย!$D$30+[32]รายจ่าย!$D$36+[32]รายจ่าย!$D$46</f>
        <v>8923561.4100000001</v>
      </c>
      <c r="M29" s="27">
        <f>[32]รายจ่าย!$D$40</f>
        <v>982317.58</v>
      </c>
      <c r="N29" s="27">
        <f>[32]รายจ่าย!$D$25</f>
        <v>300166.7</v>
      </c>
      <c r="O29" s="27">
        <f>[32]รายจ่าย!$D$45</f>
        <v>6954661.1000000006</v>
      </c>
      <c r="P29" s="28" t="s">
        <v>100</v>
      </c>
    </row>
  </sheetData>
  <mergeCells count="7">
    <mergeCell ref="A7:C7"/>
    <mergeCell ref="A8:C8"/>
    <mergeCell ref="E4:J4"/>
    <mergeCell ref="L4:O4"/>
    <mergeCell ref="E5:J5"/>
    <mergeCell ref="L5:O5"/>
    <mergeCell ref="A6:C6"/>
  </mergeCells>
  <pageMargins left="0.59055118110236227" right="0.27559055118110237" top="0.70866141732283472" bottom="0.78740157480314965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29"/>
  <sheetViews>
    <sheetView view="pageBreakPreview" topLeftCell="B1" zoomScale="90" zoomScaleNormal="90" zoomScaleSheetLayoutView="90" workbookViewId="0">
      <selection activeCell="O23" sqref="O23"/>
    </sheetView>
  </sheetViews>
  <sheetFormatPr defaultRowHeight="18.75"/>
  <cols>
    <col min="1" max="1" width="6.85546875" style="20" customWidth="1"/>
    <col min="2" max="2" width="4.85546875" style="20" customWidth="1"/>
    <col min="3" max="3" width="6" style="14" customWidth="1"/>
    <col min="4" max="4" width="15.5703125" style="111" hidden="1" customWidth="1"/>
    <col min="5" max="5" width="14" style="37" customWidth="1"/>
    <col min="6" max="6" width="13.42578125" style="37" customWidth="1"/>
    <col min="7" max="7" width="11.85546875" style="37" customWidth="1"/>
    <col min="8" max="8" width="11.5703125" style="37" customWidth="1"/>
    <col min="9" max="9" width="12" style="37" customWidth="1"/>
    <col min="10" max="10" width="14.140625" style="37" customWidth="1"/>
    <col min="11" max="11" width="15.85546875" style="37" hidden="1" customWidth="1"/>
    <col min="12" max="12" width="13.85546875" style="37" customWidth="1"/>
    <col min="13" max="13" width="13.28515625" style="37" customWidth="1"/>
    <col min="14" max="15" width="12.5703125" style="37" customWidth="1"/>
    <col min="16" max="16" width="23.28515625" style="33" customWidth="1"/>
    <col min="17" max="17" width="0.85546875" style="14" customWidth="1"/>
    <col min="18" max="18" width="8.85546875" style="15" customWidth="1"/>
    <col min="19" max="16384" width="9.140625" style="14"/>
  </cols>
  <sheetData>
    <row r="1" spans="1:18" s="10" customFormat="1">
      <c r="A1" s="8" t="s">
        <v>43</v>
      </c>
      <c r="B1" s="9">
        <v>16.3</v>
      </c>
      <c r="C1" s="40" t="s">
        <v>211</v>
      </c>
      <c r="D1" s="9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2"/>
      <c r="R1" s="15"/>
    </row>
    <row r="2" spans="1:18" s="10" customFormat="1" ht="19.5" customHeight="1">
      <c r="A2" s="8" t="s">
        <v>44</v>
      </c>
      <c r="B2" s="9">
        <v>16.3</v>
      </c>
      <c r="C2" s="41" t="s">
        <v>210</v>
      </c>
      <c r="D2" s="9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R2" s="15"/>
    </row>
    <row r="3" spans="1:18" s="10" customFormat="1" ht="19.5" customHeight="1">
      <c r="A3" s="43"/>
      <c r="B3" s="43"/>
      <c r="C3" s="44"/>
      <c r="D3" s="98"/>
      <c r="E3" s="45"/>
      <c r="F3" s="45"/>
      <c r="G3" s="45"/>
      <c r="H3" s="45"/>
      <c r="I3" s="45"/>
      <c r="J3" s="45"/>
      <c r="K3" s="45"/>
      <c r="L3" s="78"/>
      <c r="M3" s="45"/>
      <c r="N3" s="45"/>
      <c r="O3" s="45"/>
      <c r="P3" s="112" t="s">
        <v>203</v>
      </c>
      <c r="R3" s="15"/>
    </row>
    <row r="4" spans="1:18" ht="19.5" customHeight="1">
      <c r="A4" s="47"/>
      <c r="B4" s="47"/>
      <c r="C4" s="48"/>
      <c r="D4" s="105"/>
      <c r="E4" s="138" t="s">
        <v>45</v>
      </c>
      <c r="F4" s="138"/>
      <c r="G4" s="138"/>
      <c r="H4" s="138"/>
      <c r="I4" s="138"/>
      <c r="J4" s="138"/>
      <c r="K4" s="53"/>
      <c r="L4" s="139" t="s">
        <v>10</v>
      </c>
      <c r="M4" s="138"/>
      <c r="N4" s="138"/>
      <c r="O4" s="138"/>
      <c r="P4" s="47"/>
    </row>
    <row r="5" spans="1:18" ht="17.25" customHeight="1">
      <c r="A5" s="50"/>
      <c r="B5" s="50"/>
      <c r="C5" s="51"/>
      <c r="D5" s="106"/>
      <c r="E5" s="135" t="s">
        <v>5</v>
      </c>
      <c r="F5" s="135"/>
      <c r="G5" s="135"/>
      <c r="H5" s="135"/>
      <c r="I5" s="135"/>
      <c r="J5" s="135"/>
      <c r="K5" s="52"/>
      <c r="L5" s="135" t="s">
        <v>11</v>
      </c>
      <c r="M5" s="135"/>
      <c r="N5" s="135"/>
      <c r="O5" s="135"/>
      <c r="P5" s="50"/>
    </row>
    <row r="6" spans="1:18" ht="19.5" customHeight="1">
      <c r="A6" s="133" t="s">
        <v>49</v>
      </c>
      <c r="B6" s="133"/>
      <c r="C6" s="134"/>
      <c r="D6" s="102"/>
      <c r="E6" s="49" t="s">
        <v>2</v>
      </c>
      <c r="F6" s="49" t="s">
        <v>17</v>
      </c>
      <c r="G6" s="49" t="s">
        <v>3</v>
      </c>
      <c r="H6" s="49" t="s">
        <v>4</v>
      </c>
      <c r="I6" s="49" t="s">
        <v>21</v>
      </c>
      <c r="J6" s="49" t="s">
        <v>8</v>
      </c>
      <c r="K6" s="49"/>
      <c r="L6" s="49" t="s">
        <v>12</v>
      </c>
      <c r="M6" s="53" t="s">
        <v>10</v>
      </c>
      <c r="N6" s="53" t="s">
        <v>10</v>
      </c>
      <c r="O6" s="17" t="s">
        <v>8</v>
      </c>
      <c r="P6" s="50" t="s">
        <v>50</v>
      </c>
    </row>
    <row r="7" spans="1:18" ht="19.5" customHeight="1">
      <c r="A7" s="133" t="s">
        <v>28</v>
      </c>
      <c r="B7" s="133"/>
      <c r="C7" s="134"/>
      <c r="D7" s="102"/>
      <c r="E7" s="53" t="s">
        <v>16</v>
      </c>
      <c r="F7" s="53" t="s">
        <v>18</v>
      </c>
      <c r="G7" s="53" t="s">
        <v>6</v>
      </c>
      <c r="H7" s="53" t="s">
        <v>19</v>
      </c>
      <c r="I7" s="53" t="s">
        <v>7</v>
      </c>
      <c r="J7" s="53" t="s">
        <v>9</v>
      </c>
      <c r="K7" s="53"/>
      <c r="L7" s="53" t="s">
        <v>13</v>
      </c>
      <c r="M7" s="53" t="s">
        <v>26</v>
      </c>
      <c r="N7" s="53" t="s">
        <v>27</v>
      </c>
      <c r="O7" s="18" t="s">
        <v>9</v>
      </c>
      <c r="P7" s="50" t="s">
        <v>25</v>
      </c>
    </row>
    <row r="8" spans="1:18" ht="19.5" customHeight="1">
      <c r="A8" s="136" t="s">
        <v>29</v>
      </c>
      <c r="B8" s="136"/>
      <c r="C8" s="137"/>
      <c r="D8" s="103"/>
      <c r="E8" s="53" t="s">
        <v>22</v>
      </c>
      <c r="F8" s="53" t="s">
        <v>24</v>
      </c>
      <c r="G8" s="53"/>
      <c r="H8" s="53" t="s">
        <v>20</v>
      </c>
      <c r="I8" s="53"/>
      <c r="J8" s="53"/>
      <c r="K8" s="53"/>
      <c r="L8" s="53" t="s">
        <v>11</v>
      </c>
      <c r="M8" s="123" t="s">
        <v>209</v>
      </c>
      <c r="N8" s="53" t="s">
        <v>14</v>
      </c>
      <c r="O8" s="18"/>
      <c r="P8" s="50" t="s">
        <v>1</v>
      </c>
    </row>
    <row r="9" spans="1:18" ht="19.5" customHeight="1">
      <c r="A9" s="55"/>
      <c r="B9" s="55"/>
      <c r="C9" s="56"/>
      <c r="D9" s="104"/>
      <c r="E9" s="57"/>
      <c r="F9" s="57"/>
      <c r="G9" s="57"/>
      <c r="H9" s="57"/>
      <c r="I9" s="57"/>
      <c r="J9" s="57"/>
      <c r="K9" s="57"/>
      <c r="L9" s="57"/>
      <c r="M9" s="122" t="s">
        <v>208</v>
      </c>
      <c r="N9" s="52" t="s">
        <v>15</v>
      </c>
      <c r="O9" s="19"/>
      <c r="P9" s="58"/>
    </row>
    <row r="10" spans="1:18" ht="21.75" customHeight="1">
      <c r="A10" s="24" t="s">
        <v>101</v>
      </c>
      <c r="B10" s="79"/>
      <c r="C10" s="79"/>
      <c r="D10" s="100">
        <f t="shared" ref="D10:D18" si="0">SUM(E10:J10)</f>
        <v>33201387.809999995</v>
      </c>
      <c r="E10" s="27">
        <f>[33]รายรับ!$D$24+[33]รายรับ!$D$43</f>
        <v>16389164.579999998</v>
      </c>
      <c r="F10" s="27">
        <f>[33]รายรับ!$D$86</f>
        <v>152382.53</v>
      </c>
      <c r="G10" s="27">
        <f>[33]รายรับ!$D$93</f>
        <v>203638.7</v>
      </c>
      <c r="H10" s="64">
        <v>0</v>
      </c>
      <c r="I10" s="27">
        <f>[33]รายรับ!$D$110</f>
        <v>22500</v>
      </c>
      <c r="J10" s="27">
        <f>[33]รายรับ!$D$114+[33]รายรับ!$D$123+[33]รายรับ!$D$131</f>
        <v>16433702</v>
      </c>
      <c r="K10" s="60">
        <f>SUM(L10:O10)</f>
        <v>19944445.050000001</v>
      </c>
      <c r="L10" s="27">
        <f>[33]รายจ่าย!$D$30+[33]รายจ่าย!$D$36+[33]รายจ่าย!$D$46</f>
        <v>14102399.18</v>
      </c>
      <c r="M10" s="27">
        <f>[33]รายจ่าย!$D$40</f>
        <v>2647700</v>
      </c>
      <c r="N10" s="27">
        <f>[33]รายจ่าย!$D$25</f>
        <v>784345.87</v>
      </c>
      <c r="O10" s="27">
        <f>[33]รายจ่าย!$D$45</f>
        <v>2410000</v>
      </c>
      <c r="P10" s="24" t="s">
        <v>102</v>
      </c>
    </row>
    <row r="11" spans="1:18" ht="21.75" customHeight="1">
      <c r="A11" s="24" t="s">
        <v>103</v>
      </c>
      <c r="B11" s="79"/>
      <c r="C11" s="79"/>
      <c r="D11" s="100">
        <f t="shared" si="0"/>
        <v>28929990.970000003</v>
      </c>
      <c r="E11" s="27">
        <f>[34]รายรับ!$D$24+[34]รายรับ!$D$43</f>
        <v>13918835.770000001</v>
      </c>
      <c r="F11" s="27">
        <f>[34]รายรับ!$D$86</f>
        <v>6370.6</v>
      </c>
      <c r="G11" s="27">
        <f>[34]รายรับ!$D$93</f>
        <v>311182.05</v>
      </c>
      <c r="H11" s="27">
        <v>48480.05</v>
      </c>
      <c r="I11" s="27">
        <f>[34]รายรับ!$D$110</f>
        <v>10500</v>
      </c>
      <c r="J11" s="27">
        <f>[34]รายรับ!$D$114+[34]รายรับ!$D$123+[34]รายรับ!$D$131</f>
        <v>14634622.5</v>
      </c>
      <c r="K11" s="60">
        <f t="shared" ref="K11:K15" si="1">SUM(L11:O11)</f>
        <v>15816350.68</v>
      </c>
      <c r="L11" s="27">
        <f>[34]รายจ่าย!$D$30+[34]รายจ่าย!$D$36+[34]รายจ่าย!$D$46</f>
        <v>10264751.18</v>
      </c>
      <c r="M11" s="27">
        <f>[34]รายจ่าย!$D$40</f>
        <v>3319500</v>
      </c>
      <c r="N11" s="27">
        <f>[34]รายจ่าย!$D$25</f>
        <v>235099.5</v>
      </c>
      <c r="O11" s="27">
        <f>[34]รายจ่าย!$D$45</f>
        <v>1997000</v>
      </c>
      <c r="P11" s="28" t="s">
        <v>104</v>
      </c>
    </row>
    <row r="12" spans="1:18" ht="21.75" customHeight="1">
      <c r="A12" s="24" t="s">
        <v>105</v>
      </c>
      <c r="B12" s="79"/>
      <c r="C12" s="79"/>
      <c r="D12" s="100">
        <f t="shared" si="0"/>
        <v>17672103.559999999</v>
      </c>
      <c r="E12" s="27">
        <f>[35]รายรับ!$D$24+[35]รายรับ!$D$43</f>
        <v>11881632.819999998</v>
      </c>
      <c r="F12" s="27">
        <f>[35]รายรับ!$D$86</f>
        <v>48224.4</v>
      </c>
      <c r="G12" s="27">
        <f>[35]รายรับ!$D$93</f>
        <v>250930.34</v>
      </c>
      <c r="H12" s="64">
        <v>0</v>
      </c>
      <c r="I12" s="27">
        <f>[35]รายรับ!$D$110</f>
        <v>8010</v>
      </c>
      <c r="J12" s="27">
        <f>[35]รายรับ!$D$114+[35]รายรับ!$D$123+[35]รายรับ!$D$131</f>
        <v>5483306</v>
      </c>
      <c r="K12" s="60">
        <f t="shared" si="1"/>
        <v>12554452.189999999</v>
      </c>
      <c r="L12" s="27">
        <f>[35]รายจ่าย!$D$30+[35]รายจ่าย!$D$36+[35]รายจ่าย!$D$46</f>
        <v>8185633.8799999999</v>
      </c>
      <c r="M12" s="27">
        <f>[35]รายจ่าย!$D$40</f>
        <v>1495920</v>
      </c>
      <c r="N12" s="27">
        <f>[35]รายจ่าย!$D$25</f>
        <v>2613520</v>
      </c>
      <c r="O12" s="27">
        <f>[35]รายจ่าย!$D$45</f>
        <v>259378.31</v>
      </c>
      <c r="P12" s="28" t="s">
        <v>106</v>
      </c>
    </row>
    <row r="13" spans="1:18" ht="21.75" customHeight="1">
      <c r="A13" s="24" t="s">
        <v>107</v>
      </c>
      <c r="B13" s="79"/>
      <c r="C13" s="79"/>
      <c r="D13" s="100">
        <f t="shared" si="0"/>
        <v>42689264.399999999</v>
      </c>
      <c r="E13" s="27">
        <f>[36]รายรับ!$D$24+[36]รายรับ!$D$43</f>
        <v>21338676.32</v>
      </c>
      <c r="F13" s="27">
        <f>[36]รายรับ!$D$86</f>
        <v>661956.69999999995</v>
      </c>
      <c r="G13" s="27">
        <f>[36]รายรับ!$D$93</f>
        <v>503854.38</v>
      </c>
      <c r="H13" s="64">
        <v>0</v>
      </c>
      <c r="I13" s="27">
        <f>[36]รายรับ!$D$110</f>
        <v>31830</v>
      </c>
      <c r="J13" s="27">
        <f>[36]รายรับ!$D$114+[36]รายรับ!$D$123+[36]รายรับ!$D$131</f>
        <v>20152947</v>
      </c>
      <c r="K13" s="60">
        <f t="shared" si="1"/>
        <v>36833191</v>
      </c>
      <c r="L13" s="27">
        <f>[36]รายจ่าย!$D$30+[36]รายจ่าย!$D$36+[36]รายจ่าย!$D$46</f>
        <v>17651011.129999999</v>
      </c>
      <c r="M13" s="27">
        <f>[36]รายจ่าย!$D$40</f>
        <v>7750446.0199999996</v>
      </c>
      <c r="N13" s="27">
        <f>[36]รายจ่าย!$D$25</f>
        <v>9153733.8499999996</v>
      </c>
      <c r="O13" s="27">
        <f>[36]รายจ่าย!$D$45</f>
        <v>2278000</v>
      </c>
      <c r="P13" s="28" t="s">
        <v>108</v>
      </c>
    </row>
    <row r="14" spans="1:18" ht="21.75" customHeight="1">
      <c r="A14" s="24" t="s">
        <v>109</v>
      </c>
      <c r="B14" s="79"/>
      <c r="C14" s="79"/>
      <c r="D14" s="100">
        <f t="shared" si="0"/>
        <v>33721300.709999993</v>
      </c>
      <c r="E14" s="27">
        <f>[37]รายรับ!$D$24+[37]รายรับ!$D$43</f>
        <v>14531626.999999998</v>
      </c>
      <c r="F14" s="27">
        <f>[37]รายรับ!$D$86</f>
        <v>41150</v>
      </c>
      <c r="G14" s="27">
        <f>[37]รายรับ!$D$93</f>
        <v>2063912.71</v>
      </c>
      <c r="H14" s="64">
        <v>0</v>
      </c>
      <c r="I14" s="27">
        <f>[37]รายรับ!$D$110</f>
        <v>62754</v>
      </c>
      <c r="J14" s="27">
        <f>[37]รายรับ!$D$114+[37]รายรับ!$D$123+[37]รายรับ!$D$131</f>
        <v>17021857</v>
      </c>
      <c r="K14" s="60">
        <f t="shared" si="1"/>
        <v>36722913.829999998</v>
      </c>
      <c r="L14" s="27">
        <f>[37]รายจ่าย!$D$30+[37]รายจ่าย!$D$36+[37]รายจ่าย!$D$46</f>
        <v>15571267.400000002</v>
      </c>
      <c r="M14" s="27">
        <f>[37]รายจ่าย!$D$40</f>
        <v>9152857.4299999997</v>
      </c>
      <c r="N14" s="27">
        <f>[37]รายจ่าย!$D$25</f>
        <v>1069197</v>
      </c>
      <c r="O14" s="27">
        <f>[37]รายจ่าย!$D$45</f>
        <v>10929592</v>
      </c>
      <c r="P14" s="28" t="s">
        <v>110</v>
      </c>
    </row>
    <row r="15" spans="1:18" ht="21.75" customHeight="1">
      <c r="A15" s="24" t="s">
        <v>62</v>
      </c>
      <c r="B15" s="79"/>
      <c r="C15" s="79"/>
      <c r="D15" s="100">
        <f t="shared" si="0"/>
        <v>27352286.060000002</v>
      </c>
      <c r="E15" s="27">
        <f>[38]รายรับ!$D$24+[38]รายรับ!$D$43</f>
        <v>12497764.700000003</v>
      </c>
      <c r="F15" s="27">
        <f>[38]รายรับ!$D$86</f>
        <v>8434.2000000000007</v>
      </c>
      <c r="G15" s="27">
        <f>[38]รายรับ!$D$93</f>
        <v>201057.16</v>
      </c>
      <c r="H15" s="64">
        <v>0</v>
      </c>
      <c r="I15" s="27">
        <f>[38]รายรับ!$D$110</f>
        <v>22930</v>
      </c>
      <c r="J15" s="27">
        <f>[38]รายรับ!$D$114+[38]รายรับ!$D$123+[38]รายรับ!$D$131</f>
        <v>14622100</v>
      </c>
      <c r="K15" s="60">
        <f t="shared" si="1"/>
        <v>15180279.289999999</v>
      </c>
      <c r="L15" s="27">
        <f>[38]รายจ่าย!$D$30+[38]รายจ่าย!$D$36+[38]รายจ่าย!$D$46</f>
        <v>11767888.289999999</v>
      </c>
      <c r="M15" s="27">
        <f>[38]รายจ่าย!$D$40</f>
        <v>2276800</v>
      </c>
      <c r="N15" s="27">
        <f>[38]รายจ่าย!$D$25</f>
        <v>218591</v>
      </c>
      <c r="O15" s="27">
        <f>[38]รายจ่าย!$D$45</f>
        <v>917000</v>
      </c>
      <c r="P15" s="28" t="s">
        <v>185</v>
      </c>
    </row>
    <row r="16" spans="1:18" ht="21.75" customHeight="1">
      <c r="A16" s="22" t="s">
        <v>35</v>
      </c>
      <c r="B16" s="80"/>
      <c r="C16" s="80"/>
      <c r="D16" s="100">
        <f t="shared" si="0"/>
        <v>253972252.33000001</v>
      </c>
      <c r="E16" s="60">
        <f t="shared" ref="E16:J16" si="2">SUM(E17:E18,E19:E24)</f>
        <v>124013463.69</v>
      </c>
      <c r="F16" s="60">
        <f t="shared" si="2"/>
        <v>1078839.6000000001</v>
      </c>
      <c r="G16" s="60">
        <f t="shared" si="2"/>
        <v>2604256.04</v>
      </c>
      <c r="H16" s="60">
        <v>218171.61</v>
      </c>
      <c r="I16" s="60">
        <f t="shared" si="2"/>
        <v>517334.75</v>
      </c>
      <c r="J16" s="60">
        <f t="shared" si="2"/>
        <v>125540186.64000002</v>
      </c>
      <c r="K16" s="60">
        <f>SUM(L16:O16)</f>
        <v>138272591.47000003</v>
      </c>
      <c r="L16" s="60">
        <f>SUM(L17:L18,L19:L24)</f>
        <v>97436130.660000011</v>
      </c>
      <c r="M16" s="60">
        <f>SUM(M17:M18,M19:M24)</f>
        <v>18783590.82</v>
      </c>
      <c r="N16" s="60">
        <f>SUM(N17:N18,N19:N24)</f>
        <v>5991123.5</v>
      </c>
      <c r="O16" s="60">
        <f>SUM(O17:O18,O19:O24)</f>
        <v>16061746.489999998</v>
      </c>
      <c r="P16" s="62" t="s">
        <v>111</v>
      </c>
    </row>
    <row r="17" spans="1:16" ht="21.75" customHeight="1">
      <c r="A17" s="24" t="s">
        <v>35</v>
      </c>
      <c r="B17" s="25"/>
      <c r="C17" s="26"/>
      <c r="D17" s="100">
        <f t="shared" si="0"/>
        <v>24304283.09</v>
      </c>
      <c r="E17" s="27">
        <f>[39]รายรับ!$D$24+[39]รายรับ!$D$43</f>
        <v>14863799.959999999</v>
      </c>
      <c r="F17" s="27">
        <f>[39]รายรับ!$D$86</f>
        <v>217565.8</v>
      </c>
      <c r="G17" s="27">
        <f>[39]รายรับ!$D$93</f>
        <v>280514.33</v>
      </c>
      <c r="H17" s="64">
        <v>0</v>
      </c>
      <c r="I17" s="27">
        <f>[39]รายรับ!$D$110</f>
        <v>4730</v>
      </c>
      <c r="J17" s="27">
        <f>[39]รายรับ!$D$114+[39]รายรับ!$D$123+[39]รายรับ!$D$131</f>
        <v>8937673</v>
      </c>
      <c r="K17" s="60">
        <f t="shared" ref="K17:K24" si="3">SUM(L17:O17)</f>
        <v>11849817.1</v>
      </c>
      <c r="L17" s="74">
        <f>[39]รายจ่าย!$D$30+[39]รายจ่าย!$D$36+[39]รายจ่าย!$D$46</f>
        <v>6956042.0999999996</v>
      </c>
      <c r="M17" s="74">
        <f>[39]รายจ่าย!$D$40</f>
        <v>1097200</v>
      </c>
      <c r="N17" s="74">
        <f>[39]รายจ่าย!$D$25</f>
        <v>3064375</v>
      </c>
      <c r="O17" s="74">
        <f>[39]รายจ่าย!$D$45</f>
        <v>732200</v>
      </c>
      <c r="P17" s="24" t="s">
        <v>186</v>
      </c>
    </row>
    <row r="18" spans="1:16" ht="21.75" customHeight="1">
      <c r="A18" s="24" t="s">
        <v>112</v>
      </c>
      <c r="B18" s="25"/>
      <c r="C18" s="26"/>
      <c r="D18" s="100">
        <f t="shared" si="0"/>
        <v>43172899.439999998</v>
      </c>
      <c r="E18" s="27">
        <f>[40]รายรับ!$D$24+[40]รายรับ!$D$43</f>
        <v>17629845.280000001</v>
      </c>
      <c r="F18" s="27">
        <f>[40]รายรับ!$D$86</f>
        <v>127231.2</v>
      </c>
      <c r="G18" s="27">
        <f>[40]รายรับ!$D$93</f>
        <v>344005.5</v>
      </c>
      <c r="H18" s="64">
        <v>0</v>
      </c>
      <c r="I18" s="27">
        <f>[40]รายรับ!$D$110</f>
        <v>44260</v>
      </c>
      <c r="J18" s="27">
        <f>[40]รายรับ!$D$123+[40]รายรับ!$D$114+[40]รายรับ!$D$131</f>
        <v>25027557.460000001</v>
      </c>
      <c r="K18" s="60">
        <f t="shared" si="3"/>
        <v>25334121.639999997</v>
      </c>
      <c r="L18" s="63">
        <f>[40]รายจ่าย!$D$30+[40]รายจ่าย!$D$36+[40]รายจ่าย!$D$46</f>
        <v>16765244.719999999</v>
      </c>
      <c r="M18" s="63">
        <f>[40]รายจ่าย!$D$40</f>
        <v>5649948.3799999999</v>
      </c>
      <c r="N18" s="63">
        <f>[40]รายจ่าย!$D$25</f>
        <v>598144</v>
      </c>
      <c r="O18" s="63">
        <f>[40]รายจ่าย!$D$45</f>
        <v>2320784.54</v>
      </c>
      <c r="P18" s="24" t="s">
        <v>113</v>
      </c>
    </row>
    <row r="19" spans="1:16" ht="22.5" customHeight="1">
      <c r="A19" s="24" t="s">
        <v>114</v>
      </c>
      <c r="B19" s="25"/>
      <c r="C19" s="26"/>
      <c r="D19" s="100">
        <f t="shared" ref="D19:D29" si="4">SUM(E19:J19)</f>
        <v>27097956.109999999</v>
      </c>
      <c r="E19" s="27">
        <f>[41]รายรับ!$D$24+[41]รายรับ!$D$43</f>
        <v>13409759.41</v>
      </c>
      <c r="F19" s="27">
        <f>[41]รายรับ!$D$86</f>
        <v>288790.8</v>
      </c>
      <c r="G19" s="27">
        <f>[41]รายรับ!$D$93</f>
        <v>273246.90000000002</v>
      </c>
      <c r="H19" s="64">
        <v>0</v>
      </c>
      <c r="I19" s="27">
        <f>[41]รายรับ!$D$110</f>
        <v>187250</v>
      </c>
      <c r="J19" s="27">
        <f>[41]รายรับ!$D$114+[41]รายรับ!$D$123+[41]รายรับ!$D$131</f>
        <v>12938909</v>
      </c>
      <c r="K19" s="60">
        <f t="shared" si="3"/>
        <v>17360389.16</v>
      </c>
      <c r="L19" s="27">
        <f>[41]รายจ่าย!$D$30+[41]รายจ่าย!$D$36+[41]รายจ่าย!$D$46</f>
        <v>12283981.1</v>
      </c>
      <c r="M19" s="27">
        <f>[41]รายจ่าย!$D$40</f>
        <v>2338830</v>
      </c>
      <c r="N19" s="27">
        <f>[41]รายจ่าย!$D$25</f>
        <v>394698.5</v>
      </c>
      <c r="O19" s="27">
        <f>[41]รายจ่าย!$D$45</f>
        <v>2342879.56</v>
      </c>
      <c r="P19" s="24" t="s">
        <v>115</v>
      </c>
    </row>
    <row r="20" spans="1:16" ht="22.5" customHeight="1">
      <c r="A20" s="24" t="s">
        <v>116</v>
      </c>
      <c r="B20" s="25"/>
      <c r="C20" s="26"/>
      <c r="D20" s="100">
        <f t="shared" si="4"/>
        <v>38464859.07</v>
      </c>
      <c r="E20" s="27">
        <f>[42]รายรับ!$D$24+[42]รายรับ!$D$43</f>
        <v>17871896.009999998</v>
      </c>
      <c r="F20" s="27">
        <f>[42]รายรับ!$D$86</f>
        <v>344464</v>
      </c>
      <c r="G20" s="119">
        <f>[42]รายรับ!$D$93</f>
        <v>269652.78000000003</v>
      </c>
      <c r="H20" s="64">
        <v>0</v>
      </c>
      <c r="I20" s="27">
        <f>[42]รายรับ!$D$110</f>
        <v>99085.28</v>
      </c>
      <c r="J20" s="27">
        <f>[42]รายรับ!$D$114+[42]รายรับ!$D$123+[42]รายรับ!$D$131</f>
        <v>19879761</v>
      </c>
      <c r="K20" s="60">
        <f t="shared" si="3"/>
        <v>11516898.560000001</v>
      </c>
      <c r="L20" s="27">
        <f>[42]รายจ่าย!$D$30+[42]รายจ่าย!$D$36+[42]รายจ่าย!$D$46</f>
        <v>8352002.5600000005</v>
      </c>
      <c r="M20" s="27">
        <f>[42]รายจ่าย!$D$40</f>
        <v>1522000</v>
      </c>
      <c r="N20" s="27">
        <f>[42]รายจ่าย!$D$25</f>
        <v>420896</v>
      </c>
      <c r="O20" s="27">
        <f>[42]รายจ่าย!$D$45</f>
        <v>1222000</v>
      </c>
      <c r="P20" s="28" t="s">
        <v>117</v>
      </c>
    </row>
    <row r="21" spans="1:16" ht="22.5" customHeight="1">
      <c r="A21" s="24" t="s">
        <v>118</v>
      </c>
      <c r="B21" s="25"/>
      <c r="C21" s="26"/>
      <c r="D21" s="100">
        <f t="shared" si="4"/>
        <v>33514225.57</v>
      </c>
      <c r="E21" s="27">
        <f>[43]รายรับ!$D$24+[43]รายรับ!$D$43</f>
        <v>16331849.710000001</v>
      </c>
      <c r="F21" s="27">
        <f>[43]รายรับ!$D$86</f>
        <v>35424</v>
      </c>
      <c r="G21" s="27">
        <f>[43]รายรับ!$D$93</f>
        <v>796006.78</v>
      </c>
      <c r="H21" s="64">
        <v>0</v>
      </c>
      <c r="I21" s="27">
        <f>[43]รายรับ!$D$110</f>
        <v>5690</v>
      </c>
      <c r="J21" s="27">
        <f>[43]รายรับ!$D$114+[43]รายรับ!$D$123+[43]รายรับ!$D$131</f>
        <v>16345255.08</v>
      </c>
      <c r="K21" s="60">
        <f t="shared" si="3"/>
        <v>14544341.83</v>
      </c>
      <c r="L21" s="27">
        <f>[43]รายจ่าย!$D$30+[43]รายจ่าย!$D$36+[43]รายจ่าย!$D$46</f>
        <v>11557866.27</v>
      </c>
      <c r="M21" s="27">
        <f>[43]รายจ่าย!$D$40</f>
        <v>209091.56</v>
      </c>
      <c r="N21" s="27">
        <f>[43]รายจ่าย!$D$25</f>
        <v>350384</v>
      </c>
      <c r="O21" s="27">
        <f>[43]รายจ่าย!$D$45</f>
        <v>2427000</v>
      </c>
      <c r="P21" s="28" t="s">
        <v>119</v>
      </c>
    </row>
    <row r="22" spans="1:16" ht="22.5" customHeight="1">
      <c r="A22" s="24" t="s">
        <v>120</v>
      </c>
      <c r="B22" s="25"/>
      <c r="C22" s="26"/>
      <c r="D22" s="108">
        <f t="shared" si="4"/>
        <v>24205672.780000001</v>
      </c>
      <c r="E22" s="77">
        <f>[44]รายรับ!$D$24+[44]รายรับ!$D$43</f>
        <v>12645109.49</v>
      </c>
      <c r="F22" s="77">
        <f>[44]รายรับ!$D$86</f>
        <v>535</v>
      </c>
      <c r="G22" s="77">
        <f>[44]รายรับ!$D$93</f>
        <v>360490.29</v>
      </c>
      <c r="H22" s="64">
        <v>0</v>
      </c>
      <c r="I22" s="77">
        <f>[44]รายรับ!$D$110</f>
        <v>9900</v>
      </c>
      <c r="J22" s="77">
        <f>[44]รายรับ!$D$114+[44]รายรับ!$D$123+[44]รายรับ!$D$131</f>
        <v>11189638</v>
      </c>
      <c r="K22" s="60">
        <f t="shared" si="3"/>
        <v>9659110.7000000011</v>
      </c>
      <c r="L22" s="27">
        <f>[44]รายจ่าย!$D$30+[44]รายจ่าย!$D$36+[44]รายจ่าย!$D$46</f>
        <v>7342783.7000000011</v>
      </c>
      <c r="M22" s="27">
        <f>[44]รายจ่าย!$D$40</f>
        <v>1133000</v>
      </c>
      <c r="N22" s="27">
        <f>[44]รายจ่าย!$D$25</f>
        <v>213207</v>
      </c>
      <c r="O22" s="27">
        <f>[44]รายจ่าย!$D$45</f>
        <v>970120</v>
      </c>
      <c r="P22" s="28" t="s">
        <v>121</v>
      </c>
    </row>
    <row r="23" spans="1:16" ht="22.5" customHeight="1">
      <c r="A23" s="24" t="s">
        <v>122</v>
      </c>
      <c r="B23" s="25"/>
      <c r="C23" s="26"/>
      <c r="D23" s="100">
        <f t="shared" si="4"/>
        <v>37035800.440000005</v>
      </c>
      <c r="E23" s="27">
        <f>[45]รายรับ!$D$24+[45]รายรับ!$D$43</f>
        <v>16664811.280000003</v>
      </c>
      <c r="F23" s="27">
        <f>[45]รายรับ!$D$86</f>
        <v>18750</v>
      </c>
      <c r="G23" s="27">
        <f>[45]รายรับ!$D$93</f>
        <v>280339.46000000002</v>
      </c>
      <c r="H23" s="64">
        <v>0</v>
      </c>
      <c r="I23" s="27">
        <f>[45]รายรับ!$D$110</f>
        <v>30542.6</v>
      </c>
      <c r="J23" s="27">
        <f>[45]รายรับ!$D$114+[45]รายรับ!$D$123+[45]รายรับ!$D$131</f>
        <v>20041357.100000001</v>
      </c>
      <c r="K23" s="60">
        <f t="shared" si="3"/>
        <v>36207695</v>
      </c>
      <c r="L23" s="27">
        <f>[45]รายจ่าย!$D$30+[45]รายจ่าย!$D$36+[45]รายจ่าย!$D$46</f>
        <v>24217106.73</v>
      </c>
      <c r="M23" s="27">
        <f>[45]รายจ่าย!$D$40</f>
        <v>6650160.8799999999</v>
      </c>
      <c r="N23" s="27">
        <f>[45]รายจ่าย!$D$25</f>
        <v>537665</v>
      </c>
      <c r="O23" s="27">
        <f>[45]รายจ่าย!$D$45</f>
        <v>4802762.3899999997</v>
      </c>
      <c r="P23" s="28" t="s">
        <v>123</v>
      </c>
    </row>
    <row r="24" spans="1:16" ht="22.5" customHeight="1">
      <c r="A24" s="24" t="s">
        <v>124</v>
      </c>
      <c r="B24" s="25"/>
      <c r="C24" s="25"/>
      <c r="D24" s="100">
        <f t="shared" si="4"/>
        <v>26176555.829999998</v>
      </c>
      <c r="E24" s="27">
        <f>[46]รายรับ!$D$24+[46]รายรับ!$D$43</f>
        <v>14596392.549999999</v>
      </c>
      <c r="F24" s="27">
        <f>[46]รายรับ!$D$86</f>
        <v>46078.8</v>
      </c>
      <c r="G24" s="64">
        <v>0</v>
      </c>
      <c r="H24" s="119">
        <v>218171.61</v>
      </c>
      <c r="I24" s="27">
        <f>[46]รายรับ!$D$110</f>
        <v>135876.87</v>
      </c>
      <c r="J24" s="27">
        <f>[46]รายรับ!$D$114+[46]รายรับ!$D$123+[46]รายรับ!$D$131</f>
        <v>11180036</v>
      </c>
      <c r="K24" s="60">
        <f t="shared" si="3"/>
        <v>11800217.48</v>
      </c>
      <c r="L24" s="27">
        <f>[46]รายจ่าย!$D$30+[46]รายจ่าย!$D$36+[46]รายจ่าย!$D$46</f>
        <v>9961103.4800000004</v>
      </c>
      <c r="M24" s="27">
        <f>[46]รายจ่าย!$D$40</f>
        <v>183360</v>
      </c>
      <c r="N24" s="27">
        <f>[46]รายจ่าย!$D$25</f>
        <v>411754</v>
      </c>
      <c r="O24" s="27">
        <f>[46]รายจ่าย!$D$45</f>
        <v>1244000</v>
      </c>
      <c r="P24" s="28" t="s">
        <v>125</v>
      </c>
    </row>
    <row r="25" spans="1:16" ht="22.5" customHeight="1">
      <c r="A25" s="22" t="s">
        <v>36</v>
      </c>
      <c r="B25" s="59"/>
      <c r="C25" s="59"/>
      <c r="D25" s="100">
        <f t="shared" si="4"/>
        <v>156170030.81999999</v>
      </c>
      <c r="E25" s="60">
        <f t="shared" ref="E25:J25" si="5">SUM(E26:E29)</f>
        <v>61067393.210000001</v>
      </c>
      <c r="F25" s="60">
        <f t="shared" si="5"/>
        <v>118001.76</v>
      </c>
      <c r="G25" s="60">
        <f t="shared" si="5"/>
        <v>443448.33</v>
      </c>
      <c r="H25" s="60">
        <v>10717218.359999999</v>
      </c>
      <c r="I25" s="60">
        <f t="shared" si="5"/>
        <v>200901.5</v>
      </c>
      <c r="J25" s="60">
        <f t="shared" si="5"/>
        <v>83623067.659999996</v>
      </c>
      <c r="K25" s="27">
        <f>SUM(L25:O25)</f>
        <v>103767379.5</v>
      </c>
      <c r="L25" s="60">
        <f>SUM(L26:L29)</f>
        <v>63639011.829999998</v>
      </c>
      <c r="M25" s="60">
        <f>SUM(M26:M29)</f>
        <v>15470228.58</v>
      </c>
      <c r="N25" s="60">
        <f>SUM(N26:N29)</f>
        <v>5055336.55</v>
      </c>
      <c r="O25" s="60">
        <f>SUM(O26:O29)</f>
        <v>19602802.539999999</v>
      </c>
      <c r="P25" s="62" t="s">
        <v>126</v>
      </c>
    </row>
    <row r="26" spans="1:16" ht="22.5" customHeight="1">
      <c r="A26" s="24" t="s">
        <v>127</v>
      </c>
      <c r="B26" s="25"/>
      <c r="C26" s="26"/>
      <c r="D26" s="100">
        <f t="shared" si="4"/>
        <v>23444174.249999996</v>
      </c>
      <c r="E26" s="27">
        <f>[47]รายรับ!$D$24+[47]รายรับ!$D$43</f>
        <v>12645396.999999998</v>
      </c>
      <c r="F26" s="27">
        <f>[47]รายรับ!$D$86</f>
        <v>10426.200000000001</v>
      </c>
      <c r="G26" s="27">
        <f>[47]รายรับ!$D$93</f>
        <v>185202.95</v>
      </c>
      <c r="H26" s="64">
        <v>0</v>
      </c>
      <c r="I26" s="27">
        <f>[47]รายรับ!$D$110</f>
        <v>12400.1</v>
      </c>
      <c r="J26" s="27">
        <f>[47]รายรับ!$D$114+[47]รายรับ!$D$123+[47]รายรับ!$D$131</f>
        <v>10590748</v>
      </c>
      <c r="K26" s="27">
        <f t="shared" ref="K26:K29" si="6">SUM(L26:O26)</f>
        <v>20200821.530000001</v>
      </c>
      <c r="L26" s="27">
        <f>[47]รายจ่าย!$D$30+[47]รายจ่าย!$D$36+[47]รายจ่าย!$D$46</f>
        <v>13967946.52</v>
      </c>
      <c r="M26" s="27">
        <f>[47]รายจ่าย!$D$40</f>
        <v>4386521.58</v>
      </c>
      <c r="N26" s="27">
        <f>[47]รายจ่าย!$D$25</f>
        <v>453353.43</v>
      </c>
      <c r="O26" s="27">
        <f>[47]รายจ่าย!$D$45</f>
        <v>1393000</v>
      </c>
      <c r="P26" s="28" t="s">
        <v>128</v>
      </c>
    </row>
    <row r="27" spans="1:16" ht="22.5" customHeight="1">
      <c r="A27" s="24" t="s">
        <v>129</v>
      </c>
      <c r="B27" s="25"/>
      <c r="C27" s="26"/>
      <c r="D27" s="108">
        <f t="shared" si="4"/>
        <v>38514309.200000003</v>
      </c>
      <c r="E27" s="27">
        <f>[48]รายรับ!$D$24+[48]รายรับ!$D$43</f>
        <v>13031207.020000001</v>
      </c>
      <c r="F27" s="27">
        <f>[48]รายรับ!$D$86</f>
        <v>79946.759999999995</v>
      </c>
      <c r="G27" s="27">
        <f>[48]รายรับ!$D$93</f>
        <v>28800</v>
      </c>
      <c r="H27" s="27">
        <v>10239484.42</v>
      </c>
      <c r="I27" s="27">
        <f>[48]รายรับ!$D$110</f>
        <v>78261</v>
      </c>
      <c r="J27" s="27">
        <f>[48]รายรับ!$D$114+[48]รายรับ!$D$123+[48]รายรับ!$D$131</f>
        <v>15056610</v>
      </c>
      <c r="K27" s="27">
        <f t="shared" si="6"/>
        <v>25698208.519999996</v>
      </c>
      <c r="L27" s="27">
        <f>[48]รายจ่าย!$D$30+[48]รายจ่าย!$D$36+[48]รายจ่าย!$D$46</f>
        <v>16188431.51</v>
      </c>
      <c r="M27" s="27">
        <f>[48]รายจ่าย!$D$40</f>
        <v>3460300</v>
      </c>
      <c r="N27" s="27">
        <f>[48]รายจ่าย!$D$25</f>
        <v>2629477.0099999998</v>
      </c>
      <c r="O27" s="27">
        <v>3420000</v>
      </c>
      <c r="P27" s="28" t="s">
        <v>130</v>
      </c>
    </row>
    <row r="28" spans="1:16" ht="22.5" customHeight="1">
      <c r="A28" s="24" t="s">
        <v>131</v>
      </c>
      <c r="B28" s="25"/>
      <c r="C28" s="26"/>
      <c r="D28" s="100">
        <f t="shared" si="4"/>
        <v>45374999.620000005</v>
      </c>
      <c r="E28" s="27">
        <f>[49]รายรับ!$D$24+[49]รายรับ!$D$43</f>
        <v>18142574.680000003</v>
      </c>
      <c r="F28" s="27">
        <f>[49]รายรับ!$D$86</f>
        <v>18444.599999999999</v>
      </c>
      <c r="G28" s="27">
        <f>[49]รายรับ!$D$93</f>
        <v>100</v>
      </c>
      <c r="H28" s="27">
        <v>477733.94</v>
      </c>
      <c r="I28" s="27">
        <f>[49]รายรับ!$D$110</f>
        <v>43530.400000000001</v>
      </c>
      <c r="J28" s="27">
        <f>[49]รายรับ!$D$114+[49]รายรับ!$D$123+[49]รายรับ!$D$131</f>
        <v>26692616</v>
      </c>
      <c r="K28" s="27">
        <f t="shared" si="6"/>
        <v>27954670.280000001</v>
      </c>
      <c r="L28" s="27">
        <f>[49]รายจ่าย!$D$30+[49]รายจ่าย!$D$36+[49]รายจ่าย!$D$46</f>
        <v>16164382.41</v>
      </c>
      <c r="M28" s="27">
        <f>[49]รายจ่าย!$D$40</f>
        <v>4037507</v>
      </c>
      <c r="N28" s="27">
        <f>[49]รายจ่าย!$D$25</f>
        <v>845461</v>
      </c>
      <c r="O28" s="27">
        <f>[49]รายจ่าย!$D$45</f>
        <v>6907319.8700000001</v>
      </c>
      <c r="P28" s="28" t="s">
        <v>132</v>
      </c>
    </row>
    <row r="29" spans="1:16" ht="22.5" customHeight="1">
      <c r="A29" s="24" t="s">
        <v>133</v>
      </c>
      <c r="B29" s="25"/>
      <c r="C29" s="26"/>
      <c r="D29" s="108">
        <f t="shared" si="4"/>
        <v>48836547.75</v>
      </c>
      <c r="E29" s="77">
        <f>[50]รายรับ!$D$24+[50]รายรับ!$D$43</f>
        <v>17248214.509999998</v>
      </c>
      <c r="F29" s="77">
        <f>[50]รายรับ!$D$86</f>
        <v>9184.2000000000007</v>
      </c>
      <c r="G29" s="77">
        <f>[50]รายรับ!$D$93</f>
        <v>229345.38</v>
      </c>
      <c r="H29" s="64">
        <v>0</v>
      </c>
      <c r="I29" s="77">
        <f>[50]รายรับ!$D$110</f>
        <v>66710</v>
      </c>
      <c r="J29" s="77">
        <f>[50]รายรับ!$D$114+[50]รายรับ!$D$123+[50]รายรับ!$D$131</f>
        <v>31283093.66</v>
      </c>
      <c r="K29" s="27">
        <f t="shared" si="6"/>
        <v>29913679.170000002</v>
      </c>
      <c r="L29" s="27">
        <f>[50]รายจ่าย!$D$30+[50]รายจ่าย!$D$36+[50]รายจ่าย!$D$46</f>
        <v>17318251.390000001</v>
      </c>
      <c r="M29" s="27">
        <f>[50]รายจ่าย!$D$40</f>
        <v>3585900</v>
      </c>
      <c r="N29" s="27">
        <f>[50]รายจ่าย!$D$25</f>
        <v>1127045.1099999999</v>
      </c>
      <c r="O29" s="27">
        <f>[50]รายจ่าย!$D$45</f>
        <v>7882482.6699999999</v>
      </c>
      <c r="P29" s="28" t="s">
        <v>184</v>
      </c>
    </row>
  </sheetData>
  <mergeCells count="7">
    <mergeCell ref="A7:C7"/>
    <mergeCell ref="A8:C8"/>
    <mergeCell ref="E4:J4"/>
    <mergeCell ref="L4:O4"/>
    <mergeCell ref="E5:J5"/>
    <mergeCell ref="L5:O5"/>
    <mergeCell ref="A6:C6"/>
  </mergeCells>
  <printOptions horizontalCentered="1"/>
  <pageMargins left="0.59055118110236227" right="0.27559055118110237" top="0.98425196850393704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R27"/>
  <sheetViews>
    <sheetView view="pageBreakPreview" topLeftCell="A16" zoomScaleNormal="90" zoomScaleSheetLayoutView="100" workbookViewId="0">
      <selection activeCell="I2" sqref="I2"/>
    </sheetView>
  </sheetViews>
  <sheetFormatPr defaultRowHeight="18.75"/>
  <cols>
    <col min="1" max="1" width="6.85546875" style="20" customWidth="1"/>
    <col min="2" max="2" width="4.85546875" style="20" customWidth="1"/>
    <col min="3" max="3" width="6" style="14" customWidth="1"/>
    <col min="4" max="4" width="15.5703125" style="111" hidden="1" customWidth="1"/>
    <col min="5" max="5" width="14" style="37" customWidth="1"/>
    <col min="6" max="6" width="13.42578125" style="37" customWidth="1"/>
    <col min="7" max="7" width="11.85546875" style="37" customWidth="1"/>
    <col min="8" max="8" width="11.5703125" style="37" customWidth="1"/>
    <col min="9" max="9" width="12" style="37" customWidth="1"/>
    <col min="10" max="10" width="14.140625" style="37" customWidth="1"/>
    <col min="11" max="11" width="15.85546875" style="37" hidden="1" customWidth="1"/>
    <col min="12" max="12" width="13.85546875" style="37" customWidth="1"/>
    <col min="13" max="13" width="13.28515625" style="37" customWidth="1"/>
    <col min="14" max="15" width="12.5703125" style="37" customWidth="1"/>
    <col min="16" max="16" width="23.28515625" style="33" customWidth="1"/>
    <col min="17" max="17" width="0.85546875" style="14" customWidth="1"/>
    <col min="18" max="18" width="8.85546875" style="15" customWidth="1"/>
    <col min="19" max="16384" width="9.140625" style="14"/>
  </cols>
  <sheetData>
    <row r="1" spans="1:18" s="10" customFormat="1" ht="22.5" customHeight="1">
      <c r="A1" s="8" t="s">
        <v>43</v>
      </c>
      <c r="B1" s="9">
        <v>16.3</v>
      </c>
      <c r="C1" s="40" t="s">
        <v>211</v>
      </c>
      <c r="D1" s="9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2"/>
      <c r="R1" s="15"/>
    </row>
    <row r="2" spans="1:18" s="10" customFormat="1" ht="21" customHeight="1">
      <c r="A2" s="8" t="s">
        <v>44</v>
      </c>
      <c r="B2" s="9">
        <v>16.3</v>
      </c>
      <c r="C2" s="41" t="s">
        <v>210</v>
      </c>
      <c r="D2" s="9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R2" s="15"/>
    </row>
    <row r="3" spans="1:18" s="10" customFormat="1">
      <c r="A3" s="43"/>
      <c r="B3" s="43"/>
      <c r="C3" s="44"/>
      <c r="D3" s="9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12" t="s">
        <v>203</v>
      </c>
      <c r="R3" s="15"/>
    </row>
    <row r="4" spans="1:18">
      <c r="A4" s="47"/>
      <c r="B4" s="47"/>
      <c r="C4" s="48"/>
      <c r="D4" s="107"/>
      <c r="E4" s="125" t="s">
        <v>45</v>
      </c>
      <c r="F4" s="126"/>
      <c r="G4" s="126"/>
      <c r="H4" s="126"/>
      <c r="I4" s="126"/>
      <c r="J4" s="127"/>
      <c r="K4" s="72"/>
      <c r="L4" s="125" t="s">
        <v>10</v>
      </c>
      <c r="M4" s="126"/>
      <c r="N4" s="126"/>
      <c r="O4" s="127"/>
      <c r="P4" s="47"/>
    </row>
    <row r="5" spans="1:18">
      <c r="A5" s="50"/>
      <c r="B5" s="50"/>
      <c r="C5" s="51"/>
      <c r="D5" s="96"/>
      <c r="E5" s="140" t="s">
        <v>5</v>
      </c>
      <c r="F5" s="131"/>
      <c r="G5" s="131"/>
      <c r="H5" s="131"/>
      <c r="I5" s="131"/>
      <c r="J5" s="132"/>
      <c r="K5" s="73"/>
      <c r="L5" s="140" t="s">
        <v>11</v>
      </c>
      <c r="M5" s="131"/>
      <c r="N5" s="131"/>
      <c r="O5" s="132"/>
      <c r="P5" s="50"/>
    </row>
    <row r="6" spans="1:18">
      <c r="A6" s="133" t="s">
        <v>49</v>
      </c>
      <c r="B6" s="133"/>
      <c r="C6" s="134"/>
      <c r="D6" s="102"/>
      <c r="E6" s="49" t="s">
        <v>2</v>
      </c>
      <c r="F6" s="49" t="s">
        <v>17</v>
      </c>
      <c r="G6" s="49" t="s">
        <v>3</v>
      </c>
      <c r="H6" s="49" t="s">
        <v>4</v>
      </c>
      <c r="I6" s="49" t="s">
        <v>21</v>
      </c>
      <c r="J6" s="49" t="s">
        <v>8</v>
      </c>
      <c r="K6" s="49"/>
      <c r="L6" s="49" t="s">
        <v>12</v>
      </c>
      <c r="M6" s="53" t="s">
        <v>10</v>
      </c>
      <c r="N6" s="53" t="s">
        <v>10</v>
      </c>
      <c r="O6" s="17" t="s">
        <v>8</v>
      </c>
      <c r="P6" s="50" t="s">
        <v>50</v>
      </c>
    </row>
    <row r="7" spans="1:18">
      <c r="A7" s="133" t="s">
        <v>28</v>
      </c>
      <c r="B7" s="133"/>
      <c r="C7" s="134"/>
      <c r="D7" s="102"/>
      <c r="E7" s="53" t="s">
        <v>16</v>
      </c>
      <c r="F7" s="53" t="s">
        <v>18</v>
      </c>
      <c r="G7" s="53" t="s">
        <v>6</v>
      </c>
      <c r="H7" s="53" t="s">
        <v>19</v>
      </c>
      <c r="I7" s="53" t="s">
        <v>7</v>
      </c>
      <c r="J7" s="53" t="s">
        <v>9</v>
      </c>
      <c r="K7" s="53"/>
      <c r="L7" s="53" t="s">
        <v>13</v>
      </c>
      <c r="M7" s="53" t="s">
        <v>26</v>
      </c>
      <c r="N7" s="53" t="s">
        <v>27</v>
      </c>
      <c r="O7" s="18" t="s">
        <v>9</v>
      </c>
      <c r="P7" s="50" t="s">
        <v>25</v>
      </c>
    </row>
    <row r="8" spans="1:18">
      <c r="A8" s="136" t="s">
        <v>29</v>
      </c>
      <c r="B8" s="136"/>
      <c r="C8" s="137"/>
      <c r="D8" s="103"/>
      <c r="E8" s="53" t="s">
        <v>22</v>
      </c>
      <c r="F8" s="53" t="s">
        <v>24</v>
      </c>
      <c r="G8" s="53"/>
      <c r="H8" s="53" t="s">
        <v>20</v>
      </c>
      <c r="I8" s="53"/>
      <c r="J8" s="53"/>
      <c r="K8" s="53"/>
      <c r="L8" s="53" t="s">
        <v>11</v>
      </c>
      <c r="M8" s="123" t="s">
        <v>209</v>
      </c>
      <c r="N8" s="53" t="s">
        <v>14</v>
      </c>
      <c r="O8" s="18"/>
      <c r="P8" s="50" t="s">
        <v>1</v>
      </c>
    </row>
    <row r="9" spans="1:18">
      <c r="A9" s="55"/>
      <c r="B9" s="55"/>
      <c r="C9" s="56"/>
      <c r="D9" s="104"/>
      <c r="E9" s="57"/>
      <c r="F9" s="57"/>
      <c r="G9" s="57"/>
      <c r="H9" s="57"/>
      <c r="I9" s="57"/>
      <c r="J9" s="57"/>
      <c r="K9" s="57"/>
      <c r="L9" s="57"/>
      <c r="M9" s="122" t="s">
        <v>208</v>
      </c>
      <c r="N9" s="52" t="s">
        <v>15</v>
      </c>
      <c r="O9" s="19"/>
      <c r="P9" s="55"/>
    </row>
    <row r="10" spans="1:18" ht="24" customHeight="1">
      <c r="A10" s="22" t="s">
        <v>37</v>
      </c>
      <c r="B10" s="59"/>
      <c r="C10" s="59"/>
      <c r="D10" s="100">
        <f t="shared" ref="D10:D27" si="0">SUM(E10:J10)</f>
        <v>91117494.989999995</v>
      </c>
      <c r="E10" s="60">
        <f t="shared" ref="E10:J10" si="1">SUM(E11:E13)</f>
        <v>36292082.289999999</v>
      </c>
      <c r="F10" s="60">
        <f t="shared" si="1"/>
        <v>57873.2</v>
      </c>
      <c r="G10" s="60">
        <f t="shared" si="1"/>
        <v>435651.98</v>
      </c>
      <c r="H10" s="60">
        <v>637179.43999999994</v>
      </c>
      <c r="I10" s="60">
        <f t="shared" si="1"/>
        <v>268045.07999999996</v>
      </c>
      <c r="J10" s="60">
        <f t="shared" si="1"/>
        <v>53426663</v>
      </c>
      <c r="K10" s="27">
        <f>SUM(L10:O10)</f>
        <v>65049747.240000002</v>
      </c>
      <c r="L10" s="60">
        <f>SUM(L11:L13)</f>
        <v>38847143.670000002</v>
      </c>
      <c r="M10" s="60">
        <f>SUM(M11:M13)</f>
        <v>10184792</v>
      </c>
      <c r="N10" s="60">
        <f>SUM(N11:N13)</f>
        <v>1381691</v>
      </c>
      <c r="O10" s="60">
        <f>SUM(O11:O13)</f>
        <v>14636120.57</v>
      </c>
      <c r="P10" s="22" t="s">
        <v>134</v>
      </c>
    </row>
    <row r="11" spans="1:18" ht="24" customHeight="1">
      <c r="A11" s="24" t="s">
        <v>135</v>
      </c>
      <c r="B11" s="25"/>
      <c r="C11" s="25"/>
      <c r="D11" s="100">
        <f t="shared" si="0"/>
        <v>38807651.099999994</v>
      </c>
      <c r="E11" s="27">
        <f>[51]รายรับ!$D$24+[51]รายรับ!$D$43</f>
        <v>16642259.58</v>
      </c>
      <c r="F11" s="27">
        <f>[51]รายรับ!$D$86</f>
        <v>50389</v>
      </c>
      <c r="G11" s="64">
        <v>0</v>
      </c>
      <c r="H11" s="119">
        <v>637179.43999999994</v>
      </c>
      <c r="I11" s="27">
        <f>[51]รายรับ!$D$110</f>
        <v>192850.08</v>
      </c>
      <c r="J11" s="27">
        <f>[51]รายรับ!$D$114+[51]รายรับ!$D$123+[51]รายรับ!$D$131</f>
        <v>21284973</v>
      </c>
      <c r="K11" s="27">
        <f>[51]รายรับ!$D$114+[51]รายรับ!$D$123+[51]รายรับ!$D$131</f>
        <v>21284973</v>
      </c>
      <c r="L11" s="27">
        <f>[51]รายจ่าย!$D$30+[51]รายจ่าย!$D$36+[51]รายจ่าย!$D$46</f>
        <v>17388214.48</v>
      </c>
      <c r="M11" s="27">
        <f>[51]รายจ่าย!$D$40</f>
        <v>6464092</v>
      </c>
      <c r="N11" s="27">
        <f>[51]รายจ่าย!$D$25</f>
        <v>662728</v>
      </c>
      <c r="O11" s="27">
        <f>[51]รายจ่าย!$D$45</f>
        <v>8576556</v>
      </c>
      <c r="P11" s="24" t="s">
        <v>136</v>
      </c>
    </row>
    <row r="12" spans="1:18" ht="24" customHeight="1">
      <c r="A12" s="24" t="s">
        <v>137</v>
      </c>
      <c r="B12" s="25"/>
      <c r="C12" s="26"/>
      <c r="D12" s="100">
        <f t="shared" si="0"/>
        <v>25258009.699999999</v>
      </c>
      <c r="E12" s="27">
        <f>[52]รายรับ!$D$24+[52]รายรับ!$D$43</f>
        <v>7546576.4000000004</v>
      </c>
      <c r="F12" s="27">
        <f>[52]รายรับ!$D$86</f>
        <v>7232</v>
      </c>
      <c r="G12" s="27">
        <f>[52]รายรับ!$D$93</f>
        <v>171802.3</v>
      </c>
      <c r="H12" s="64">
        <v>0</v>
      </c>
      <c r="I12" s="27">
        <f>[52]รายรับ!$D$110</f>
        <v>64195</v>
      </c>
      <c r="J12" s="27">
        <f>[52]รายรับ!$D$114+[52]รายรับ!$D$123+[52]รายรับ!$D$131</f>
        <v>17468204</v>
      </c>
      <c r="K12" s="27">
        <f>[52]รายรับ!$D$114+[52]รายรับ!$D$123+[52]รายรับ!$D$131</f>
        <v>17468204</v>
      </c>
      <c r="L12" s="27">
        <f>[52]รายจ่าย!$D$30+[52]รายจ่าย!$D$36+[52]รายจ่าย!$D$46</f>
        <v>9867288.5099999998</v>
      </c>
      <c r="M12" s="27">
        <f>[52]รายจ่าย!$D$40</f>
        <v>299500</v>
      </c>
      <c r="N12" s="27">
        <f>[52]รายจ่าย!$D$25</f>
        <v>258126</v>
      </c>
      <c r="O12" s="27">
        <f>[52]รายจ่าย!$D$45</f>
        <v>2688000</v>
      </c>
      <c r="P12" s="28" t="s">
        <v>138</v>
      </c>
    </row>
    <row r="13" spans="1:18" ht="24" customHeight="1">
      <c r="A13" s="24" t="s">
        <v>139</v>
      </c>
      <c r="B13" s="25"/>
      <c r="C13" s="26"/>
      <c r="D13" s="100">
        <f t="shared" si="0"/>
        <v>27051834.189999998</v>
      </c>
      <c r="E13" s="27">
        <f>[53]รายรับ!$D$24+[53]รายรับ!$D$43</f>
        <v>12103246.310000001</v>
      </c>
      <c r="F13" s="27">
        <f>[53]รายรับ!$D$86</f>
        <v>252.2</v>
      </c>
      <c r="G13" s="27">
        <f>[53]รายรับ!$D$93</f>
        <v>263849.68</v>
      </c>
      <c r="H13" s="64">
        <v>0</v>
      </c>
      <c r="I13" s="27">
        <f>[53]รายรับ!$D$110</f>
        <v>11000</v>
      </c>
      <c r="J13" s="27">
        <f>[53]รายรับ!$D$114+[53]รายรับ!$D$123+[53]รายรับ!$D$131</f>
        <v>14673486</v>
      </c>
      <c r="K13" s="27">
        <f>[53]รายรับ!$D$114+[53]รายรับ!$D$123+[53]รายรับ!$D$131</f>
        <v>14673486</v>
      </c>
      <c r="L13" s="27">
        <f>[53]รายจ่าย!$D$30+[53]รายจ่าย!$D$36+[53]รายจ่าย!$D$46</f>
        <v>11591640.68</v>
      </c>
      <c r="M13" s="27">
        <f>[53]รายจ่าย!$D$40</f>
        <v>3421200</v>
      </c>
      <c r="N13" s="27">
        <f>[53]รายจ่าย!$D$25</f>
        <v>460837</v>
      </c>
      <c r="O13" s="27">
        <f>[53]รายจ่าย!$D$45</f>
        <v>3371564.57</v>
      </c>
      <c r="P13" s="28" t="s">
        <v>140</v>
      </c>
    </row>
    <row r="14" spans="1:18" ht="24" customHeight="1">
      <c r="A14" s="22" t="s">
        <v>38</v>
      </c>
      <c r="B14" s="59"/>
      <c r="C14" s="59"/>
      <c r="D14" s="100">
        <f t="shared" si="0"/>
        <v>167975140.13</v>
      </c>
      <c r="E14" s="60">
        <f t="shared" ref="E14:J14" si="2">SUM(E15:E19)</f>
        <v>73691544.5</v>
      </c>
      <c r="F14" s="60">
        <f t="shared" si="2"/>
        <v>1216440.47</v>
      </c>
      <c r="G14" s="60">
        <f t="shared" si="2"/>
        <v>697975.17</v>
      </c>
      <c r="H14" s="60">
        <v>2069035</v>
      </c>
      <c r="I14" s="60">
        <f t="shared" si="2"/>
        <v>327610.19</v>
      </c>
      <c r="J14" s="60">
        <f t="shared" si="2"/>
        <v>89972534.799999997</v>
      </c>
      <c r="K14" s="76">
        <f>SUM(L14:O14)</f>
        <v>99409918.180000007</v>
      </c>
      <c r="L14" s="60">
        <f>SUM(L15:L19)</f>
        <v>67600652.310000002</v>
      </c>
      <c r="M14" s="60">
        <f>SUM(M15:M19)</f>
        <v>10920274.530000001</v>
      </c>
      <c r="N14" s="60">
        <f>SUM(N15:N19)</f>
        <v>6819041.2000000002</v>
      </c>
      <c r="O14" s="60">
        <f>SUM(O15:O19)</f>
        <v>14069950.140000001</v>
      </c>
      <c r="P14" s="22" t="s">
        <v>141</v>
      </c>
    </row>
    <row r="15" spans="1:18" ht="24" customHeight="1">
      <c r="A15" s="24" t="s">
        <v>38</v>
      </c>
      <c r="B15" s="25"/>
      <c r="C15" s="25"/>
      <c r="D15" s="100">
        <f t="shared" si="0"/>
        <v>21495718.409999996</v>
      </c>
      <c r="E15" s="27">
        <f>[54]รายรับ!$D$24+[54]รายรับ!$D$43</f>
        <v>12531498.759999998</v>
      </c>
      <c r="F15" s="27">
        <f>[54]รายรับ!$D$86</f>
        <v>72313.070000000007</v>
      </c>
      <c r="G15" s="27">
        <f>[54]รายรับ!$D$93</f>
        <v>61022.79</v>
      </c>
      <c r="H15" s="64">
        <v>0</v>
      </c>
      <c r="I15" s="27">
        <f>[54]รายรับ!$D$110</f>
        <v>33920.79</v>
      </c>
      <c r="J15" s="27">
        <f>[54]รายรับ!$D$114+[54]รายรับ!$D$123+[54]รายรับ!$D$131</f>
        <v>8796963</v>
      </c>
      <c r="K15" s="76">
        <f t="shared" ref="K15:K27" si="3">SUM(L15:O15)</f>
        <v>15280958.76</v>
      </c>
      <c r="L15" s="27">
        <f>[54]รายจ่าย!$D$30+[54]รายจ่าย!$D$36+[54]รายจ่าย!$D$46</f>
        <v>10226521.92</v>
      </c>
      <c r="M15" s="27">
        <f>[54]รายจ่าย!$D$40</f>
        <v>2048654.34</v>
      </c>
      <c r="N15" s="27">
        <f>[54]รายจ่าย!$D$25</f>
        <v>2436782.5</v>
      </c>
      <c r="O15" s="27">
        <f>[54]รายจ่าย!$D$45</f>
        <v>569000</v>
      </c>
      <c r="P15" s="28" t="s">
        <v>142</v>
      </c>
    </row>
    <row r="16" spans="1:18" ht="24" customHeight="1">
      <c r="A16" s="24" t="s">
        <v>143</v>
      </c>
      <c r="B16" s="25"/>
      <c r="C16" s="25"/>
      <c r="D16" s="100">
        <f t="shared" si="0"/>
        <v>35369605.700000003</v>
      </c>
      <c r="E16" s="27">
        <f>[55]รายรับ!$D$24+[55]รายรับ!$D$43</f>
        <v>15745604.590000002</v>
      </c>
      <c r="F16" s="27">
        <f>[55]รายรับ!$D$86</f>
        <v>335644</v>
      </c>
      <c r="G16" s="27">
        <f>[55]รายรับ!$D$93</f>
        <v>155797.71</v>
      </c>
      <c r="H16" s="64">
        <v>0</v>
      </c>
      <c r="I16" s="27">
        <f>[55]รายรับ!$D$110</f>
        <v>61734.400000000001</v>
      </c>
      <c r="J16" s="27">
        <f>[55]รายรับ!$D$114+[55]รายรับ!$D$123+[55]รายรับ!$D$131</f>
        <v>19070825</v>
      </c>
      <c r="K16" s="76">
        <f t="shared" si="3"/>
        <v>23587484.289999999</v>
      </c>
      <c r="L16" s="27">
        <f>[55]รายจ่าย!$D$30+[55]รายจ่าย!$D$36+[55]รายจ่าย!$D$46</f>
        <v>15141289.290000001</v>
      </c>
      <c r="M16" s="27">
        <f>[55]รายจ่าย!$D$40</f>
        <v>386600</v>
      </c>
      <c r="N16" s="27">
        <f>[55]รายจ่าย!$D$25</f>
        <v>1644595</v>
      </c>
      <c r="O16" s="27">
        <f>[55]รายจ่าย!$D$45</f>
        <v>6415000</v>
      </c>
      <c r="P16" s="28" t="s">
        <v>144</v>
      </c>
    </row>
    <row r="17" spans="1:16" ht="24" customHeight="1">
      <c r="A17" s="24" t="s">
        <v>145</v>
      </c>
      <c r="B17" s="25"/>
      <c r="C17" s="26"/>
      <c r="D17" s="100">
        <f t="shared" si="0"/>
        <v>26578605.920000002</v>
      </c>
      <c r="E17" s="27">
        <f>[56]รายรับ!$D$24+[56]รายรับ!$D$43</f>
        <v>11806216.960000003</v>
      </c>
      <c r="F17" s="27">
        <f>[56]รายรับ!$D$86</f>
        <v>138063.4</v>
      </c>
      <c r="G17" s="27">
        <f>[56]รายรับ!$D$93</f>
        <v>122773.75999999999</v>
      </c>
      <c r="H17" s="27">
        <v>135920</v>
      </c>
      <c r="I17" s="27">
        <f>[56]รายรับ!$D$110</f>
        <v>18964</v>
      </c>
      <c r="J17" s="27">
        <f>[56]รายรับ!$D$114+[56]รายรับ!$D$123+[56]รายรับ!$D$131</f>
        <v>14356667.800000001</v>
      </c>
      <c r="K17" s="76">
        <f t="shared" si="3"/>
        <v>12973771.609999999</v>
      </c>
      <c r="L17" s="27">
        <f>[56]รายจ่าย!$D$30+[56]รายจ่าย!$D$36+[56]รายจ่าย!$D$46</f>
        <v>10642831.33</v>
      </c>
      <c r="M17" s="27">
        <f>[56]รายจ่าย!$D$40</f>
        <v>1006774.28</v>
      </c>
      <c r="N17" s="27">
        <f>[56]รายจ่าย!$D$25</f>
        <v>422166</v>
      </c>
      <c r="O17" s="27">
        <f>[56]รายจ่าย!$D$45</f>
        <v>902000</v>
      </c>
      <c r="P17" s="28" t="s">
        <v>146</v>
      </c>
    </row>
    <row r="18" spans="1:16" ht="24" customHeight="1">
      <c r="A18" s="24" t="s">
        <v>118</v>
      </c>
      <c r="B18" s="25"/>
      <c r="C18" s="26"/>
      <c r="D18" s="100">
        <f t="shared" si="0"/>
        <v>52542711.329999998</v>
      </c>
      <c r="E18" s="27">
        <f>[57]รายรับ!$D$24+[57]รายรับ!$D$43</f>
        <v>18975679.84</v>
      </c>
      <c r="F18" s="27">
        <f>[57]รายรับ!$D$86</f>
        <v>668503.19999999995</v>
      </c>
      <c r="G18" s="27">
        <f>[57]รายรับ!$D$93</f>
        <v>239107.29</v>
      </c>
      <c r="H18" s="119">
        <v>1933115</v>
      </c>
      <c r="I18" s="27">
        <f>[57]รายรับ!$D$110</f>
        <v>200955</v>
      </c>
      <c r="J18" s="27">
        <f>[57]รายรับ!$D$114+[57]รายรับ!$D$123+[57]รายรับ!$D$131</f>
        <v>30525351</v>
      </c>
      <c r="K18" s="76">
        <f t="shared" si="3"/>
        <v>29021729.099999998</v>
      </c>
      <c r="L18" s="75">
        <f>[57]รายจ่าย!$D$30+[57]รายจ่าย!$D$36+[57]รายจ่าย!$D$46</f>
        <v>17735737.189999998</v>
      </c>
      <c r="M18" s="75">
        <f>[57]รายจ่าย!$D$40</f>
        <v>6634545.9100000001</v>
      </c>
      <c r="N18" s="75">
        <f>[57]รายจ่าย!$D$25</f>
        <v>899446</v>
      </c>
      <c r="O18" s="75">
        <f>[57]รายจ่าย!$D$45</f>
        <v>3752000</v>
      </c>
      <c r="P18" s="28" t="s">
        <v>147</v>
      </c>
    </row>
    <row r="19" spans="1:16" ht="24" customHeight="1">
      <c r="A19" s="24" t="s">
        <v>148</v>
      </c>
      <c r="B19" s="25"/>
      <c r="C19" s="26"/>
      <c r="D19" s="100">
        <f t="shared" si="0"/>
        <v>31988498.77</v>
      </c>
      <c r="E19" s="27">
        <f>[58]รายรับ!$D$24+[58]รายรับ!$D$43</f>
        <v>14632544.35</v>
      </c>
      <c r="F19" s="27">
        <f>[58]รายรับ!$D$86</f>
        <v>1916.8</v>
      </c>
      <c r="G19" s="27">
        <f>[58]รายรับ!$D$93</f>
        <v>119273.62</v>
      </c>
      <c r="H19" s="64">
        <v>0</v>
      </c>
      <c r="I19" s="27">
        <f>[58]รายรับ!$D$110</f>
        <v>12036</v>
      </c>
      <c r="J19" s="27">
        <f>[58]รายรับ!$D$114+[58]รายรับ!$D$123+[58]รายรับ!$D$131</f>
        <v>17222728</v>
      </c>
      <c r="K19" s="76">
        <f t="shared" si="3"/>
        <v>18545974.419999998</v>
      </c>
      <c r="L19" s="27">
        <f>[58]รายจ่าย!$D$30+[58]รายจ่าย!$D$36+[58]รายจ่าย!$D$46</f>
        <v>13854272.58</v>
      </c>
      <c r="M19" s="27">
        <f>[58]รายจ่าย!$D$40</f>
        <v>843700</v>
      </c>
      <c r="N19" s="27">
        <f>[58]รายจ่าย!$D$25</f>
        <v>1416051.7</v>
      </c>
      <c r="O19" s="27">
        <f>[58]รายจ่าย!$D$45</f>
        <v>2431950.14</v>
      </c>
      <c r="P19" s="24" t="s">
        <v>149</v>
      </c>
    </row>
    <row r="20" spans="1:16" ht="24" customHeight="1">
      <c r="A20" s="22" t="s">
        <v>39</v>
      </c>
      <c r="B20" s="59"/>
      <c r="C20" s="59"/>
      <c r="D20" s="100">
        <f t="shared" si="0"/>
        <v>251251526.34</v>
      </c>
      <c r="E20" s="76">
        <f t="shared" ref="E20:J20" si="4">SUM(E21:E27)</f>
        <v>107860953.95</v>
      </c>
      <c r="F20" s="76">
        <f t="shared" si="4"/>
        <v>216749.30000000002</v>
      </c>
      <c r="G20" s="76">
        <f t="shared" si="4"/>
        <v>1514224.8399999999</v>
      </c>
      <c r="H20" s="76">
        <v>98683</v>
      </c>
      <c r="I20" s="76">
        <f t="shared" si="4"/>
        <v>401272.25</v>
      </c>
      <c r="J20" s="76">
        <f t="shared" si="4"/>
        <v>141159643</v>
      </c>
      <c r="K20" s="76">
        <f t="shared" si="3"/>
        <v>163852706.70999998</v>
      </c>
      <c r="L20" s="60">
        <f>SUM(L21:L27)</f>
        <v>104977936.00999999</v>
      </c>
      <c r="M20" s="60">
        <f>SUM(M21:M27)</f>
        <v>26132493.779999997</v>
      </c>
      <c r="N20" s="60">
        <f>SUM(N21:N27)</f>
        <v>8828175.5899999999</v>
      </c>
      <c r="O20" s="60">
        <f>SUM(O21:O27)</f>
        <v>23914101.329999998</v>
      </c>
      <c r="P20" s="22" t="s">
        <v>150</v>
      </c>
    </row>
    <row r="21" spans="1:16" ht="24" customHeight="1">
      <c r="A21" s="24" t="s">
        <v>39</v>
      </c>
      <c r="B21" s="25"/>
      <c r="C21" s="26"/>
      <c r="D21" s="100">
        <f t="shared" si="0"/>
        <v>36350696.090000004</v>
      </c>
      <c r="E21" s="27">
        <f>[59]รายรับ!$D$24+[59]รายรับ!$D$43</f>
        <v>16059782.52</v>
      </c>
      <c r="F21" s="27">
        <f>[59]รายรับ!$D$86</f>
        <v>25529.4</v>
      </c>
      <c r="G21" s="27">
        <f>[59]รายรับ!$D$93</f>
        <v>118915.17</v>
      </c>
      <c r="H21" s="64">
        <v>0</v>
      </c>
      <c r="I21" s="27">
        <f>[59]รายรับ!$D$110</f>
        <v>30600</v>
      </c>
      <c r="J21" s="27">
        <f>[59]รายรับ!$D$114+[59]รายรับ!$D$123+[59]รายรับ!$D$131</f>
        <v>20115869</v>
      </c>
      <c r="K21" s="76">
        <f t="shared" si="3"/>
        <v>23778804.589999996</v>
      </c>
      <c r="L21" s="27">
        <f>[59]รายจ่าย!$D$30+[59]รายจ่าย!$D$36+[59]รายจ่าย!$D$46</f>
        <v>16754671.26</v>
      </c>
      <c r="M21" s="27">
        <f>[59]รายจ่าย!$D$40</f>
        <v>5109860</v>
      </c>
      <c r="N21" s="27">
        <f>[59]รายจ่าย!$D$25</f>
        <v>1430862</v>
      </c>
      <c r="O21" s="27">
        <v>483411.33</v>
      </c>
      <c r="P21" s="28" t="s">
        <v>151</v>
      </c>
    </row>
    <row r="22" spans="1:16" ht="24" customHeight="1">
      <c r="A22" s="24" t="s">
        <v>152</v>
      </c>
      <c r="B22" s="25"/>
      <c r="C22" s="26"/>
      <c r="D22" s="100">
        <f t="shared" si="0"/>
        <v>39992377.659999996</v>
      </c>
      <c r="E22" s="27">
        <f>[60]รายรับ!$D$24+[60]รายรับ!$D$43</f>
        <v>16391474.76</v>
      </c>
      <c r="F22" s="27">
        <f>[60]รายรับ!$D$86</f>
        <v>6351.2</v>
      </c>
      <c r="G22" s="27">
        <f>[60]รายรับ!$D$93</f>
        <v>278762.45</v>
      </c>
      <c r="H22" s="64">
        <v>0</v>
      </c>
      <c r="I22" s="27">
        <f>[60]รายรับ!$D$110</f>
        <v>34802.25</v>
      </c>
      <c r="J22" s="27">
        <f>[60]รายรับ!$D$114+[60]รายรับ!$D$123+[60]รายรับ!$D$131</f>
        <v>23280987</v>
      </c>
      <c r="K22" s="76">
        <f t="shared" si="3"/>
        <v>21722551.609999999</v>
      </c>
      <c r="L22" s="27">
        <f>[60]รายจ่าย!$D$30+[60]รายจ่าย!$D$36+[60]รายจ่าย!$D$46</f>
        <v>13593338.77</v>
      </c>
      <c r="M22" s="27">
        <f>[60]รายจ่าย!$D$40</f>
        <v>4129133.84</v>
      </c>
      <c r="N22" s="27">
        <f>[60]รายจ่าย!$D$25</f>
        <v>825079</v>
      </c>
      <c r="O22" s="27">
        <f>[60]รายจ่าย!$D$45</f>
        <v>3175000</v>
      </c>
      <c r="P22" s="28" t="s">
        <v>153</v>
      </c>
    </row>
    <row r="23" spans="1:16" ht="24" customHeight="1">
      <c r="A23" s="24" t="s">
        <v>154</v>
      </c>
      <c r="B23" s="25"/>
      <c r="C23" s="26"/>
      <c r="D23" s="100">
        <f t="shared" si="0"/>
        <v>34211156.379999995</v>
      </c>
      <c r="E23" s="27">
        <f>[61]รายรับ!$D$24+[61]รายรับ!$D$43</f>
        <v>18609937.109999999</v>
      </c>
      <c r="F23" s="27">
        <f>[61]รายรับ!$D$86</f>
        <v>45688.9</v>
      </c>
      <c r="G23" s="27">
        <f>[61]รายรับ!$D$93</f>
        <v>287767.37</v>
      </c>
      <c r="H23" s="64">
        <v>0</v>
      </c>
      <c r="I23" s="27">
        <f>[61]รายรับ!$D$110</f>
        <v>22250</v>
      </c>
      <c r="J23" s="27">
        <f>[61]รายรับ!$D$114+[61]รายรับ!$D$123+[61]รายรับ!$D$131</f>
        <v>15245513</v>
      </c>
      <c r="K23" s="76">
        <f t="shared" si="3"/>
        <v>23700196.710000001</v>
      </c>
      <c r="L23" s="63">
        <f>[61]รายจ่าย!$D$30+[61]รายจ่าย!$D$36+[61]รายจ่าย!$D$46</f>
        <v>13326783.710000001</v>
      </c>
      <c r="M23" s="63">
        <f>[61]รายจ่าย!$D$40</f>
        <v>4740600</v>
      </c>
      <c r="N23" s="63">
        <f>[61]รายจ่าย!$D$25</f>
        <v>636833</v>
      </c>
      <c r="O23" s="63">
        <f>[61]รายจ่าย!$D$45</f>
        <v>4995980</v>
      </c>
      <c r="P23" s="28" t="s">
        <v>155</v>
      </c>
    </row>
    <row r="24" spans="1:16" ht="24" customHeight="1">
      <c r="A24" s="24" t="s">
        <v>156</v>
      </c>
      <c r="B24" s="25"/>
      <c r="C24" s="26"/>
      <c r="D24" s="100">
        <f t="shared" si="0"/>
        <v>45308051.880000003</v>
      </c>
      <c r="E24" s="27">
        <f>[62]รายรับ!$D$24+[62]รายรับ!$D$43</f>
        <v>18332111.970000003</v>
      </c>
      <c r="F24" s="27">
        <f>[62]รายรับ!$D$86</f>
        <v>79206.2</v>
      </c>
      <c r="G24" s="27">
        <f>[62]รายรับ!$D$93</f>
        <v>386024.71</v>
      </c>
      <c r="H24" s="64">
        <v>0</v>
      </c>
      <c r="I24" s="27">
        <f>[62]รายรับ!$D$110</f>
        <v>31600</v>
      </c>
      <c r="J24" s="27">
        <f>[62]รายรับ!$D$114+[62]รายรับ!$D$123+[62]รายรับ!$D$131</f>
        <v>26479109</v>
      </c>
      <c r="K24" s="76">
        <f t="shared" si="3"/>
        <v>24472210.359999999</v>
      </c>
      <c r="L24" s="63">
        <f>[62]รายจ่าย!$D$30+[62]รายจ่าย!$D$36+[62]รายจ่าย!$D$46</f>
        <v>14817382.359999999</v>
      </c>
      <c r="M24" s="63">
        <f>[62]รายจ่าย!$D$40</f>
        <v>4375144</v>
      </c>
      <c r="N24" s="63">
        <f>[62]รายจ่าย!$D$25</f>
        <v>757684</v>
      </c>
      <c r="O24" s="63">
        <f>[62]รายจ่าย!$D$45</f>
        <v>4522000</v>
      </c>
      <c r="P24" s="24" t="s">
        <v>157</v>
      </c>
    </row>
    <row r="25" spans="1:16" ht="24" customHeight="1">
      <c r="A25" s="24" t="s">
        <v>158</v>
      </c>
      <c r="B25" s="25"/>
      <c r="C25" s="25"/>
      <c r="D25" s="108">
        <f>SUM(E25:J25)</f>
        <v>31746069.32</v>
      </c>
      <c r="E25" s="27">
        <f>[63]รายรับ!$D$24+[63]รายรับ!$D$43</f>
        <v>12604915.109999998</v>
      </c>
      <c r="F25" s="27">
        <f>[63]รายรับ!$D$86</f>
        <v>2567.8000000000002</v>
      </c>
      <c r="G25" s="27">
        <f>[63]รายรับ!$D$93</f>
        <v>49307.41</v>
      </c>
      <c r="H25" s="64">
        <v>0</v>
      </c>
      <c r="I25" s="27">
        <f>[63]รายรับ!$D$110</f>
        <v>230700</v>
      </c>
      <c r="J25" s="27">
        <f>[63]รายรับ!$D$114+[63]รายรับ!$D$123+[63]รายรับ!$D$131</f>
        <v>18858579</v>
      </c>
      <c r="K25" s="76">
        <f t="shared" si="3"/>
        <v>28339800.020000003</v>
      </c>
      <c r="L25" s="63">
        <f>[63]รายจ่าย!$D$30+[63]รายจ่าย!$D$36+[63]รายจ่าย!$D$46</f>
        <v>12645474.690000001</v>
      </c>
      <c r="M25" s="63">
        <f>[63]รายจ่าย!$D$40</f>
        <v>3157764.74</v>
      </c>
      <c r="N25" s="63">
        <f>[63]รายจ่าย!$D$25</f>
        <v>2513850.59</v>
      </c>
      <c r="O25" s="63">
        <f>[63]รายจ่าย!$D$45</f>
        <v>10022710</v>
      </c>
      <c r="P25" s="28" t="s">
        <v>159</v>
      </c>
    </row>
    <row r="26" spans="1:16" ht="24" customHeight="1">
      <c r="A26" s="24" t="s">
        <v>160</v>
      </c>
      <c r="B26" s="25"/>
      <c r="C26" s="26"/>
      <c r="D26" s="100">
        <f t="shared" si="0"/>
        <v>29126707.509999998</v>
      </c>
      <c r="E26" s="27">
        <f>[64]รายรับ!$D$24+[64]รายรับ!$D$43</f>
        <v>13104894.449999999</v>
      </c>
      <c r="F26" s="27">
        <f>[64]รายรับ!$D$86</f>
        <v>5401.2</v>
      </c>
      <c r="G26" s="27">
        <f>[64]รายรับ!$D$93</f>
        <v>205539.86</v>
      </c>
      <c r="H26" s="64">
        <v>0</v>
      </c>
      <c r="I26" s="27">
        <f>[64]รายรับ!$D$110</f>
        <v>31370</v>
      </c>
      <c r="J26" s="27">
        <f>[64]รายรับ!$D$114+[64]รายรับ!$D$123+[64]รายรับ!$D$131</f>
        <v>15779502</v>
      </c>
      <c r="K26" s="76">
        <f t="shared" si="3"/>
        <v>22615545.18</v>
      </c>
      <c r="L26" s="63">
        <f>[64]รายจ่าย!$D$30+[64]รายจ่าย!$D$36+[64]รายจ่าย!$D$46</f>
        <v>19209057.18</v>
      </c>
      <c r="M26" s="63">
        <f>[64]รายจ่าย!$D$40</f>
        <v>1450110</v>
      </c>
      <c r="N26" s="63">
        <f>[64]รายจ่าย!$D$25</f>
        <v>1656378</v>
      </c>
      <c r="O26" s="63">
        <f>[64]รายจ่าย!$D$45</f>
        <v>300000</v>
      </c>
      <c r="P26" s="28" t="s">
        <v>161</v>
      </c>
    </row>
    <row r="27" spans="1:16" ht="24" customHeight="1">
      <c r="A27" s="24" t="s">
        <v>162</v>
      </c>
      <c r="B27" s="25"/>
      <c r="C27" s="26"/>
      <c r="D27" s="100">
        <f t="shared" si="0"/>
        <v>34516467.5</v>
      </c>
      <c r="E27" s="27">
        <f>[65]รายรับ!$D$24+[65]รายรับ!$D$43</f>
        <v>12757838.029999999</v>
      </c>
      <c r="F27" s="27">
        <f>[65]รายรับ!$D$86</f>
        <v>52004.6</v>
      </c>
      <c r="G27" s="27">
        <f>[65]รายรับ!$D$93</f>
        <v>187907.87</v>
      </c>
      <c r="H27" s="27">
        <v>98683</v>
      </c>
      <c r="I27" s="27">
        <f>[65]รายรับ!$D$110</f>
        <v>19950</v>
      </c>
      <c r="J27" s="27">
        <f>[65]รายรับ!$D$114+[65]รายรับ!$D$123+[65]รายรับ!$D$131</f>
        <v>21400084</v>
      </c>
      <c r="K27" s="76">
        <f t="shared" si="3"/>
        <v>19223598.239999998</v>
      </c>
      <c r="L27" s="63">
        <f>[65]รายจ่าย!$D$30+[65]รายจ่าย!$D$36+[65]รายจ่าย!$D$46</f>
        <v>14631228.039999999</v>
      </c>
      <c r="M27" s="63">
        <f>[65]รายจ่าย!$D$40</f>
        <v>3169881.2</v>
      </c>
      <c r="N27" s="63">
        <f>[65]รายจ่าย!$D$25</f>
        <v>1007489</v>
      </c>
      <c r="O27" s="63">
        <f>[65]รายจ่าย!$D$45</f>
        <v>415000</v>
      </c>
      <c r="P27" s="28" t="s">
        <v>163</v>
      </c>
    </row>
  </sheetData>
  <mergeCells count="7">
    <mergeCell ref="A7:C7"/>
    <mergeCell ref="A8:C8"/>
    <mergeCell ref="E4:J4"/>
    <mergeCell ref="L4:O4"/>
    <mergeCell ref="E5:J5"/>
    <mergeCell ref="L5:O5"/>
    <mergeCell ref="A6:C6"/>
  </mergeCells>
  <printOptions horizontalCentered="1"/>
  <pageMargins left="0.59055118110236227" right="0.27559055118110237" top="0.78740157480314965" bottom="0.59055118110236227" header="0.51181102362204722" footer="0.51181102362204722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R23"/>
  <sheetViews>
    <sheetView view="pageBreakPreview" zoomScaleNormal="90" zoomScaleSheetLayoutView="100" workbookViewId="0">
      <selection activeCell="H23" sqref="H23"/>
    </sheetView>
  </sheetViews>
  <sheetFormatPr defaultRowHeight="18.75"/>
  <cols>
    <col min="1" max="1" width="6.85546875" style="20" customWidth="1"/>
    <col min="2" max="2" width="4.85546875" style="20" customWidth="1"/>
    <col min="3" max="3" width="6" style="14" customWidth="1"/>
    <col min="4" max="4" width="15.5703125" style="111" hidden="1" customWidth="1"/>
    <col min="5" max="5" width="14" style="37" customWidth="1"/>
    <col min="6" max="6" width="13.42578125" style="37" customWidth="1"/>
    <col min="7" max="7" width="11.85546875" style="37" customWidth="1"/>
    <col min="8" max="8" width="11.5703125" style="37" customWidth="1"/>
    <col min="9" max="9" width="12" style="37" customWidth="1"/>
    <col min="10" max="10" width="14.140625" style="37" customWidth="1"/>
    <col min="11" max="11" width="15.85546875" style="37" hidden="1" customWidth="1"/>
    <col min="12" max="12" width="13.85546875" style="37" customWidth="1"/>
    <col min="13" max="13" width="13.28515625" style="37" customWidth="1"/>
    <col min="14" max="15" width="12.5703125" style="37" customWidth="1"/>
    <col min="16" max="16" width="23.28515625" style="33" customWidth="1"/>
    <col min="17" max="17" width="0.85546875" style="14" customWidth="1"/>
    <col min="18" max="18" width="8.85546875" style="15" customWidth="1"/>
    <col min="19" max="16384" width="9.140625" style="14"/>
  </cols>
  <sheetData>
    <row r="1" spans="1:18" s="10" customFormat="1">
      <c r="A1" s="8" t="s">
        <v>43</v>
      </c>
      <c r="B1" s="9">
        <v>16.3</v>
      </c>
      <c r="C1" s="40" t="s">
        <v>211</v>
      </c>
      <c r="D1" s="9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2"/>
      <c r="R1" s="15"/>
    </row>
    <row r="2" spans="1:18" s="10" customFormat="1">
      <c r="A2" s="8" t="s">
        <v>44</v>
      </c>
      <c r="B2" s="9">
        <v>16.3</v>
      </c>
      <c r="C2" s="41" t="s">
        <v>210</v>
      </c>
      <c r="D2" s="97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R2" s="15"/>
    </row>
    <row r="3" spans="1:18" s="10" customFormat="1">
      <c r="A3" s="43"/>
      <c r="B3" s="43"/>
      <c r="C3" s="44"/>
      <c r="D3" s="9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12" t="s">
        <v>203</v>
      </c>
      <c r="R3" s="15"/>
    </row>
    <row r="4" spans="1:18">
      <c r="A4" s="47"/>
      <c r="B4" s="47"/>
      <c r="C4" s="48"/>
      <c r="D4" s="105"/>
      <c r="E4" s="138" t="s">
        <v>45</v>
      </c>
      <c r="F4" s="138"/>
      <c r="G4" s="138"/>
      <c r="H4" s="138"/>
      <c r="I4" s="138"/>
      <c r="J4" s="138"/>
      <c r="K4" s="49"/>
      <c r="L4" s="138" t="s">
        <v>10</v>
      </c>
      <c r="M4" s="138"/>
      <c r="N4" s="138"/>
      <c r="O4" s="138"/>
      <c r="P4" s="47"/>
    </row>
    <row r="5" spans="1:18">
      <c r="A5" s="50"/>
      <c r="B5" s="50"/>
      <c r="C5" s="51"/>
      <c r="D5" s="106"/>
      <c r="E5" s="135" t="s">
        <v>5</v>
      </c>
      <c r="F5" s="135"/>
      <c r="G5" s="135"/>
      <c r="H5" s="135"/>
      <c r="I5" s="135"/>
      <c r="J5" s="135"/>
      <c r="K5" s="52"/>
      <c r="L5" s="135" t="s">
        <v>11</v>
      </c>
      <c r="M5" s="135"/>
      <c r="N5" s="135"/>
      <c r="O5" s="135"/>
      <c r="P5" s="50"/>
    </row>
    <row r="6" spans="1:18">
      <c r="A6" s="133" t="s">
        <v>49</v>
      </c>
      <c r="B6" s="133"/>
      <c r="C6" s="134"/>
      <c r="D6" s="102"/>
      <c r="E6" s="49" t="s">
        <v>2</v>
      </c>
      <c r="F6" s="49" t="s">
        <v>17</v>
      </c>
      <c r="G6" s="49" t="s">
        <v>3</v>
      </c>
      <c r="H6" s="49" t="s">
        <v>4</v>
      </c>
      <c r="I6" s="49" t="s">
        <v>21</v>
      </c>
      <c r="J6" s="49" t="s">
        <v>8</v>
      </c>
      <c r="K6" s="49"/>
      <c r="L6" s="49" t="s">
        <v>12</v>
      </c>
      <c r="M6" s="53" t="s">
        <v>10</v>
      </c>
      <c r="N6" s="53" t="s">
        <v>10</v>
      </c>
      <c r="O6" s="17" t="s">
        <v>8</v>
      </c>
      <c r="P6" s="50" t="s">
        <v>50</v>
      </c>
    </row>
    <row r="7" spans="1:18">
      <c r="A7" s="133" t="s">
        <v>28</v>
      </c>
      <c r="B7" s="133"/>
      <c r="C7" s="134"/>
      <c r="D7" s="102"/>
      <c r="E7" s="53" t="s">
        <v>16</v>
      </c>
      <c r="F7" s="53" t="s">
        <v>18</v>
      </c>
      <c r="G7" s="53" t="s">
        <v>6</v>
      </c>
      <c r="H7" s="53" t="s">
        <v>19</v>
      </c>
      <c r="I7" s="53" t="s">
        <v>7</v>
      </c>
      <c r="J7" s="53" t="s">
        <v>9</v>
      </c>
      <c r="K7" s="53"/>
      <c r="L7" s="53" t="s">
        <v>13</v>
      </c>
      <c r="M7" s="53" t="s">
        <v>26</v>
      </c>
      <c r="N7" s="53" t="s">
        <v>27</v>
      </c>
      <c r="O7" s="18" t="s">
        <v>9</v>
      </c>
      <c r="P7" s="50" t="s">
        <v>25</v>
      </c>
    </row>
    <row r="8" spans="1:18">
      <c r="A8" s="136" t="s">
        <v>29</v>
      </c>
      <c r="B8" s="136"/>
      <c r="C8" s="137"/>
      <c r="D8" s="103"/>
      <c r="E8" s="53" t="s">
        <v>22</v>
      </c>
      <c r="F8" s="53" t="s">
        <v>24</v>
      </c>
      <c r="G8" s="53"/>
      <c r="H8" s="53" t="s">
        <v>20</v>
      </c>
      <c r="I8" s="53"/>
      <c r="J8" s="53"/>
      <c r="K8" s="53"/>
      <c r="L8" s="53" t="s">
        <v>11</v>
      </c>
      <c r="M8" s="123" t="s">
        <v>209</v>
      </c>
      <c r="N8" s="53" t="s">
        <v>14</v>
      </c>
      <c r="O8" s="18"/>
      <c r="P8" s="54" t="s">
        <v>1</v>
      </c>
    </row>
    <row r="9" spans="1:18">
      <c r="A9" s="55"/>
      <c r="B9" s="55"/>
      <c r="C9" s="56"/>
      <c r="D9" s="104"/>
      <c r="E9" s="57"/>
      <c r="F9" s="57"/>
      <c r="G9" s="57"/>
      <c r="H9" s="57"/>
      <c r="I9" s="57"/>
      <c r="J9" s="57"/>
      <c r="K9" s="57"/>
      <c r="L9" s="57"/>
      <c r="M9" s="122" t="s">
        <v>208</v>
      </c>
      <c r="N9" s="52" t="s">
        <v>15</v>
      </c>
      <c r="O9" s="19"/>
      <c r="P9" s="58"/>
    </row>
    <row r="10" spans="1:18" ht="22.5" customHeight="1">
      <c r="A10" s="22" t="s">
        <v>40</v>
      </c>
      <c r="B10" s="59"/>
      <c r="C10" s="91"/>
      <c r="D10" s="100">
        <f t="shared" ref="D10:D19" si="0">SUM(E10:J10)</f>
        <v>177336884.47</v>
      </c>
      <c r="E10" s="60">
        <f t="shared" ref="E10:J10" si="1">SUM(E11:E14)</f>
        <v>63461281.979999989</v>
      </c>
      <c r="F10" s="60">
        <f t="shared" si="1"/>
        <v>37199</v>
      </c>
      <c r="G10" s="60">
        <f t="shared" si="1"/>
        <v>827161.37</v>
      </c>
      <c r="H10" s="61">
        <v>0</v>
      </c>
      <c r="I10" s="60">
        <f t="shared" si="1"/>
        <v>346434</v>
      </c>
      <c r="J10" s="60">
        <f t="shared" si="1"/>
        <v>112664808.12</v>
      </c>
      <c r="K10" s="60">
        <f>SUM(L10:O10)</f>
        <v>111532459.06999998</v>
      </c>
      <c r="L10" s="60">
        <f>SUM(L11:L14)</f>
        <v>57386653.779999994</v>
      </c>
      <c r="M10" s="60">
        <f>SUM(M11:M14)</f>
        <v>20258861.549999997</v>
      </c>
      <c r="N10" s="60">
        <f>SUM(N11:N14)</f>
        <v>20053842</v>
      </c>
      <c r="O10" s="60">
        <f>SUM(O11:O14)</f>
        <v>13833101.74</v>
      </c>
      <c r="P10" s="62" t="s">
        <v>164</v>
      </c>
    </row>
    <row r="11" spans="1:18" ht="22.5" customHeight="1">
      <c r="A11" s="24" t="s">
        <v>40</v>
      </c>
      <c r="B11" s="25"/>
      <c r="C11" s="92"/>
      <c r="D11" s="100">
        <f t="shared" si="0"/>
        <v>50744174.950000003</v>
      </c>
      <c r="E11" s="27">
        <f>[66]รายรับ!$D$24+[66]รายรับ!$D$43</f>
        <v>16355958.319999998</v>
      </c>
      <c r="F11" s="27">
        <f>[66]รายรับ!$D$86</f>
        <v>2991.4</v>
      </c>
      <c r="G11" s="119">
        <f>[66]รายรับ!$D$93</f>
        <v>163139.23000000001</v>
      </c>
      <c r="H11" s="64">
        <v>0</v>
      </c>
      <c r="I11" s="27">
        <f>[66]รายรับ!$D$110</f>
        <v>166466</v>
      </c>
      <c r="J11" s="27">
        <f>[66]รายรับ!$D$114+[66]รายรับ!$D$123+[66]รายรับ!$D$131</f>
        <v>34055620</v>
      </c>
      <c r="K11" s="60">
        <f t="shared" ref="K11:K19" si="2">SUM(L11:O11)</f>
        <v>35304064.609999999</v>
      </c>
      <c r="L11" s="63">
        <f>[66]รายจ่าย!$D$30+[66]รายจ่าย!$D$36+[66]รายจ่าย!$D$46</f>
        <v>14995536.949999999</v>
      </c>
      <c r="M11" s="63">
        <f>[66]รายจ่าย!$D$40</f>
        <v>8450031.6600000001</v>
      </c>
      <c r="N11" s="63">
        <f>[66]รายจ่าย!$D$25</f>
        <v>8402996</v>
      </c>
      <c r="O11" s="63">
        <f>[66]รายจ่าย!$D$45</f>
        <v>3455500</v>
      </c>
      <c r="P11" s="28" t="s">
        <v>165</v>
      </c>
    </row>
    <row r="12" spans="1:18" ht="22.5" customHeight="1">
      <c r="A12" s="24" t="s">
        <v>166</v>
      </c>
      <c r="B12" s="25"/>
      <c r="C12" s="93"/>
      <c r="D12" s="100">
        <f t="shared" si="0"/>
        <v>47617351.189999998</v>
      </c>
      <c r="E12" s="27">
        <f>[67]รายรับ!$D$24+[67]รายรับ!$D$43</f>
        <v>17572821.009999998</v>
      </c>
      <c r="F12" s="27">
        <f>[67]รายรับ!$D$86</f>
        <v>8954</v>
      </c>
      <c r="G12" s="27">
        <f>[67]รายรับ!$D$93</f>
        <v>424300.29</v>
      </c>
      <c r="H12" s="64">
        <v>0</v>
      </c>
      <c r="I12" s="27">
        <f>[67]รายรับ!$D$110</f>
        <v>66000</v>
      </c>
      <c r="J12" s="27">
        <f>[67]รายรับ!$D$114+[67]รายรับ!$D$123+[67]รายรับ!$D$131</f>
        <v>29545275.890000001</v>
      </c>
      <c r="K12" s="60">
        <f t="shared" si="2"/>
        <v>35849450.100000001</v>
      </c>
      <c r="L12" s="63">
        <f>[67]รายจ่าย!$D$30+[67]รายจ่าย!$D$36+[67]รายจ่าย!$D$46</f>
        <v>17771232.289999999</v>
      </c>
      <c r="M12" s="63">
        <f>[67]รายจ่าย!$D$40</f>
        <v>6146874.8100000005</v>
      </c>
      <c r="N12" s="63">
        <f>[67]รายจ่าย!$D$25</f>
        <v>8947343</v>
      </c>
      <c r="O12" s="63">
        <f>[67]รายจ่าย!$D$45</f>
        <v>2984000</v>
      </c>
      <c r="P12" s="28" t="s">
        <v>167</v>
      </c>
    </row>
    <row r="13" spans="1:18" ht="22.5" customHeight="1">
      <c r="A13" s="24" t="s">
        <v>168</v>
      </c>
      <c r="B13" s="25"/>
      <c r="C13" s="92"/>
      <c r="D13" s="100">
        <f t="shared" si="0"/>
        <v>51426531.969999999</v>
      </c>
      <c r="E13" s="27">
        <f>[68]รายรับ!$D$24+[68]รายรับ!$D$43</f>
        <v>17008885.489999998</v>
      </c>
      <c r="F13" s="27">
        <f>[68]รายรับ!$D$86</f>
        <v>20100.400000000001</v>
      </c>
      <c r="G13" s="27">
        <f>[68]รายรับ!$D$93</f>
        <v>239721.85</v>
      </c>
      <c r="H13" s="64">
        <v>0</v>
      </c>
      <c r="I13" s="27">
        <f>[68]รายรับ!$D$110</f>
        <v>87000</v>
      </c>
      <c r="J13" s="27">
        <f>[68]รายรับ!$D$114+[68]รายรับ!$D$123+[68]รายรับ!$D$131</f>
        <v>34070824.230000004</v>
      </c>
      <c r="K13" s="60">
        <f t="shared" si="2"/>
        <v>26950361.880000003</v>
      </c>
      <c r="L13" s="63">
        <f>[68]รายจ่าย!$D$30+[68]รายจ่าย!$D$36+[68]รายจ่าย!$D$46</f>
        <v>15372235.140000001</v>
      </c>
      <c r="M13" s="63">
        <f>[68]รายจ่าย!$D$40</f>
        <v>4200900</v>
      </c>
      <c r="N13" s="63">
        <f>[68]รายจ่าย!$D$25</f>
        <v>2070007</v>
      </c>
      <c r="O13" s="63">
        <f>[68]รายจ่าย!$D$45</f>
        <v>5307219.74</v>
      </c>
      <c r="P13" s="28" t="s">
        <v>169</v>
      </c>
    </row>
    <row r="14" spans="1:18" ht="22.5" customHeight="1">
      <c r="A14" s="24" t="s">
        <v>170</v>
      </c>
      <c r="B14" s="25"/>
      <c r="C14" s="93"/>
      <c r="D14" s="100">
        <f t="shared" si="0"/>
        <v>27548826.359999999</v>
      </c>
      <c r="E14" s="27">
        <f>[69]รายรับ!$D$24+[69]รายรับ!$D$43</f>
        <v>12523617.16</v>
      </c>
      <c r="F14" s="27">
        <f>[69]รายรับ!$D$86</f>
        <v>5153.2</v>
      </c>
      <c r="G14" s="64">
        <f>[69]รายรับ!$D$93</f>
        <v>0</v>
      </c>
      <c r="H14" s="64">
        <v>0</v>
      </c>
      <c r="I14" s="27">
        <f>[69]รายรับ!$D$110</f>
        <v>26968</v>
      </c>
      <c r="J14" s="27">
        <f>[69]รายรับ!$D$114+[69]รายรับ!$D$123+[69]รายรับ!$D$131</f>
        <v>14993088</v>
      </c>
      <c r="K14" s="60">
        <f t="shared" si="2"/>
        <v>13428582.479999999</v>
      </c>
      <c r="L14" s="27">
        <f>[69]รายจ่าย!$D$30+[69]รายจ่าย!$D$36+[69]รายจ่าย!$D$46</f>
        <v>9247649.3999999985</v>
      </c>
      <c r="M14" s="27">
        <f>[69]รายจ่าย!$D$40</f>
        <v>1461055.08</v>
      </c>
      <c r="N14" s="27">
        <f>[69]รายจ่าย!$D$25</f>
        <v>633496</v>
      </c>
      <c r="O14" s="27">
        <f>[69]รายจ่าย!$D$45</f>
        <v>2086382</v>
      </c>
      <c r="P14" s="24" t="s">
        <v>171</v>
      </c>
    </row>
    <row r="15" spans="1:18" ht="22.5" customHeight="1">
      <c r="A15" s="22" t="s">
        <v>41</v>
      </c>
      <c r="B15" s="59"/>
      <c r="C15" s="94"/>
      <c r="D15" s="100">
        <f t="shared" si="0"/>
        <v>43749357.640000001</v>
      </c>
      <c r="E15" s="65">
        <f t="shared" ref="E15:J15" si="3">SUM(E16:E16)</f>
        <v>21977339.140000001</v>
      </c>
      <c r="F15" s="65">
        <f t="shared" si="3"/>
        <v>6780</v>
      </c>
      <c r="G15" s="65">
        <f t="shared" si="3"/>
        <v>122726.5</v>
      </c>
      <c r="H15" s="32">
        <v>0</v>
      </c>
      <c r="I15" s="65">
        <f t="shared" si="3"/>
        <v>66130</v>
      </c>
      <c r="J15" s="65">
        <f t="shared" si="3"/>
        <v>21576382</v>
      </c>
      <c r="K15" s="60">
        <f t="shared" si="2"/>
        <v>40331773.68</v>
      </c>
      <c r="L15" s="66">
        <f>SUM(L16:L16)</f>
        <v>25729898.68</v>
      </c>
      <c r="M15" s="66">
        <f>SUM(M16:M16)</f>
        <v>9528700</v>
      </c>
      <c r="N15" s="66">
        <f>SUM(N16:N16)</f>
        <v>1075175</v>
      </c>
      <c r="O15" s="66">
        <f>SUM(O16:O16)</f>
        <v>3998000</v>
      </c>
      <c r="P15" s="22" t="s">
        <v>172</v>
      </c>
    </row>
    <row r="16" spans="1:18" ht="22.5" customHeight="1">
      <c r="A16" s="24" t="s">
        <v>41</v>
      </c>
      <c r="B16" s="25"/>
      <c r="C16" s="92"/>
      <c r="D16" s="100">
        <f t="shared" si="0"/>
        <v>43749357.640000001</v>
      </c>
      <c r="E16" s="27">
        <f>[70]รายรับ!$D$24+[70]รายรับ!$D$43</f>
        <v>21977339.140000001</v>
      </c>
      <c r="F16" s="27">
        <f>[70]รายรับ!$D$86</f>
        <v>6780</v>
      </c>
      <c r="G16" s="27">
        <f>[70]รายรับ!$D$93</f>
        <v>122726.5</v>
      </c>
      <c r="H16" s="64">
        <v>0</v>
      </c>
      <c r="I16" s="27">
        <f>[70]รายรับ!$D$110</f>
        <v>66130</v>
      </c>
      <c r="J16" s="27">
        <f>[70]รายรับ!$D$114+[70]รายรับ!$D$123+[70]รายรับ!$D$131</f>
        <v>21576382</v>
      </c>
      <c r="K16" s="60">
        <f t="shared" si="2"/>
        <v>40331773.68</v>
      </c>
      <c r="L16" s="27">
        <f>[70]รายจ่าย!$D$30+[70]รายจ่าย!$D$36+[70]รายจ่าย!$D$46</f>
        <v>25729898.68</v>
      </c>
      <c r="M16" s="27">
        <f>[70]รายจ่าย!$D$40</f>
        <v>9528700</v>
      </c>
      <c r="N16" s="27">
        <f>[70]รายจ่าย!$D$25</f>
        <v>1075175</v>
      </c>
      <c r="O16" s="27">
        <f>[70]รายจ่าย!$D$45</f>
        <v>3998000</v>
      </c>
      <c r="P16" s="28" t="s">
        <v>173</v>
      </c>
    </row>
    <row r="17" spans="1:18" ht="22.5" customHeight="1">
      <c r="A17" s="22" t="s">
        <v>42</v>
      </c>
      <c r="B17" s="59"/>
      <c r="C17" s="94"/>
      <c r="D17" s="100">
        <f t="shared" si="0"/>
        <v>90101311.079999998</v>
      </c>
      <c r="E17" s="65">
        <f t="shared" ref="E17:J17" si="4">SUM(E18:E19)</f>
        <v>34338626.899999999</v>
      </c>
      <c r="F17" s="65">
        <f t="shared" si="4"/>
        <v>195783.26</v>
      </c>
      <c r="G17" s="65">
        <f t="shared" si="4"/>
        <v>1018827.9199999999</v>
      </c>
      <c r="H17" s="32">
        <v>0</v>
      </c>
      <c r="I17" s="65">
        <f t="shared" si="4"/>
        <v>109560</v>
      </c>
      <c r="J17" s="65">
        <f t="shared" si="4"/>
        <v>54438513</v>
      </c>
      <c r="K17" s="60">
        <f t="shared" si="2"/>
        <v>48232102.530000001</v>
      </c>
      <c r="L17" s="66">
        <f>SUM(L18:L19)</f>
        <v>27470127.640000001</v>
      </c>
      <c r="M17" s="66">
        <f>SUM(M18:M19)</f>
        <v>10883072.35</v>
      </c>
      <c r="N17" s="66">
        <f>SUM(N18:N19)</f>
        <v>2808905.96</v>
      </c>
      <c r="O17" s="66">
        <f>SUM(O18:O19)</f>
        <v>7069996.5800000001</v>
      </c>
      <c r="P17" s="22" t="s">
        <v>174</v>
      </c>
    </row>
    <row r="18" spans="1:18" ht="22.5" customHeight="1">
      <c r="A18" s="24" t="s">
        <v>175</v>
      </c>
      <c r="B18" s="25"/>
      <c r="C18" s="93"/>
      <c r="D18" s="100">
        <f t="shared" si="0"/>
        <v>28567634.020000003</v>
      </c>
      <c r="E18" s="67">
        <f>[71]รายรับ!$D$24+[71]รายรับ!$D$43</f>
        <v>12856977.300000001</v>
      </c>
      <c r="F18" s="67">
        <f>[71]รายรับ!$D$86</f>
        <v>124678.26000000001</v>
      </c>
      <c r="G18" s="67">
        <f>[71]รายรับ!$D$93</f>
        <v>204736.46</v>
      </c>
      <c r="H18" s="64">
        <v>0</v>
      </c>
      <c r="I18" s="67">
        <f>[71]รายรับ!$D$110</f>
        <v>21600</v>
      </c>
      <c r="J18" s="67">
        <f>[71]รายรับ!$D$114+[71]รายรับ!$D$123+[71]รายรับ!$D$131</f>
        <v>15359642</v>
      </c>
      <c r="K18" s="60">
        <f t="shared" si="2"/>
        <v>18087010.670000002</v>
      </c>
      <c r="L18" s="63">
        <f>[71]รายจ่าย!$D$30+[71]รายจ่าย!$D$36+[71]รายจ่าย!$D$46</f>
        <v>10419832.5</v>
      </c>
      <c r="M18" s="63">
        <f>[71]รายจ่าย!$D$40</f>
        <v>5099125.17</v>
      </c>
      <c r="N18" s="63">
        <f>[71]รายจ่าย!$D$25</f>
        <v>500053</v>
      </c>
      <c r="O18" s="63">
        <f>[71]รายจ่าย!$D$45</f>
        <v>2068000</v>
      </c>
      <c r="P18" s="28" t="s">
        <v>176</v>
      </c>
    </row>
    <row r="19" spans="1:18" ht="22.5" customHeight="1">
      <c r="A19" s="24" t="s">
        <v>177</v>
      </c>
      <c r="B19" s="25"/>
      <c r="C19" s="92"/>
      <c r="D19" s="100">
        <f t="shared" si="0"/>
        <v>61533677.060000002</v>
      </c>
      <c r="E19" s="67">
        <f>[72]รายรับ!$D$24+[72]รายรับ!$D$43</f>
        <v>21481649.599999998</v>
      </c>
      <c r="F19" s="67">
        <f>[72]รายรับ!$D$86</f>
        <v>71105</v>
      </c>
      <c r="G19" s="119">
        <f>[72]รายรับ!$D$93</f>
        <v>814091.46</v>
      </c>
      <c r="H19" s="64">
        <v>0</v>
      </c>
      <c r="I19" s="67">
        <f>[72]รายรับ!$D$110</f>
        <v>87960</v>
      </c>
      <c r="J19" s="67">
        <f>[72]รายรับ!$D$114+[72]รายรับ!$D$123+[72]รายรับ!$D$131</f>
        <v>39078871</v>
      </c>
      <c r="K19" s="60">
        <f t="shared" si="2"/>
        <v>30145091.859999999</v>
      </c>
      <c r="L19" s="63">
        <f>[72]รายจ่าย!$D$30+[72]รายจ่าย!$D$36+[72]รายจ่าย!$D$46</f>
        <v>17050295.140000001</v>
      </c>
      <c r="M19" s="63">
        <f>[72]รายจ่าย!$D$40</f>
        <v>5783947.1799999997</v>
      </c>
      <c r="N19" s="63">
        <f>[72]รายจ่าย!$D$25</f>
        <v>2308852.96</v>
      </c>
      <c r="O19" s="63">
        <f>[72]รายจ่าย!$D$45</f>
        <v>5001996.58</v>
      </c>
      <c r="P19" s="28" t="s">
        <v>178</v>
      </c>
    </row>
    <row r="20" spans="1:18" ht="10.5" customHeight="1">
      <c r="A20" s="68"/>
      <c r="B20" s="68"/>
      <c r="C20" s="69"/>
      <c r="D20" s="109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68"/>
    </row>
    <row r="21" spans="1:18" ht="10.5" customHeight="1">
      <c r="C21" s="71"/>
      <c r="D21" s="11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20"/>
    </row>
    <row r="22" spans="1:18" s="81" customFormat="1" ht="21" customHeight="1">
      <c r="A22" s="3" t="s">
        <v>179</v>
      </c>
      <c r="B22" s="1" t="s">
        <v>206</v>
      </c>
      <c r="C22" s="2"/>
      <c r="D22" s="2"/>
      <c r="E22" s="4"/>
      <c r="F22" s="5"/>
      <c r="G22" s="113"/>
      <c r="H22" s="113"/>
      <c r="I22" s="113"/>
      <c r="J22" s="114"/>
      <c r="K22" s="114"/>
      <c r="L22" s="115"/>
      <c r="M22" s="31"/>
      <c r="N22" s="116"/>
      <c r="O22" s="116"/>
      <c r="P22" s="31"/>
      <c r="R22" s="15"/>
    </row>
    <row r="23" spans="1:18">
      <c r="A23" s="4" t="s">
        <v>180</v>
      </c>
      <c r="B23" s="95" t="s">
        <v>207</v>
      </c>
      <c r="C23" s="2"/>
      <c r="D23" s="4"/>
      <c r="E23" s="36"/>
    </row>
  </sheetData>
  <mergeCells count="7">
    <mergeCell ref="A7:C7"/>
    <mergeCell ref="A8:C8"/>
    <mergeCell ref="E4:J4"/>
    <mergeCell ref="L4:O4"/>
    <mergeCell ref="E5:J5"/>
    <mergeCell ref="L5:O5"/>
    <mergeCell ref="A6:C6"/>
  </mergeCells>
  <printOptions horizontalCentered="1"/>
  <pageMargins left="0.59055118110236227" right="0.27559055118110237" top="0.98425196850393704" bottom="0.59055118110236227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16.3 </vt:lpstr>
      <vt:lpstr>16.3  (2)</vt:lpstr>
      <vt:lpstr>16.3  (3)</vt:lpstr>
      <vt:lpstr>16.3  (4)</vt:lpstr>
      <vt:lpstr>16.3  (5)</vt:lpstr>
      <vt:lpstr>'16.3 '!Print_Area</vt:lpstr>
      <vt:lpstr>'16.3  (3)'!Print_Area</vt:lpstr>
      <vt:lpstr>'16.3  (5)'!Print_Area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2016-02-02T04:46:00Z</cp:lastPrinted>
  <dcterms:created xsi:type="dcterms:W3CDTF">1997-06-13T10:07:54Z</dcterms:created>
  <dcterms:modified xsi:type="dcterms:W3CDTF">2016-02-26T04:41:20Z</dcterms:modified>
</cp:coreProperties>
</file>