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9 สถิติการคลัง\"/>
    </mc:Choice>
  </mc:AlternateContent>
  <xr:revisionPtr revIDLastSave="0" documentId="8_{49C9B871-EDAA-4BDD-8007-EC38277D6733}" xr6:coauthVersionLast="45" xr6:coauthVersionMax="45" xr10:uidLastSave="{00000000-0000-0000-0000-000000000000}"/>
  <bookViews>
    <workbookView xWindow="-120" yWindow="-120" windowWidth="21840" windowHeight="13140" xr2:uid="{899DD855-E158-4A6A-8B81-470FB9D6937B}"/>
  </bookViews>
  <sheets>
    <sheet name="T-19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4" i="1" s="1"/>
  <c r="Q15" i="1"/>
  <c r="Q14" i="1" s="1"/>
  <c r="E21" i="1"/>
  <c r="E15" i="1" s="1"/>
  <c r="F21" i="1"/>
  <c r="F15" i="1" s="1"/>
  <c r="G21" i="1"/>
  <c r="G15" i="1" s="1"/>
  <c r="G14" i="1" s="1"/>
  <c r="I21" i="1"/>
  <c r="I15" i="1" s="1"/>
  <c r="J21" i="1"/>
  <c r="J15" i="1" s="1"/>
  <c r="J14" i="1" s="1"/>
  <c r="K21" i="1"/>
  <c r="K15" i="1" s="1"/>
  <c r="L21" i="1"/>
  <c r="L15" i="1" s="1"/>
  <c r="L14" i="1" s="1"/>
  <c r="M21" i="1"/>
  <c r="M15" i="1" s="1"/>
  <c r="M14" i="1" s="1"/>
  <c r="N21" i="1"/>
  <c r="N15" i="1" s="1"/>
  <c r="N14" i="1" s="1"/>
  <c r="O21" i="1"/>
  <c r="O15" i="1" s="1"/>
  <c r="O14" i="1" s="1"/>
  <c r="P21" i="1"/>
  <c r="P15" i="1" s="1"/>
  <c r="P14" i="1" s="1"/>
  <c r="E24" i="1"/>
  <c r="F24" i="1"/>
  <c r="G24" i="1"/>
  <c r="I24" i="1"/>
  <c r="J24" i="1"/>
  <c r="K24" i="1"/>
  <c r="L24" i="1"/>
  <c r="M24" i="1"/>
  <c r="N24" i="1"/>
  <c r="O24" i="1"/>
  <c r="P24" i="1"/>
  <c r="E27" i="1"/>
  <c r="F27" i="1"/>
  <c r="G27" i="1"/>
  <c r="I27" i="1"/>
  <c r="J27" i="1"/>
  <c r="K27" i="1"/>
  <c r="L27" i="1"/>
  <c r="M27" i="1"/>
  <c r="N27" i="1"/>
  <c r="O27" i="1"/>
  <c r="P27" i="1"/>
  <c r="Q27" i="1"/>
  <c r="E28" i="1"/>
  <c r="F28" i="1"/>
  <c r="G28" i="1"/>
  <c r="H28" i="1"/>
  <c r="I28" i="1"/>
  <c r="J28" i="1"/>
  <c r="K28" i="1"/>
  <c r="L28" i="1"/>
  <c r="M28" i="1"/>
  <c r="N28" i="1"/>
  <c r="O28" i="1"/>
  <c r="P28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G77" i="1"/>
  <c r="L77" i="1"/>
  <c r="Q77" i="1"/>
  <c r="E78" i="1"/>
  <c r="E77" i="1" s="1"/>
  <c r="F78" i="1"/>
  <c r="F77" i="1" s="1"/>
  <c r="G78" i="1"/>
  <c r="H78" i="1"/>
  <c r="H77" i="1" s="1"/>
  <c r="I78" i="1"/>
  <c r="J78" i="1"/>
  <c r="J77" i="1" s="1"/>
  <c r="K78" i="1"/>
  <c r="K77" i="1" s="1"/>
  <c r="L78" i="1"/>
  <c r="M78" i="1"/>
  <c r="M77" i="1" s="1"/>
  <c r="N78" i="1"/>
  <c r="N77" i="1" s="1"/>
  <c r="O78" i="1"/>
  <c r="O77" i="1" s="1"/>
  <c r="P78" i="1"/>
  <c r="P77" i="1" s="1"/>
  <c r="E83" i="1"/>
  <c r="F83" i="1"/>
  <c r="G83" i="1"/>
  <c r="I83" i="1"/>
  <c r="I77" i="1" s="1"/>
  <c r="J83" i="1"/>
  <c r="L83" i="1"/>
  <c r="M83" i="1"/>
  <c r="N83" i="1"/>
  <c r="O83" i="1"/>
  <c r="P83" i="1"/>
  <c r="E84" i="1"/>
  <c r="F84" i="1"/>
  <c r="G84" i="1"/>
  <c r="I84" i="1"/>
  <c r="J84" i="1"/>
  <c r="K84" i="1"/>
  <c r="L84" i="1"/>
  <c r="M84" i="1"/>
  <c r="N84" i="1"/>
  <c r="O84" i="1"/>
  <c r="P84" i="1"/>
  <c r="E85" i="1"/>
  <c r="F85" i="1"/>
  <c r="G85" i="1"/>
  <c r="I85" i="1"/>
  <c r="J85" i="1"/>
  <c r="L85" i="1"/>
  <c r="M85" i="1"/>
  <c r="N85" i="1"/>
  <c r="O85" i="1"/>
  <c r="P85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K14" i="1" l="1"/>
  <c r="I14" i="1"/>
  <c r="F14" i="1"/>
  <c r="E14" i="1"/>
</calcChain>
</file>

<file path=xl/sharedStrings.xml><?xml version="1.0" encoding="utf-8"?>
<sst xmlns="http://schemas.openxmlformats.org/spreadsheetml/2006/main" count="374" uniqueCount="156">
  <si>
    <t xml:space="preserve"> Source: Nong Bua Lam Phu Provincial Office of Local Administration</t>
  </si>
  <si>
    <t>สำนักงานส่งเสริมการปกครองท้องถิ่นจังหวัดหนองบัวลำภู</t>
  </si>
  <si>
    <t xml:space="preserve">     ที่มา:  </t>
  </si>
  <si>
    <t>Office of the Na Kae SAO.</t>
  </si>
  <si>
    <t>-</t>
  </si>
  <si>
    <t>นาแก</t>
  </si>
  <si>
    <t>Office of the Wang Thong SAO.</t>
  </si>
  <si>
    <t xml:space="preserve"> -</t>
  </si>
  <si>
    <t>วังทอง</t>
  </si>
  <si>
    <t>Office of the Na Lao SAO.</t>
  </si>
  <si>
    <t>อบต.นาเหล่า</t>
  </si>
  <si>
    <t>Office of the Wang Pla Pom SAO.</t>
  </si>
  <si>
    <t>วังปลาป้อม</t>
  </si>
  <si>
    <t>Office of the Thep Khiri SAO.</t>
  </si>
  <si>
    <t>เทพคีรี</t>
  </si>
  <si>
    <t>Na Wang District</t>
  </si>
  <si>
    <t>อำเภอนาวัง</t>
  </si>
  <si>
    <t>Others</t>
  </si>
  <si>
    <t>Subsidies</t>
  </si>
  <si>
    <t>Investments</t>
  </si>
  <si>
    <t>Operations</t>
  </si>
  <si>
    <t>Personnel</t>
  </si>
  <si>
    <t>fund</t>
  </si>
  <si>
    <t>Miscellaneous</t>
  </si>
  <si>
    <t>and commerce</t>
  </si>
  <si>
    <t>Property</t>
  </si>
  <si>
    <t xml:space="preserve"> fees and fines</t>
  </si>
  <si>
    <t>duties</t>
  </si>
  <si>
    <t>รายจ่ายอื่นๆ</t>
  </si>
  <si>
    <t>งบอุดหนุน</t>
  </si>
  <si>
    <t>งบลงทุน</t>
  </si>
  <si>
    <t>งบดำเนินงาน</t>
  </si>
  <si>
    <t>งบบุคลากร</t>
  </si>
  <si>
    <t>Central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</si>
  <si>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</si>
  <si>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</si>
  <si>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</si>
  <si>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</si>
  <si>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</si>
  <si>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</si>
  <si>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Taxes and</t>
  </si>
  <si>
    <t>Organization</t>
  </si>
  <si>
    <t>งบกลาง</t>
  </si>
  <si>
    <t>และการพาณิชย์</t>
  </si>
  <si>
    <t xml:space="preserve"> และค่าปรับ</t>
  </si>
  <si>
    <t>ภาษีอากร</t>
  </si>
  <si>
    <t>บริหารส่วนตำบล</t>
  </si>
  <si>
    <t>Administration</t>
  </si>
  <si>
    <t>สาธารณูปโภค</t>
  </si>
  <si>
    <t>ใบอนุญาต</t>
  </si>
  <si>
    <t xml:space="preserve"> องค์การ</t>
  </si>
  <si>
    <t xml:space="preserve">Subdistrict </t>
  </si>
  <si>
    <t>ค่าธรรมเนียม</t>
  </si>
  <si>
    <t xml:space="preserve"> อำเภอ/</t>
  </si>
  <si>
    <t>District/</t>
  </si>
  <si>
    <t>Expenditure</t>
  </si>
  <si>
    <t>Revenue</t>
  </si>
  <si>
    <t xml:space="preserve"> </t>
  </si>
  <si>
    <t>รายจ่าย</t>
  </si>
  <si>
    <t xml:space="preserve">รายได้ </t>
  </si>
  <si>
    <t>(พันบาท  Thousand baht)</t>
  </si>
  <si>
    <t>Fiscal Year 2019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</si>
  <si>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</si>
  <si>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</si>
  <si>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 (ต่อ)</t>
  </si>
  <si>
    <t xml:space="preserve">ตาราง   </t>
  </si>
  <si>
    <t>Office of the Kut Phueng SAO.</t>
  </si>
  <si>
    <t>อบต.กุดผึ้ง</t>
  </si>
  <si>
    <t>Office of the Dong Mafai SAO.</t>
  </si>
  <si>
    <t>อบต.ดงมะไฟ</t>
  </si>
  <si>
    <t>Office of the Ban Khok SAO.</t>
  </si>
  <si>
    <t>อบต.บ้านโคก</t>
  </si>
  <si>
    <t>Office of the Na Si SAO.</t>
  </si>
  <si>
    <t>อบต.นาสี</t>
  </si>
  <si>
    <t>SuwanKhuha District</t>
  </si>
  <si>
    <t>อำเภอสุวรรณคูหา</t>
  </si>
  <si>
    <t>Office of the Mueang Mai SAO.</t>
  </si>
  <si>
    <t>อบต. เมืองใหม่</t>
  </si>
  <si>
    <t>Office of the Nong Kung Kaeo SAO.</t>
  </si>
  <si>
    <t>อบต. หนองกุงแก้ว</t>
  </si>
  <si>
    <t>Office of the Han Na Ngam SAO.</t>
  </si>
  <si>
    <t>อบต. หันนางาม</t>
  </si>
  <si>
    <t>Office of the Sai Thong SAO.</t>
  </si>
  <si>
    <t>อบต. ทรายทอง</t>
  </si>
  <si>
    <t>Office of the Kut Sathian SAO.</t>
  </si>
  <si>
    <t>อบต. กุดสะเทียน</t>
  </si>
  <si>
    <t>Office of the Na Kok SAO.</t>
  </si>
  <si>
    <t>อบต. นากอก</t>
  </si>
  <si>
    <t>Office of the Si Bun Rueang SAO.</t>
  </si>
  <si>
    <t>อบต. ศรีบุญเรือง</t>
  </si>
  <si>
    <t>Office of the Nong Bua Tai SAO.</t>
  </si>
  <si>
    <t>อบต. หนองบัวใต้</t>
  </si>
  <si>
    <t>Office of the Non Muang SAO.</t>
  </si>
  <si>
    <t>อบต. โนนม่วง</t>
  </si>
  <si>
    <t>Si Bun Ruang District</t>
  </si>
  <si>
    <t>อำเภอศรีบุญเรือง</t>
  </si>
  <si>
    <t>Office of the Ban Thin SAO.</t>
  </si>
  <si>
    <t>อบต. บ้านถิ่น</t>
  </si>
  <si>
    <t>Office of the Kut Du SAO.</t>
  </si>
  <si>
    <t>อบต. กุดดู่</t>
  </si>
  <si>
    <t>Office of the Pang Ku SAO.</t>
  </si>
  <si>
    <t>อบต. ปางกู่</t>
  </si>
  <si>
    <t>Office of the Nikhom Phatthana SAO.</t>
  </si>
  <si>
    <t>อบต. นิคมพัฒนา</t>
  </si>
  <si>
    <t>Office of the Non Mueang SAO.</t>
  </si>
  <si>
    <t>อบต. โนนเมือง</t>
  </si>
  <si>
    <t>Office of the Khok Muang SAO.</t>
  </si>
  <si>
    <t>อบต. โคกม่วง</t>
  </si>
  <si>
    <t>Office of the Khok Yai SAO.</t>
  </si>
  <si>
    <t>อบต. โคกใหญ่</t>
  </si>
  <si>
    <t>Non Sang District</t>
  </si>
  <si>
    <t>อำเภอโนนสัง</t>
  </si>
  <si>
    <t>Office of the Dong Sawan SAO.</t>
  </si>
  <si>
    <t>อบต.ดงสวรรค์</t>
  </si>
  <si>
    <t>อบต.โนนเมือง</t>
  </si>
  <si>
    <t>Office of the Uthai Sawan SAO.</t>
  </si>
  <si>
    <t>อบต.อุทัยสวรรค์</t>
  </si>
  <si>
    <t>Office of the Dan Chang SAO.</t>
  </si>
  <si>
    <t>อบต.ด่านช้าง</t>
  </si>
  <si>
    <t>Office of the Kut Hae SAO.</t>
  </si>
  <si>
    <t>--</t>
  </si>
  <si>
    <t>อบต. กุดแห่</t>
  </si>
  <si>
    <t>Na Klang District</t>
  </si>
  <si>
    <t>อำเภอนากลาง</t>
  </si>
  <si>
    <t>Office of the Na Mafueang SAO.</t>
  </si>
  <si>
    <t>อบต.นามะเฟือง</t>
  </si>
  <si>
    <t>Office of the Ban Kham SAO.</t>
  </si>
  <si>
    <t>อบต.บ้านขาม</t>
  </si>
  <si>
    <t>Office of the Nong Phai Sun SAO.</t>
  </si>
  <si>
    <t>อบต.หนองภัยศูนย์</t>
  </si>
  <si>
    <t>Office of the Nong Bua SAO.</t>
  </si>
  <si>
    <t xml:space="preserve">อบต.หนองบัว </t>
  </si>
  <si>
    <t>Office of the Ban Phrao SAO.</t>
  </si>
  <si>
    <t>อบต.บ้านพร้าว</t>
  </si>
  <si>
    <t>Office of the Hua Na SAO.</t>
  </si>
  <si>
    <t xml:space="preserve">อบต.หัวนา </t>
  </si>
  <si>
    <t>Office of the Kut Chik SAO.</t>
  </si>
  <si>
    <t>อบต.กุดจิก</t>
  </si>
  <si>
    <t>Office of the Non Khamin SAO.</t>
  </si>
  <si>
    <t>อบต.โนนขมิ้น</t>
  </si>
  <si>
    <t>Office of the Non Than SAO.</t>
  </si>
  <si>
    <t>อบต.โนนทัน</t>
  </si>
  <si>
    <t>Office of the Na Kham Hai SAO.</t>
  </si>
  <si>
    <t>อบต.นาคำไฮ</t>
  </si>
  <si>
    <t>Office of the Nong Sawan SAO.</t>
  </si>
  <si>
    <t xml:space="preserve">อบต.หนองสวรรค์ </t>
  </si>
  <si>
    <t>Office of the Pa Mai Ngam SAO.</t>
  </si>
  <si>
    <t>อบต.ป่าไม้งาม</t>
  </si>
  <si>
    <t>Office of the Nong Wa SAO.</t>
  </si>
  <si>
    <t>อบต.หนองหว้า</t>
  </si>
  <si>
    <t>Mueang Nong Bua Lam Phu District</t>
  </si>
  <si>
    <t>อำเภอเมืองหนองบัวลำภู</t>
  </si>
  <si>
    <t>Total</t>
  </si>
  <si>
    <t>รวมยอด</t>
  </si>
  <si>
    <t>Fiscal Year 2019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</si>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</sst>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#,##0.000"/>
    <numFmt numFmtId="188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sz val="10"/>
      <name val="Cordia New"/>
      <family val="2"/>
    </font>
    <font>
      <b/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horizontal="left" wrapText="1" indent="1"/>
    </xf>
    <xf numFmtId="4" fontId="6" fillId="0" borderId="0" xfId="0" applyNumberFormat="1" applyFont="1" applyAlignment="1">
      <alignment vertical="center"/>
    </xf>
    <xf numFmtId="187" fontId="6" fillId="0" borderId="4" xfId="0" quotePrefix="1" applyNumberFormat="1" applyFont="1" applyBorder="1" applyAlignment="1">
      <alignment horizontal="right" vertical="center"/>
    </xf>
    <xf numFmtId="187" fontId="6" fillId="0" borderId="4" xfId="0" applyNumberFormat="1" applyFont="1" applyBorder="1" applyAlignment="1">
      <alignment horizontal="right" vertical="center"/>
    </xf>
    <xf numFmtId="0" fontId="6" fillId="0" borderId="0" xfId="0" applyFont="1"/>
    <xf numFmtId="187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87" fontId="8" fillId="0" borderId="4" xfId="0" applyNumberFormat="1" applyFont="1" applyBorder="1" applyAlignment="1">
      <alignment horizontal="right"/>
    </xf>
    <xf numFmtId="0" fontId="8" fillId="0" borderId="5" xfId="0" applyFont="1" applyBorder="1"/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9" fillId="0" borderId="11" xfId="0" applyFont="1" applyBorder="1"/>
    <xf numFmtId="0" fontId="9" fillId="0" borderId="9" xfId="0" applyFont="1" applyBorder="1"/>
    <xf numFmtId="0" fontId="6" fillId="0" borderId="9" xfId="0" applyFont="1" applyBorder="1"/>
    <xf numFmtId="0" fontId="10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88" fontId="8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right"/>
    </xf>
    <xf numFmtId="0" fontId="11" fillId="0" borderId="0" xfId="0" applyFont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87" fontId="6" fillId="0" borderId="4" xfId="1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5" fillId="0" borderId="4" xfId="0" quotePrefix="1" applyNumberFormat="1" applyFont="1" applyBorder="1" applyAlignment="1">
      <alignment horizontal="right" vertical="center"/>
    </xf>
    <xf numFmtId="187" fontId="5" fillId="0" borderId="4" xfId="0" applyNumberFormat="1" applyFont="1" applyBorder="1" applyAlignment="1">
      <alignment horizontal="right" vertical="center"/>
    </xf>
    <xf numFmtId="187" fontId="9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187" fontId="6" fillId="0" borderId="4" xfId="1" applyNumberFormat="1" applyFont="1" applyFill="1" applyBorder="1" applyAlignment="1">
      <alignment horizontal="right" shrinkToFit="1"/>
    </xf>
    <xf numFmtId="187" fontId="6" fillId="0" borderId="4" xfId="1" quotePrefix="1" applyNumberFormat="1" applyFont="1" applyFill="1" applyBorder="1" applyAlignment="1">
      <alignment horizontal="right" shrinkToFit="1"/>
    </xf>
    <xf numFmtId="187" fontId="6" fillId="0" borderId="4" xfId="0" quotePrefix="1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/>
    <xf numFmtId="0" fontId="8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88" fontId="7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75910</xdr:colOff>
      <xdr:row>42</xdr:row>
      <xdr:rowOff>0</xdr:rowOff>
    </xdr:from>
    <xdr:to>
      <xdr:col>25</xdr:col>
      <xdr:colOff>278822</xdr:colOff>
      <xdr:row>76</xdr:row>
      <xdr:rowOff>152591</xdr:rowOff>
    </xdr:to>
    <xdr:sp macro="" textlink="">
      <xdr:nvSpPr>
        <xdr:cNvPr id="2" name="AutoShape 104">
          <a:extLst>
            <a:ext uri="{FF2B5EF4-FFF2-40B4-BE49-F238E27FC236}">
              <a16:creationId xmlns:a16="http://schemas.microsoft.com/office/drawing/2014/main" id="{86B3CDAF-8E4B-4DA6-8BEB-329BA1FBE8AF}"/>
            </a:ext>
          </a:extLst>
        </xdr:cNvPr>
        <xdr:cNvSpPr>
          <a:spLocks noChangeArrowheads="1"/>
        </xdr:cNvSpPr>
      </xdr:nvSpPr>
      <xdr:spPr bwMode="auto">
        <a:xfrm rot="10800000">
          <a:off x="12877510" y="11601450"/>
          <a:ext cx="2641312" cy="9544241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20</xdr:col>
      <xdr:colOff>2982</xdr:colOff>
      <xdr:row>114</xdr:row>
      <xdr:rowOff>28862</xdr:rowOff>
    </xdr:from>
    <xdr:to>
      <xdr:col>21</xdr:col>
      <xdr:colOff>91598</xdr:colOff>
      <xdr:row>118</xdr:row>
      <xdr:rowOff>153937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5ABCC29-D898-4A45-8FF7-B79F6208C055}"/>
            </a:ext>
          </a:extLst>
        </xdr:cNvPr>
        <xdr:cNvGrpSpPr/>
      </xdr:nvGrpSpPr>
      <xdr:grpSpPr>
        <a:xfrm>
          <a:off x="10778740" y="25958029"/>
          <a:ext cx="425358" cy="846666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BAF88FAB-259C-4182-87A4-6040E940AE7C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D7DB76E-36DF-4E2A-B53E-2A6C0EE16423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169</a:t>
            </a:r>
            <a:endParaRPr lang="th-TH" sz="1100"/>
          </a:p>
        </xdr:txBody>
      </xdr:sp>
    </xdr:grpSp>
    <xdr:clientData/>
  </xdr:twoCellAnchor>
  <xdr:twoCellAnchor>
    <xdr:from>
      <xdr:col>15</xdr:col>
      <xdr:colOff>876300</xdr:colOff>
      <xdr:row>108</xdr:row>
      <xdr:rowOff>104775</xdr:rowOff>
    </xdr:from>
    <xdr:to>
      <xdr:col>16</xdr:col>
      <xdr:colOff>0</xdr:colOff>
      <xdr:row>111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13995A4-EDB3-4950-B584-51EA35D8E715}"/>
            </a:ext>
          </a:extLst>
        </xdr:cNvPr>
        <xdr:cNvSpPr txBox="1">
          <a:spLocks noChangeArrowheads="1"/>
        </xdr:cNvSpPr>
      </xdr:nvSpPr>
      <xdr:spPr bwMode="auto">
        <a:xfrm>
          <a:off x="9753600" y="2993707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876300</xdr:colOff>
      <xdr:row>108</xdr:row>
      <xdr:rowOff>104775</xdr:rowOff>
    </xdr:from>
    <xdr:to>
      <xdr:col>16</xdr:col>
      <xdr:colOff>0</xdr:colOff>
      <xdr:row>111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1F5B064-9E96-4812-AECA-26C615880CA1}"/>
            </a:ext>
          </a:extLst>
        </xdr:cNvPr>
        <xdr:cNvSpPr txBox="1">
          <a:spLocks noChangeArrowheads="1"/>
        </xdr:cNvSpPr>
      </xdr:nvSpPr>
      <xdr:spPr bwMode="auto">
        <a:xfrm>
          <a:off x="9753600" y="2993707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B69D-14D5-4DBA-899B-7649CAAAF75F}">
  <dimension ref="A1:V118"/>
  <sheetViews>
    <sheetView showGridLines="0" tabSelected="1" topLeftCell="A19" zoomScale="99" zoomScaleNormal="99" workbookViewId="0">
      <selection activeCell="N31" sqref="N31"/>
    </sheetView>
  </sheetViews>
  <sheetFormatPr defaultRowHeight="18.75" x14ac:dyDescent="0.3"/>
  <cols>
    <col min="1" max="1" width="1.140625" style="1" customWidth="1"/>
    <col min="2" max="2" width="6" style="1" customWidth="1"/>
    <col min="3" max="3" width="8.42578125" style="1" customWidth="1"/>
    <col min="4" max="4" width="0.5703125" style="1" customWidth="1"/>
    <col min="5" max="5" width="9.7109375" style="1" customWidth="1"/>
    <col min="6" max="6" width="10.28515625" style="1" customWidth="1"/>
    <col min="7" max="7" width="7.7109375" style="1" customWidth="1"/>
    <col min="8" max="8" width="10.28515625" style="1" customWidth="1"/>
    <col min="9" max="9" width="9.5703125" style="1" customWidth="1"/>
    <col min="10" max="10" width="8.5703125" style="1" customWidth="1"/>
    <col min="11" max="11" width="8.85546875" style="1" customWidth="1"/>
    <col min="12" max="12" width="8.5703125" style="1" customWidth="1"/>
    <col min="13" max="14" width="8.85546875" style="1" customWidth="1"/>
    <col min="15" max="15" width="8.5703125" style="1" customWidth="1"/>
    <col min="16" max="17" width="8.140625" style="1" customWidth="1"/>
    <col min="18" max="18" width="0.7109375" style="1" customWidth="1"/>
    <col min="19" max="19" width="27.85546875" style="1" customWidth="1"/>
    <col min="20" max="20" width="1.42578125" style="1" customWidth="1"/>
    <col min="21" max="21" width="5" style="1" customWidth="1"/>
    <col min="22" max="16384" width="9.140625" style="1"/>
  </cols>
  <sheetData>
    <row r="1" spans="1:22" s="19" customFormat="1" x14ac:dyDescent="0.3">
      <c r="A1" s="1"/>
      <c r="B1" s="83" t="s">
        <v>65</v>
      </c>
      <c r="C1" s="84">
        <v>19.3</v>
      </c>
      <c r="D1" s="83" t="s">
        <v>155</v>
      </c>
      <c r="S1" s="1"/>
      <c r="V1" s="1"/>
    </row>
    <row r="2" spans="1:22" s="55" customFormat="1" x14ac:dyDescent="0.3">
      <c r="A2" s="2"/>
      <c r="B2" s="19" t="s">
        <v>63</v>
      </c>
      <c r="C2" s="84">
        <v>19.3</v>
      </c>
      <c r="D2" s="83" t="s">
        <v>62</v>
      </c>
      <c r="S2" s="2"/>
      <c r="V2" s="19"/>
    </row>
    <row r="3" spans="1:22" s="55" customFormat="1" x14ac:dyDescent="0.3">
      <c r="A3" s="2"/>
      <c r="B3" s="19"/>
      <c r="C3" s="84"/>
      <c r="D3" s="83" t="s">
        <v>154</v>
      </c>
      <c r="S3" s="2"/>
    </row>
    <row r="4" spans="1:22" s="55" customFormat="1" ht="15" customHeight="1" x14ac:dyDescent="0.3">
      <c r="A4" s="2"/>
      <c r="B4" s="19"/>
      <c r="C4" s="84"/>
      <c r="D4" s="83"/>
      <c r="S4" s="82" t="s">
        <v>60</v>
      </c>
    </row>
    <row r="5" spans="1:22" ht="6" customHeight="1" x14ac:dyDescent="0.3">
      <c r="V5" s="55"/>
    </row>
    <row r="6" spans="1:22" s="2" customFormat="1" ht="19.5" x14ac:dyDescent="0.35">
      <c r="A6" s="54"/>
      <c r="B6" s="53"/>
      <c r="C6" s="53"/>
      <c r="D6" s="52"/>
      <c r="E6" s="51" t="s">
        <v>59</v>
      </c>
      <c r="F6" s="50"/>
      <c r="G6" s="50"/>
      <c r="H6" s="50"/>
      <c r="I6" s="50"/>
      <c r="J6" s="50"/>
      <c r="K6" s="49"/>
      <c r="L6" s="48" t="s">
        <v>58</v>
      </c>
      <c r="M6" s="47"/>
      <c r="N6" s="47"/>
      <c r="O6" s="47"/>
      <c r="P6" s="47"/>
      <c r="Q6" s="47"/>
      <c r="R6" s="46" t="s">
        <v>57</v>
      </c>
      <c r="S6" s="45"/>
      <c r="V6" s="1"/>
    </row>
    <row r="7" spans="1:22" s="2" customFormat="1" ht="21.75" customHeight="1" x14ac:dyDescent="0.3">
      <c r="A7" s="14"/>
      <c r="B7" s="14"/>
      <c r="C7" s="14"/>
      <c r="D7" s="14"/>
      <c r="E7" s="44" t="s">
        <v>56</v>
      </c>
      <c r="F7" s="43"/>
      <c r="G7" s="43"/>
      <c r="H7" s="43"/>
      <c r="I7" s="43"/>
      <c r="J7" s="43"/>
      <c r="K7" s="42"/>
      <c r="L7" s="41" t="s">
        <v>55</v>
      </c>
      <c r="M7" s="40"/>
      <c r="N7" s="40"/>
      <c r="O7" s="40"/>
      <c r="P7" s="40"/>
      <c r="Q7" s="39"/>
      <c r="R7" s="35" t="s">
        <v>54</v>
      </c>
      <c r="S7" s="34"/>
    </row>
    <row r="8" spans="1:22" s="2" customFormat="1" x14ac:dyDescent="0.3">
      <c r="A8" s="37" t="s">
        <v>53</v>
      </c>
      <c r="B8" s="37"/>
      <c r="C8" s="37"/>
      <c r="D8" s="36"/>
      <c r="E8" s="33"/>
      <c r="F8" s="33" t="s">
        <v>52</v>
      </c>
      <c r="G8" s="33"/>
      <c r="H8" s="33"/>
      <c r="I8" s="33"/>
      <c r="J8" s="14"/>
      <c r="K8" s="38"/>
      <c r="L8" s="32"/>
      <c r="M8" s="32"/>
      <c r="N8" s="32"/>
      <c r="O8" s="32"/>
      <c r="P8" s="32"/>
      <c r="Q8" s="32"/>
      <c r="R8" s="35" t="s">
        <v>51</v>
      </c>
      <c r="S8" s="34"/>
      <c r="T8" s="29"/>
    </row>
    <row r="9" spans="1:22" s="2" customFormat="1" x14ac:dyDescent="0.3">
      <c r="A9" s="37" t="s">
        <v>50</v>
      </c>
      <c r="B9" s="37"/>
      <c r="C9" s="37"/>
      <c r="D9" s="36"/>
      <c r="E9" s="33"/>
      <c r="F9" s="33" t="s">
        <v>49</v>
      </c>
      <c r="G9" s="33"/>
      <c r="H9" s="33" t="s">
        <v>48</v>
      </c>
      <c r="I9" s="33"/>
      <c r="J9" s="32"/>
      <c r="K9" s="33"/>
      <c r="L9" s="32"/>
      <c r="M9" s="32"/>
      <c r="N9" s="32"/>
      <c r="O9" s="32"/>
      <c r="P9" s="32"/>
      <c r="Q9" s="32"/>
      <c r="R9" s="35" t="s">
        <v>47</v>
      </c>
      <c r="S9" s="34"/>
      <c r="T9" s="29"/>
    </row>
    <row r="10" spans="1:22" s="2" customFormat="1" x14ac:dyDescent="0.3">
      <c r="A10" s="37" t="s">
        <v>46</v>
      </c>
      <c r="B10" s="37"/>
      <c r="C10" s="37"/>
      <c r="D10" s="36"/>
      <c r="E10" s="33" t="s">
        <v>45</v>
      </c>
      <c r="F10" s="33" t="s">
        <v>44</v>
      </c>
      <c r="G10" s="33"/>
      <c r="H10" s="17" t="s">
        <v>43</v>
      </c>
      <c r="I10" s="33"/>
      <c r="J10" s="32"/>
      <c r="K10" s="33"/>
      <c r="L10" s="32" t="s">
        <v>42</v>
      </c>
      <c r="M10" s="32"/>
      <c r="N10" s="32"/>
      <c r="O10" s="32"/>
      <c r="P10" s="32"/>
      <c r="Q10" s="32"/>
      <c r="R10" s="35" t="s">
        <v>41</v>
      </c>
      <c r="S10" s="34"/>
      <c r="T10" s="29"/>
    </row>
    <row r="11" spans="1:22" s="2" customFormat="1" x14ac:dyDescent="0.3">
      <c r="A11" s="17"/>
      <c r="B11" s="17"/>
      <c r="C11" s="17"/>
      <c r="D11" s="16"/>
      <c r="E11" s="33" t="s">
        <v>40</v>
      </c>
      <c r="F11" s="17" t="s">
        <v>39</v>
      </c>
      <c r="G11" s="33" t="s">
        <v>38</v>
      </c>
      <c r="H11" s="17" t="s">
        <v>37</v>
      </c>
      <c r="I11" s="33" t="s">
        <v>36</v>
      </c>
      <c r="J11" s="32" t="s">
        <v>35</v>
      </c>
      <c r="K11" s="33" t="s">
        <v>34</v>
      </c>
      <c r="L11" s="32" t="s">
        <v>33</v>
      </c>
      <c r="M11" s="32" t="s">
        <v>32</v>
      </c>
      <c r="N11" s="32" t="s">
        <v>31</v>
      </c>
      <c r="O11" s="32" t="s">
        <v>30</v>
      </c>
      <c r="P11" s="32" t="s">
        <v>29</v>
      </c>
      <c r="Q11" s="32" t="s">
        <v>28</v>
      </c>
      <c r="R11" s="31"/>
      <c r="S11" s="30"/>
      <c r="T11" s="29"/>
    </row>
    <row r="12" spans="1:22" s="2" customFormat="1" ht="18" x14ac:dyDescent="0.35">
      <c r="A12" s="28"/>
      <c r="B12" s="28"/>
      <c r="C12" s="28"/>
      <c r="D12" s="27"/>
      <c r="E12" s="25" t="s">
        <v>27</v>
      </c>
      <c r="F12" s="25" t="s">
        <v>26</v>
      </c>
      <c r="G12" s="25" t="s">
        <v>25</v>
      </c>
      <c r="H12" s="25" t="s">
        <v>24</v>
      </c>
      <c r="I12" s="25" t="s">
        <v>23</v>
      </c>
      <c r="J12" s="26" t="s">
        <v>18</v>
      </c>
      <c r="K12" s="25" t="s">
        <v>17</v>
      </c>
      <c r="L12" s="26" t="s">
        <v>22</v>
      </c>
      <c r="M12" s="26" t="s">
        <v>21</v>
      </c>
      <c r="N12" s="26" t="s">
        <v>20</v>
      </c>
      <c r="O12" s="26" t="s">
        <v>19</v>
      </c>
      <c r="P12" s="26" t="s">
        <v>18</v>
      </c>
      <c r="Q12" s="25" t="s">
        <v>17</v>
      </c>
      <c r="R12" s="24"/>
      <c r="S12" s="23"/>
    </row>
    <row r="13" spans="1:22" ht="3" customHeight="1" x14ac:dyDescent="0.3">
      <c r="A13" s="78" t="s">
        <v>57</v>
      </c>
      <c r="B13" s="78"/>
      <c r="C13" s="78"/>
      <c r="D13" s="81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79"/>
      <c r="S13" s="66"/>
      <c r="V13" s="2"/>
    </row>
    <row r="14" spans="1:22" s="55" customFormat="1" ht="21.75" customHeight="1" x14ac:dyDescent="0.3">
      <c r="A14" s="78" t="s">
        <v>153</v>
      </c>
      <c r="B14" s="78"/>
      <c r="C14" s="78"/>
      <c r="D14" s="22"/>
      <c r="E14" s="21">
        <f>SUM(E15,E43,E49,E77,E87,E108)</f>
        <v>632467.68956000009</v>
      </c>
      <c r="F14" s="21">
        <f>SUM(F15,F43,F49,F77,F87,F108)</f>
        <v>8987.6408200000005</v>
      </c>
      <c r="G14" s="21">
        <f>SUM(G15,G43,G49,G77,G87,G108)</f>
        <v>7530.3259000000007</v>
      </c>
      <c r="H14" s="21">
        <f>SUM(H15,H43,H49,H77,H87,H108)</f>
        <v>6513.6231500000004</v>
      </c>
      <c r="I14" s="21">
        <f>SUM(I15,I43,I49,I77,I87,I108)</f>
        <v>4582.3914800000002</v>
      </c>
      <c r="J14" s="21">
        <f>SUM(J15,J43,J49,J77,J87,J108)</f>
        <v>971176.92510999995</v>
      </c>
      <c r="K14" s="21">
        <f>SUM(K15,K43,K49,K77,K87,K108)</f>
        <v>572653.45104000007</v>
      </c>
      <c r="L14" s="21">
        <f>SUM(L15,L43,L49,L77,L87,L108)</f>
        <v>440180.47395000001</v>
      </c>
      <c r="M14" s="21">
        <f>SUM(M15,M43,M49,M77,M87,M108)</f>
        <v>535584.52056999994</v>
      </c>
      <c r="N14" s="21">
        <f>SUM(N15,N43,N49,N77,N87,N108)</f>
        <v>866726.93321999989</v>
      </c>
      <c r="O14" s="21">
        <f>SUM(O15,O43,O49,O77,O87,O108)</f>
        <v>180563.13734377999</v>
      </c>
      <c r="P14" s="21">
        <f>SUM(P15,P43,P49,P77,P87,P108)</f>
        <v>117069.89809999999</v>
      </c>
      <c r="Q14" s="21">
        <f>SUM(Q15,Q43,Q49,Q77,Q87,Q108)</f>
        <v>4146.8212700000004</v>
      </c>
      <c r="R14" s="77"/>
      <c r="S14" s="76" t="s">
        <v>152</v>
      </c>
    </row>
    <row r="15" spans="1:22" s="19" customFormat="1" x14ac:dyDescent="0.3">
      <c r="A15" s="57" t="s">
        <v>151</v>
      </c>
      <c r="B15" s="62"/>
      <c r="C15" s="62"/>
      <c r="D15" s="61"/>
      <c r="E15" s="21">
        <f>SUM(E16:E28)</f>
        <v>34552.359689999997</v>
      </c>
      <c r="F15" s="21">
        <f>SUM(F16:F28)</f>
        <v>4571.2293</v>
      </c>
      <c r="G15" s="21">
        <f>SUM(G16:G28)</f>
        <v>2708.8106699999998</v>
      </c>
      <c r="H15" s="21">
        <f>SUM(H16:H28)</f>
        <v>2076.953</v>
      </c>
      <c r="I15" s="21">
        <f>SUM(I16:I28)</f>
        <v>1308.9348799999998</v>
      </c>
      <c r="J15" s="21">
        <f>SUM(J16:J28)</f>
        <v>297200.22745999997</v>
      </c>
      <c r="K15" s="21">
        <f>SUM(K16:K28)</f>
        <v>205683.04897000003</v>
      </c>
      <c r="L15" s="21">
        <f>SUM(L16:L28)</f>
        <v>156025.60601000002</v>
      </c>
      <c r="M15" s="21">
        <f>SUM(M16:M28)</f>
        <v>174055.25004999997</v>
      </c>
      <c r="N15" s="21">
        <f>SUM(N16:N28)</f>
        <v>97174.863840000005</v>
      </c>
      <c r="O15" s="21">
        <f>SUM(O16:O28)</f>
        <v>57101.098459999994</v>
      </c>
      <c r="P15" s="21">
        <f>SUM(P16:P28)</f>
        <v>32517.148160000001</v>
      </c>
      <c r="Q15" s="21">
        <f>SUM(Q16:Q28)</f>
        <v>1201.4350000000002</v>
      </c>
      <c r="R15" s="20"/>
      <c r="S15" s="57" t="s">
        <v>150</v>
      </c>
    </row>
    <row r="16" spans="1:22" x14ac:dyDescent="0.3">
      <c r="A16" s="62"/>
      <c r="B16" s="18" t="s">
        <v>149</v>
      </c>
      <c r="C16" s="62"/>
      <c r="D16" s="61"/>
      <c r="E16" s="73">
        <v>133.69</v>
      </c>
      <c r="F16" s="73">
        <v>130.053</v>
      </c>
      <c r="G16" s="73">
        <v>96.611000000000004</v>
      </c>
      <c r="H16" s="74" t="s">
        <v>4</v>
      </c>
      <c r="I16" s="73">
        <v>30.835999999999999</v>
      </c>
      <c r="J16" s="73">
        <v>16447.505000000001</v>
      </c>
      <c r="K16" s="73">
        <v>15845.727000000001</v>
      </c>
      <c r="L16" s="73">
        <v>8519.76</v>
      </c>
      <c r="M16" s="73">
        <v>11721.046</v>
      </c>
      <c r="N16" s="73">
        <v>5964.1469999999999</v>
      </c>
      <c r="O16" s="73">
        <v>2253.4</v>
      </c>
      <c r="P16" s="73">
        <v>2776.0129999999999</v>
      </c>
      <c r="Q16" s="73" t="s">
        <v>4</v>
      </c>
      <c r="R16" s="14"/>
      <c r="S16" s="10" t="s">
        <v>148</v>
      </c>
    </row>
    <row r="17" spans="1:22" x14ac:dyDescent="0.3">
      <c r="A17" s="62"/>
      <c r="B17" s="18" t="s">
        <v>147</v>
      </c>
      <c r="C17" s="62"/>
      <c r="D17" s="61"/>
      <c r="E17" s="15">
        <v>8.7810000000000006</v>
      </c>
      <c r="F17" s="15">
        <v>28.33</v>
      </c>
      <c r="G17" s="15">
        <v>178.72200000000001</v>
      </c>
      <c r="H17" s="75" t="s">
        <v>4</v>
      </c>
      <c r="I17" s="15">
        <v>63.975000000000001</v>
      </c>
      <c r="J17" s="73">
        <v>13393.627</v>
      </c>
      <c r="K17" s="15" t="s">
        <v>4</v>
      </c>
      <c r="L17" s="64">
        <v>6161.9669999999996</v>
      </c>
      <c r="M17" s="64">
        <v>6848.1049999999996</v>
      </c>
      <c r="N17" s="64">
        <v>2149.1819999999998</v>
      </c>
      <c r="O17" s="64">
        <v>183.8</v>
      </c>
      <c r="P17" s="64">
        <v>1168</v>
      </c>
      <c r="Q17" s="73">
        <v>1137.9680000000001</v>
      </c>
      <c r="R17" s="14"/>
      <c r="S17" s="10" t="s">
        <v>146</v>
      </c>
    </row>
    <row r="18" spans="1:22" x14ac:dyDescent="0.3">
      <c r="A18" s="62"/>
      <c r="B18" s="18" t="s">
        <v>145</v>
      </c>
      <c r="C18" s="62"/>
      <c r="D18" s="61"/>
      <c r="E18" s="15">
        <v>169.99199999999999</v>
      </c>
      <c r="F18" s="15">
        <v>203.02</v>
      </c>
      <c r="G18" s="15">
        <v>155.90799999999999</v>
      </c>
      <c r="H18" s="15">
        <v>69.251999999999995</v>
      </c>
      <c r="I18" s="15">
        <v>108.776</v>
      </c>
      <c r="J18" s="64">
        <v>26259.424999999999</v>
      </c>
      <c r="K18" s="64">
        <v>19423.062000000002</v>
      </c>
      <c r="L18" s="64">
        <v>13427.112999999999</v>
      </c>
      <c r="M18" s="64">
        <v>14528.116</v>
      </c>
      <c r="N18" s="64">
        <v>5080.6059999999998</v>
      </c>
      <c r="O18" s="64">
        <v>4937.45</v>
      </c>
      <c r="P18" s="64">
        <v>3322.1060000000002</v>
      </c>
      <c r="Q18" s="64">
        <v>8.4670000000000005</v>
      </c>
      <c r="R18" s="14"/>
      <c r="S18" s="10" t="s">
        <v>144</v>
      </c>
    </row>
    <row r="19" spans="1:22" x14ac:dyDescent="0.3">
      <c r="A19" s="62"/>
      <c r="B19" s="18" t="s">
        <v>143</v>
      </c>
      <c r="C19" s="62"/>
      <c r="D19" s="61"/>
      <c r="E19" s="73">
        <v>737.95100000000002</v>
      </c>
      <c r="F19" s="73">
        <v>348.13099999999997</v>
      </c>
      <c r="G19" s="73">
        <v>176.256</v>
      </c>
      <c r="H19" s="74" t="s">
        <v>4</v>
      </c>
      <c r="I19" s="73">
        <v>47.35</v>
      </c>
      <c r="J19" s="73">
        <v>17001.098999999998</v>
      </c>
      <c r="K19" s="73">
        <v>17846.862000000001</v>
      </c>
      <c r="L19" s="73">
        <v>9051.82</v>
      </c>
      <c r="M19" s="73">
        <v>12533.973</v>
      </c>
      <c r="N19" s="73">
        <v>5798.3879999999999</v>
      </c>
      <c r="O19" s="73">
        <v>2598.002</v>
      </c>
      <c r="P19" s="73">
        <v>1581</v>
      </c>
      <c r="Q19" s="73" t="s">
        <v>4</v>
      </c>
      <c r="R19" s="14"/>
      <c r="S19" s="10" t="s">
        <v>142</v>
      </c>
    </row>
    <row r="20" spans="1:22" x14ac:dyDescent="0.3">
      <c r="A20" s="62"/>
      <c r="B20" s="18" t="s">
        <v>141</v>
      </c>
      <c r="C20" s="62"/>
      <c r="D20" s="61"/>
      <c r="E20" s="73">
        <v>382.76299999999998</v>
      </c>
      <c r="F20" s="73">
        <v>323.995</v>
      </c>
      <c r="G20" s="73">
        <v>218.14699999999999</v>
      </c>
      <c r="H20" s="74">
        <v>1776.5609999999999</v>
      </c>
      <c r="I20" s="73">
        <v>478.613</v>
      </c>
      <c r="J20" s="73">
        <v>20145.467000000001</v>
      </c>
      <c r="K20" s="73">
        <v>20370.64</v>
      </c>
      <c r="L20" s="73">
        <v>10159.325000000001</v>
      </c>
      <c r="M20" s="73">
        <v>14036.573</v>
      </c>
      <c r="N20" s="73">
        <v>8615.6759999999995</v>
      </c>
      <c r="O20" s="73">
        <v>3119.0859999999998</v>
      </c>
      <c r="P20" s="73">
        <v>3437.01</v>
      </c>
      <c r="Q20" s="73" t="s">
        <v>4</v>
      </c>
      <c r="R20" s="14"/>
      <c r="S20" s="10" t="s">
        <v>140</v>
      </c>
    </row>
    <row r="21" spans="1:22" ht="21.75" customHeight="1" x14ac:dyDescent="0.3">
      <c r="A21" s="14"/>
      <c r="B21" s="71" t="s">
        <v>139</v>
      </c>
      <c r="C21" s="70"/>
      <c r="D21" s="70"/>
      <c r="E21" s="15">
        <f>147977.6/1000</f>
        <v>147.9776</v>
      </c>
      <c r="F21" s="15">
        <f>281479.7/1000</f>
        <v>281.47970000000004</v>
      </c>
      <c r="G21" s="15">
        <f>220763.56/1000</f>
        <v>220.76355999999998</v>
      </c>
      <c r="H21" s="15" t="s">
        <v>7</v>
      </c>
      <c r="I21" s="15">
        <f>1627/1000</f>
        <v>1.627</v>
      </c>
      <c r="J21" s="15">
        <f>26270947/1000</f>
        <v>26270.947</v>
      </c>
      <c r="K21" s="15">
        <f>20908307.92/1000</f>
        <v>20908.307920000003</v>
      </c>
      <c r="L21" s="15">
        <f>13697704.01/1000</f>
        <v>13697.704009999999</v>
      </c>
      <c r="M21" s="15">
        <f>11846821.05/1000</f>
        <v>11846.82105</v>
      </c>
      <c r="N21" s="15">
        <f>6236669.81/1000</f>
        <v>6236.6698099999994</v>
      </c>
      <c r="O21" s="15">
        <f>4528250/1000</f>
        <v>4528.25</v>
      </c>
      <c r="P21" s="15">
        <f>2933117.14/1000</f>
        <v>2933.1171400000003</v>
      </c>
      <c r="Q21" s="15" t="s">
        <v>7</v>
      </c>
      <c r="R21" s="14"/>
      <c r="S21" s="10" t="s">
        <v>138</v>
      </c>
    </row>
    <row r="22" spans="1:22" x14ac:dyDescent="0.3">
      <c r="A22" s="62"/>
      <c r="B22" s="18" t="s">
        <v>137</v>
      </c>
      <c r="C22" s="62"/>
      <c r="D22" s="61"/>
      <c r="E22" s="73">
        <v>28114.483</v>
      </c>
      <c r="F22" s="73">
        <v>286.07799999999997</v>
      </c>
      <c r="G22" s="73">
        <v>413.67899999999997</v>
      </c>
      <c r="H22" s="74"/>
      <c r="I22" s="73">
        <v>347.55</v>
      </c>
      <c r="J22" s="73">
        <v>39827.012999999999</v>
      </c>
      <c r="K22" s="73" t="s">
        <v>4</v>
      </c>
      <c r="L22" s="73">
        <v>20283.019</v>
      </c>
      <c r="M22" s="73">
        <v>22131.789000000001</v>
      </c>
      <c r="N22" s="73">
        <v>10066.343999999999</v>
      </c>
      <c r="O22" s="73">
        <v>14600.314</v>
      </c>
      <c r="P22" s="73">
        <v>3517.9110000000001</v>
      </c>
      <c r="Q22" s="73">
        <v>15</v>
      </c>
      <c r="R22" s="14"/>
      <c r="S22" s="10" t="s">
        <v>136</v>
      </c>
    </row>
    <row r="23" spans="1:22" x14ac:dyDescent="0.3">
      <c r="A23" s="62"/>
      <c r="B23" s="18" t="s">
        <v>135</v>
      </c>
      <c r="C23" s="62"/>
      <c r="D23" s="61"/>
      <c r="E23" s="15">
        <v>189.303</v>
      </c>
      <c r="F23" s="15">
        <v>439.774</v>
      </c>
      <c r="G23" s="15">
        <v>260.71600000000001</v>
      </c>
      <c r="H23" s="15">
        <v>1.605</v>
      </c>
      <c r="I23" s="15">
        <v>6.3</v>
      </c>
      <c r="J23" s="64">
        <v>21201.296999999999</v>
      </c>
      <c r="K23" s="64" t="s">
        <v>4</v>
      </c>
      <c r="L23" s="64">
        <v>8597.9390000000003</v>
      </c>
      <c r="M23" s="64">
        <v>10870.032999999999</v>
      </c>
      <c r="N23" s="64">
        <v>4236.4629999999997</v>
      </c>
      <c r="O23" s="64">
        <v>4067.0569999999998</v>
      </c>
      <c r="P23" s="64">
        <v>2589.3670000000002</v>
      </c>
      <c r="Q23" s="64" t="s">
        <v>4</v>
      </c>
      <c r="R23" s="14"/>
      <c r="S23" s="10" t="s">
        <v>134</v>
      </c>
    </row>
    <row r="24" spans="1:22" ht="21.75" customHeight="1" x14ac:dyDescent="0.3">
      <c r="A24" s="62"/>
      <c r="B24" s="72" t="s">
        <v>133</v>
      </c>
      <c r="C24" s="72"/>
      <c r="D24" s="71"/>
      <c r="E24" s="15">
        <f>337523.96/1000</f>
        <v>337.52396000000005</v>
      </c>
      <c r="F24" s="15">
        <f>409423/1000</f>
        <v>409.423</v>
      </c>
      <c r="G24" s="15">
        <f>258842.23/1000</f>
        <v>258.84223000000003</v>
      </c>
      <c r="H24" s="15" t="s">
        <v>7</v>
      </c>
      <c r="I24" s="15">
        <f>66024/1000</f>
        <v>66.024000000000001</v>
      </c>
      <c r="J24" s="15">
        <f>31223110.46/1000</f>
        <v>31223.11046</v>
      </c>
      <c r="K24" s="15">
        <f>24518974.84/1000</f>
        <v>24518.974839999999</v>
      </c>
      <c r="L24" s="15">
        <f>15162202/1000</f>
        <v>15162.201999999999</v>
      </c>
      <c r="M24" s="15">
        <f>15599834/1000</f>
        <v>15599.834000000001</v>
      </c>
      <c r="N24" s="15">
        <f>11935721.8/1000</f>
        <v>11935.721800000001</v>
      </c>
      <c r="O24" s="15">
        <f>5162995.46/1000</f>
        <v>5162.9954600000001</v>
      </c>
      <c r="P24" s="15">
        <f>3353527.64/1000</f>
        <v>3353.5276400000002</v>
      </c>
      <c r="Q24" s="15" t="s">
        <v>7</v>
      </c>
      <c r="R24" s="14"/>
      <c r="S24" s="10" t="s">
        <v>132</v>
      </c>
    </row>
    <row r="25" spans="1:22" x14ac:dyDescent="0.3">
      <c r="A25" s="62"/>
      <c r="B25" s="18" t="s">
        <v>131</v>
      </c>
      <c r="C25" s="62"/>
      <c r="D25" s="61"/>
      <c r="E25" s="64">
        <v>852.83</v>
      </c>
      <c r="F25" s="64">
        <v>840.98</v>
      </c>
      <c r="G25" s="64">
        <v>101.26</v>
      </c>
      <c r="H25" s="64">
        <v>1.5</v>
      </c>
      <c r="I25" s="64">
        <v>68.55</v>
      </c>
      <c r="J25" s="64">
        <v>16202.8</v>
      </c>
      <c r="K25" s="64">
        <v>20187.39</v>
      </c>
      <c r="L25" s="64">
        <v>8686.1299999999992</v>
      </c>
      <c r="M25" s="64">
        <v>14111.57</v>
      </c>
      <c r="N25" s="64">
        <v>8190.23</v>
      </c>
      <c r="O25" s="64">
        <v>2804.01</v>
      </c>
      <c r="P25" s="64">
        <v>2248.14</v>
      </c>
      <c r="Q25" s="64" t="s">
        <v>4</v>
      </c>
      <c r="R25" s="14"/>
      <c r="S25" s="10" t="s">
        <v>130</v>
      </c>
    </row>
    <row r="26" spans="1:22" x14ac:dyDescent="0.3">
      <c r="A26" s="62"/>
      <c r="B26" s="18" t="s">
        <v>129</v>
      </c>
      <c r="C26" s="62"/>
      <c r="D26" s="61"/>
      <c r="E26" s="64">
        <v>3119.2649999999999</v>
      </c>
      <c r="F26" s="15">
        <v>432.20800000000003</v>
      </c>
      <c r="G26" s="15">
        <v>143.81299999999999</v>
      </c>
      <c r="H26" s="15" t="s">
        <v>4</v>
      </c>
      <c r="I26" s="15">
        <v>1.3</v>
      </c>
      <c r="J26" s="64">
        <v>24142.547999999999</v>
      </c>
      <c r="K26" s="64">
        <v>24100.883000000002</v>
      </c>
      <c r="L26" s="64">
        <v>15211.735000000001</v>
      </c>
      <c r="M26" s="64">
        <v>14937.634</v>
      </c>
      <c r="N26" s="64">
        <v>7890.8950000000004</v>
      </c>
      <c r="O26" s="64">
        <v>6349.0940000000001</v>
      </c>
      <c r="P26" s="64">
        <v>1612</v>
      </c>
      <c r="Q26" s="64">
        <v>15</v>
      </c>
      <c r="R26" s="14"/>
      <c r="S26" s="10" t="s">
        <v>128</v>
      </c>
    </row>
    <row r="27" spans="1:22" x14ac:dyDescent="0.3">
      <c r="A27" s="14"/>
      <c r="B27" s="71" t="s">
        <v>127</v>
      </c>
      <c r="C27" s="70"/>
      <c r="D27" s="70"/>
      <c r="E27" s="15">
        <f>206252.94/1000</f>
        <v>206.25294</v>
      </c>
      <c r="F27" s="15">
        <f>395354.6/1000</f>
        <v>395.3546</v>
      </c>
      <c r="G27" s="15">
        <f>220942.33/1000</f>
        <v>220.94233</v>
      </c>
      <c r="H27" s="15" t="s">
        <v>7</v>
      </c>
      <c r="I27" s="15">
        <f>69985.88/1000</f>
        <v>69.985880000000009</v>
      </c>
      <c r="J27" s="15">
        <f>29482992/1000</f>
        <v>29482.991999999998</v>
      </c>
      <c r="K27" s="15">
        <f>24933033.48/1000</f>
        <v>24933.033480000002</v>
      </c>
      <c r="L27" s="15">
        <f>17624933/1000</f>
        <v>17624.933000000001</v>
      </c>
      <c r="M27" s="15">
        <f>17624933/1000</f>
        <v>17624.933000000001</v>
      </c>
      <c r="N27" s="15">
        <f>16282276/1000</f>
        <v>16282.276</v>
      </c>
      <c r="O27" s="15">
        <f>5986750/1000</f>
        <v>5986.75</v>
      </c>
      <c r="P27" s="15">
        <f>2153656.38/1000</f>
        <v>2153.6563799999999</v>
      </c>
      <c r="Q27" s="15">
        <f>25000/1000</f>
        <v>25</v>
      </c>
      <c r="R27" s="14"/>
      <c r="S27" s="10" t="s">
        <v>126</v>
      </c>
    </row>
    <row r="28" spans="1:22" ht="21.75" customHeight="1" x14ac:dyDescent="0.3">
      <c r="A28" s="14"/>
      <c r="B28" s="71" t="s">
        <v>125</v>
      </c>
      <c r="C28" s="70"/>
      <c r="D28" s="70"/>
      <c r="E28" s="15">
        <f>151547.19/1000</f>
        <v>151.54719</v>
      </c>
      <c r="F28" s="15">
        <f>452403/1000</f>
        <v>452.40300000000002</v>
      </c>
      <c r="G28" s="15">
        <f>263150.55/1000</f>
        <v>263.15055000000001</v>
      </c>
      <c r="H28" s="15">
        <f>228035/1000</f>
        <v>228.035</v>
      </c>
      <c r="I28" s="15">
        <f>18048/1000</f>
        <v>18.047999999999998</v>
      </c>
      <c r="J28" s="15">
        <f>15602397/1000</f>
        <v>15602.397000000001</v>
      </c>
      <c r="K28" s="15">
        <f>17548168.73/1000</f>
        <v>17548.168730000001</v>
      </c>
      <c r="L28" s="15">
        <f>9441959/1000</f>
        <v>9441.9590000000007</v>
      </c>
      <c r="M28" s="15">
        <f>7264823/1000</f>
        <v>7264.8230000000003</v>
      </c>
      <c r="N28" s="15">
        <f>4728265.23/1000</f>
        <v>4728.2652300000009</v>
      </c>
      <c r="O28" s="15">
        <f>510890/1000</f>
        <v>510.89</v>
      </c>
      <c r="P28" s="15">
        <f>1825300/1000</f>
        <v>1825.3</v>
      </c>
      <c r="Q28" s="15" t="s">
        <v>7</v>
      </c>
      <c r="R28" s="14"/>
      <c r="S28" s="10" t="s">
        <v>124</v>
      </c>
    </row>
    <row r="29" spans="1:22" ht="21.75" customHeight="1" x14ac:dyDescent="0.3">
      <c r="A29" s="14"/>
      <c r="B29" s="18"/>
      <c r="C29" s="18"/>
      <c r="D29" s="1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14"/>
      <c r="S29" s="10"/>
    </row>
    <row r="30" spans="1:22" ht="21.75" customHeight="1" x14ac:dyDescent="0.3">
      <c r="A30" s="14"/>
      <c r="B30" s="18"/>
      <c r="C30" s="18"/>
      <c r="D30" s="1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14"/>
      <c r="S30" s="10"/>
    </row>
    <row r="31" spans="1:22" s="19" customFormat="1" x14ac:dyDescent="0.3">
      <c r="A31" s="14"/>
      <c r="B31" s="57" t="s">
        <v>65</v>
      </c>
      <c r="C31" s="58">
        <v>19.3</v>
      </c>
      <c r="D31" s="57" t="s">
        <v>64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14"/>
      <c r="V31" s="1"/>
    </row>
    <row r="32" spans="1:22" s="55" customFormat="1" x14ac:dyDescent="0.3">
      <c r="A32" s="14"/>
      <c r="B32" s="20" t="s">
        <v>63</v>
      </c>
      <c r="C32" s="58">
        <v>19.3</v>
      </c>
      <c r="D32" s="57" t="s">
        <v>62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4"/>
      <c r="V32" s="19"/>
    </row>
    <row r="33" spans="1:22" s="55" customFormat="1" ht="17.25" x14ac:dyDescent="0.3">
      <c r="A33" s="14"/>
      <c r="B33" s="20"/>
      <c r="C33" s="58"/>
      <c r="D33" s="57" t="s">
        <v>61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4"/>
    </row>
    <row r="34" spans="1:22" s="55" customFormat="1" ht="15" customHeight="1" x14ac:dyDescent="0.3">
      <c r="A34" s="14"/>
      <c r="B34" s="20"/>
      <c r="C34" s="58"/>
      <c r="D34" s="57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56" t="s">
        <v>60</v>
      </c>
    </row>
    <row r="35" spans="1:22" ht="6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V35" s="55"/>
    </row>
    <row r="36" spans="1:22" s="2" customFormat="1" ht="19.5" x14ac:dyDescent="0.35">
      <c r="A36" s="54"/>
      <c r="B36" s="53"/>
      <c r="C36" s="53"/>
      <c r="D36" s="52"/>
      <c r="E36" s="51" t="s">
        <v>59</v>
      </c>
      <c r="F36" s="50"/>
      <c r="G36" s="50"/>
      <c r="H36" s="50"/>
      <c r="I36" s="50"/>
      <c r="J36" s="50"/>
      <c r="K36" s="49"/>
      <c r="L36" s="48" t="s">
        <v>58</v>
      </c>
      <c r="M36" s="47"/>
      <c r="N36" s="47"/>
      <c r="O36" s="47"/>
      <c r="P36" s="47"/>
      <c r="Q36" s="47"/>
      <c r="R36" s="46" t="s">
        <v>57</v>
      </c>
      <c r="S36" s="45"/>
      <c r="V36" s="1"/>
    </row>
    <row r="37" spans="1:22" s="2" customFormat="1" ht="21.75" customHeight="1" x14ac:dyDescent="0.3">
      <c r="A37" s="14"/>
      <c r="B37" s="14"/>
      <c r="C37" s="14"/>
      <c r="D37" s="14"/>
      <c r="E37" s="44" t="s">
        <v>56</v>
      </c>
      <c r="F37" s="43"/>
      <c r="G37" s="43"/>
      <c r="H37" s="43"/>
      <c r="I37" s="43"/>
      <c r="J37" s="43"/>
      <c r="K37" s="42"/>
      <c r="L37" s="41" t="s">
        <v>55</v>
      </c>
      <c r="M37" s="40"/>
      <c r="N37" s="40"/>
      <c r="O37" s="40"/>
      <c r="P37" s="40"/>
      <c r="Q37" s="39"/>
      <c r="R37" s="35" t="s">
        <v>54</v>
      </c>
      <c r="S37" s="34"/>
    </row>
    <row r="38" spans="1:22" s="2" customFormat="1" x14ac:dyDescent="0.3">
      <c r="A38" s="37" t="s">
        <v>53</v>
      </c>
      <c r="B38" s="37"/>
      <c r="C38" s="37"/>
      <c r="D38" s="36"/>
      <c r="E38" s="33"/>
      <c r="F38" s="33" t="s">
        <v>52</v>
      </c>
      <c r="G38" s="33"/>
      <c r="H38" s="33"/>
      <c r="I38" s="33"/>
      <c r="J38" s="14"/>
      <c r="K38" s="38"/>
      <c r="L38" s="32"/>
      <c r="M38" s="32"/>
      <c r="N38" s="32"/>
      <c r="O38" s="32"/>
      <c r="P38" s="32"/>
      <c r="Q38" s="32"/>
      <c r="R38" s="35" t="s">
        <v>51</v>
      </c>
      <c r="S38" s="34"/>
      <c r="T38" s="29"/>
    </row>
    <row r="39" spans="1:22" s="2" customFormat="1" x14ac:dyDescent="0.3">
      <c r="A39" s="37" t="s">
        <v>50</v>
      </c>
      <c r="B39" s="37"/>
      <c r="C39" s="37"/>
      <c r="D39" s="36"/>
      <c r="E39" s="33"/>
      <c r="F39" s="33" t="s">
        <v>49</v>
      </c>
      <c r="G39" s="33"/>
      <c r="H39" s="33" t="s">
        <v>48</v>
      </c>
      <c r="I39" s="33"/>
      <c r="J39" s="32"/>
      <c r="K39" s="33"/>
      <c r="L39" s="32"/>
      <c r="M39" s="32"/>
      <c r="N39" s="32"/>
      <c r="O39" s="32"/>
      <c r="P39" s="32"/>
      <c r="Q39" s="32"/>
      <c r="R39" s="35" t="s">
        <v>47</v>
      </c>
      <c r="S39" s="34"/>
      <c r="T39" s="29"/>
    </row>
    <row r="40" spans="1:22" s="2" customFormat="1" x14ac:dyDescent="0.3">
      <c r="A40" s="37" t="s">
        <v>46</v>
      </c>
      <c r="B40" s="37"/>
      <c r="C40" s="37"/>
      <c r="D40" s="36"/>
      <c r="E40" s="33" t="s">
        <v>45</v>
      </c>
      <c r="F40" s="33" t="s">
        <v>44</v>
      </c>
      <c r="G40" s="33"/>
      <c r="H40" s="17" t="s">
        <v>43</v>
      </c>
      <c r="I40" s="33"/>
      <c r="J40" s="32"/>
      <c r="K40" s="33"/>
      <c r="L40" s="32" t="s">
        <v>42</v>
      </c>
      <c r="M40" s="32"/>
      <c r="N40" s="32"/>
      <c r="O40" s="32"/>
      <c r="P40" s="32"/>
      <c r="Q40" s="32"/>
      <c r="R40" s="35" t="s">
        <v>41</v>
      </c>
      <c r="S40" s="34"/>
      <c r="T40" s="29"/>
    </row>
    <row r="41" spans="1:22" s="2" customFormat="1" x14ac:dyDescent="0.3">
      <c r="A41" s="17"/>
      <c r="B41" s="17"/>
      <c r="C41" s="17"/>
      <c r="D41" s="16"/>
      <c r="E41" s="33" t="s">
        <v>40</v>
      </c>
      <c r="F41" s="17" t="s">
        <v>39</v>
      </c>
      <c r="G41" s="33" t="s">
        <v>38</v>
      </c>
      <c r="H41" s="17" t="s">
        <v>37</v>
      </c>
      <c r="I41" s="33" t="s">
        <v>36</v>
      </c>
      <c r="J41" s="32" t="s">
        <v>35</v>
      </c>
      <c r="K41" s="33" t="s">
        <v>34</v>
      </c>
      <c r="L41" s="32" t="s">
        <v>33</v>
      </c>
      <c r="M41" s="32" t="s">
        <v>32</v>
      </c>
      <c r="N41" s="32" t="s">
        <v>31</v>
      </c>
      <c r="O41" s="32" t="s">
        <v>30</v>
      </c>
      <c r="P41" s="32" t="s">
        <v>29</v>
      </c>
      <c r="Q41" s="32" t="s">
        <v>28</v>
      </c>
      <c r="R41" s="31"/>
      <c r="S41" s="30"/>
      <c r="T41" s="29"/>
    </row>
    <row r="42" spans="1:22" s="2" customFormat="1" ht="18" x14ac:dyDescent="0.35">
      <c r="A42" s="28"/>
      <c r="B42" s="28"/>
      <c r="C42" s="28"/>
      <c r="D42" s="27"/>
      <c r="E42" s="25" t="s">
        <v>27</v>
      </c>
      <c r="F42" s="25" t="s">
        <v>26</v>
      </c>
      <c r="G42" s="25" t="s">
        <v>25</v>
      </c>
      <c r="H42" s="25" t="s">
        <v>24</v>
      </c>
      <c r="I42" s="25" t="s">
        <v>23</v>
      </c>
      <c r="J42" s="26" t="s">
        <v>18</v>
      </c>
      <c r="K42" s="25" t="s">
        <v>17</v>
      </c>
      <c r="L42" s="26" t="s">
        <v>22</v>
      </c>
      <c r="M42" s="26" t="s">
        <v>21</v>
      </c>
      <c r="N42" s="26" t="s">
        <v>20</v>
      </c>
      <c r="O42" s="26" t="s">
        <v>19</v>
      </c>
      <c r="P42" s="26" t="s">
        <v>18</v>
      </c>
      <c r="Q42" s="25" t="s">
        <v>17</v>
      </c>
      <c r="R42" s="24"/>
      <c r="S42" s="23"/>
    </row>
    <row r="43" spans="1:22" s="19" customFormat="1" x14ac:dyDescent="0.3">
      <c r="A43" s="20" t="s">
        <v>123</v>
      </c>
      <c r="B43" s="20"/>
      <c r="C43" s="20"/>
      <c r="D43" s="22"/>
      <c r="E43" s="21">
        <f>SUM(E44:E48)</f>
        <v>22571.878280000001</v>
      </c>
      <c r="F43" s="21">
        <f>SUM(F44:F48)</f>
        <v>741.58400000000006</v>
      </c>
      <c r="G43" s="21">
        <f>SUM(G44:G48)</f>
        <v>993.29633000000001</v>
      </c>
      <c r="H43" s="21">
        <f>SUM(H44:H48)</f>
        <v>944.98199999999997</v>
      </c>
      <c r="I43" s="21">
        <f>SUM(I44:I48)</f>
        <v>606.71535999999992</v>
      </c>
      <c r="J43" s="21">
        <f>SUM(J44:J48)</f>
        <v>87565.341299999985</v>
      </c>
      <c r="K43" s="21">
        <f>SUM(K44:K48)</f>
        <v>19028.39</v>
      </c>
      <c r="L43" s="21">
        <f>SUM(L44:L48)</f>
        <v>46546.71811999999</v>
      </c>
      <c r="M43" s="21">
        <f>SUM(M44:M48)</f>
        <v>63580.795839999999</v>
      </c>
      <c r="N43" s="21">
        <f>SUM(N44:N48)</f>
        <v>34796.761179999994</v>
      </c>
      <c r="O43" s="21">
        <f>SUM(O44:O48)</f>
        <v>16895.43</v>
      </c>
      <c r="P43" s="21">
        <f>SUM(P44:P48)</f>
        <v>14512.001479999999</v>
      </c>
      <c r="Q43" s="21">
        <f>SUM(Q44:Q48)</f>
        <v>1.17</v>
      </c>
      <c r="R43" s="20"/>
      <c r="S43" s="20" t="s">
        <v>122</v>
      </c>
    </row>
    <row r="44" spans="1:22" s="19" customFormat="1" ht="19.5" x14ac:dyDescent="0.35">
      <c r="A44" s="20"/>
      <c r="B44" s="14" t="s">
        <v>121</v>
      </c>
      <c r="C44" s="20"/>
      <c r="D44" s="20"/>
      <c r="E44" s="69">
        <v>1315.88</v>
      </c>
      <c r="F44" s="69">
        <v>67.408000000000001</v>
      </c>
      <c r="G44" s="69">
        <v>176.93</v>
      </c>
      <c r="H44" s="69" t="s">
        <v>120</v>
      </c>
      <c r="I44" s="69">
        <v>82.805999999999997</v>
      </c>
      <c r="J44" s="69">
        <v>18.483000000000001</v>
      </c>
      <c r="K44" s="69" t="s">
        <v>4</v>
      </c>
      <c r="L44" s="69">
        <v>7985.3909999999996</v>
      </c>
      <c r="M44" s="69">
        <v>12572.298000000001</v>
      </c>
      <c r="N44" s="69">
        <v>6787.0870000000004</v>
      </c>
      <c r="O44" s="69">
        <v>2610.1999999999998</v>
      </c>
      <c r="P44" s="69">
        <v>1548</v>
      </c>
      <c r="Q44" s="69" t="s">
        <v>4</v>
      </c>
      <c r="R44" s="20"/>
      <c r="S44" s="10" t="s">
        <v>119</v>
      </c>
    </row>
    <row r="45" spans="1:22" s="29" customFormat="1" ht="18" customHeight="1" x14ac:dyDescent="0.25">
      <c r="A45" s="11"/>
      <c r="B45" s="11" t="s">
        <v>118</v>
      </c>
      <c r="C45" s="11"/>
      <c r="D45" s="11"/>
      <c r="E45" s="68">
        <v>273.94698999999997</v>
      </c>
      <c r="F45" s="68">
        <v>12.336</v>
      </c>
      <c r="G45" s="68">
        <v>88.933240000000012</v>
      </c>
      <c r="H45" s="68">
        <v>242.852</v>
      </c>
      <c r="I45" s="67">
        <v>15.808999999999999</v>
      </c>
      <c r="J45" s="68">
        <v>11255.977999999999</v>
      </c>
      <c r="K45" s="67" t="s">
        <v>4</v>
      </c>
      <c r="L45" s="68">
        <v>5510.2852999999996</v>
      </c>
      <c r="M45" s="68">
        <v>10109.182839999999</v>
      </c>
      <c r="N45" s="68">
        <v>5115.8975</v>
      </c>
      <c r="O45" s="68">
        <v>2729.69</v>
      </c>
      <c r="P45" s="68">
        <v>1436.1988899999999</v>
      </c>
      <c r="Q45" s="67" t="s">
        <v>4</v>
      </c>
      <c r="R45" s="11"/>
      <c r="S45" s="10" t="s">
        <v>117</v>
      </c>
      <c r="T45" s="66"/>
      <c r="U45" s="65"/>
      <c r="V45" s="65"/>
    </row>
    <row r="46" spans="1:22" s="29" customFormat="1" ht="18" customHeight="1" x14ac:dyDescent="0.25">
      <c r="A46" s="11"/>
      <c r="B46" s="11" t="s">
        <v>116</v>
      </c>
      <c r="C46" s="11"/>
      <c r="D46" s="11"/>
      <c r="E46" s="13">
        <v>20650.845359999999</v>
      </c>
      <c r="F46" s="13">
        <v>81.555999999999997</v>
      </c>
      <c r="G46" s="13">
        <v>147.38408999999999</v>
      </c>
      <c r="H46" s="13" t="s">
        <v>4</v>
      </c>
      <c r="I46" s="13">
        <v>155.02000000000001</v>
      </c>
      <c r="J46" s="13">
        <v>18719.1793</v>
      </c>
      <c r="K46" s="12" t="s">
        <v>4</v>
      </c>
      <c r="L46" s="13">
        <v>9378.7800000000007</v>
      </c>
      <c r="M46" s="13">
        <v>11278.065000000001</v>
      </c>
      <c r="N46" s="13">
        <v>5972.20964</v>
      </c>
      <c r="O46" s="13">
        <v>2851.25</v>
      </c>
      <c r="P46" s="13">
        <v>3775.75884</v>
      </c>
      <c r="Q46" s="67" t="s">
        <v>4</v>
      </c>
      <c r="R46" s="11"/>
      <c r="S46" s="10" t="s">
        <v>115</v>
      </c>
      <c r="T46" s="66"/>
      <c r="U46" s="65"/>
      <c r="V46" s="65"/>
    </row>
    <row r="47" spans="1:22" s="29" customFormat="1" ht="18" customHeight="1" x14ac:dyDescent="0.25">
      <c r="A47" s="11"/>
      <c r="B47" s="11" t="s">
        <v>114</v>
      </c>
      <c r="C47" s="11"/>
      <c r="D47" s="11"/>
      <c r="E47" s="68">
        <v>186.10593</v>
      </c>
      <c r="F47" s="68">
        <v>280.16399999999999</v>
      </c>
      <c r="G47" s="68">
        <v>358.149</v>
      </c>
      <c r="H47" s="68" t="s">
        <v>4</v>
      </c>
      <c r="I47" s="68">
        <v>201.94036</v>
      </c>
      <c r="J47" s="68">
        <v>35902.220999999998</v>
      </c>
      <c r="K47" s="68" t="s">
        <v>4</v>
      </c>
      <c r="L47" s="68">
        <v>14952.53182</v>
      </c>
      <c r="M47" s="68">
        <v>16411.97</v>
      </c>
      <c r="N47" s="68">
        <v>9944.9370399999989</v>
      </c>
      <c r="O47" s="68">
        <v>4977.0600000000004</v>
      </c>
      <c r="P47" s="68">
        <v>4008.5037499999999</v>
      </c>
      <c r="Q47" s="67" t="s">
        <v>4</v>
      </c>
      <c r="R47" s="11"/>
      <c r="S47" s="10" t="s">
        <v>104</v>
      </c>
      <c r="T47" s="66"/>
      <c r="U47" s="65"/>
      <c r="V47" s="65"/>
    </row>
    <row r="48" spans="1:22" x14ac:dyDescent="0.3">
      <c r="A48" s="62"/>
      <c r="B48" s="18" t="s">
        <v>113</v>
      </c>
      <c r="C48" s="62"/>
      <c r="D48" s="61"/>
      <c r="E48" s="64">
        <v>145.1</v>
      </c>
      <c r="F48" s="15">
        <v>300.12</v>
      </c>
      <c r="G48" s="64">
        <v>221.9</v>
      </c>
      <c r="H48" s="15">
        <v>702.13</v>
      </c>
      <c r="I48" s="15">
        <v>151.13999999999999</v>
      </c>
      <c r="J48" s="15">
        <v>21669.48</v>
      </c>
      <c r="K48" s="15">
        <v>19028.39</v>
      </c>
      <c r="L48" s="15">
        <v>8719.73</v>
      </c>
      <c r="M48" s="15">
        <v>13209.28</v>
      </c>
      <c r="N48" s="15">
        <v>6976.63</v>
      </c>
      <c r="O48" s="15">
        <v>3727.23</v>
      </c>
      <c r="P48" s="15">
        <v>3743.54</v>
      </c>
      <c r="Q48" s="15">
        <v>1.17</v>
      </c>
      <c r="R48" s="14"/>
      <c r="S48" s="10" t="s">
        <v>112</v>
      </c>
    </row>
    <row r="49" spans="1:19" s="19" customFormat="1" x14ac:dyDescent="0.3">
      <c r="A49" s="20" t="s">
        <v>111</v>
      </c>
      <c r="B49" s="20"/>
      <c r="C49" s="20"/>
      <c r="D49" s="22"/>
      <c r="E49" s="21">
        <f>SUM(E50:E56)</f>
        <v>18539.901609999997</v>
      </c>
      <c r="F49" s="21">
        <f>SUM(F50:F56)</f>
        <v>723.10535000000004</v>
      </c>
      <c r="G49" s="21">
        <f>SUM(G50:G56)</f>
        <v>993.71078</v>
      </c>
      <c r="H49" s="21">
        <f>SUM(H50:H56)</f>
        <v>165.23400000000001</v>
      </c>
      <c r="I49" s="21">
        <f>SUM(I50:I56)</f>
        <v>1024.2838400000001</v>
      </c>
      <c r="J49" s="21">
        <f>SUM(J50:J56)</f>
        <v>134742.79355</v>
      </c>
      <c r="K49" s="21">
        <f>SUM(K50:K56)</f>
        <v>73541.311799999996</v>
      </c>
      <c r="L49" s="21">
        <f>SUM(L50:L56)</f>
        <v>61847.144499999995</v>
      </c>
      <c r="M49" s="21">
        <f>SUM(M50:M56)</f>
        <v>73300.938819999996</v>
      </c>
      <c r="N49" s="21">
        <f>SUM(N50:N56)</f>
        <v>597429.85072999983</v>
      </c>
      <c r="O49" s="21">
        <f>SUM(O50:O56)</f>
        <v>23957.938223779995</v>
      </c>
      <c r="P49" s="21">
        <f>SUM(P50:P56)</f>
        <v>13710.67656</v>
      </c>
      <c r="Q49" s="21">
        <f>SUM(Q50:Q56)</f>
        <v>394.49627000000004</v>
      </c>
      <c r="R49" s="20"/>
      <c r="S49" s="20" t="s">
        <v>110</v>
      </c>
    </row>
    <row r="50" spans="1:19" s="60" customFormat="1" ht="15" x14ac:dyDescent="0.25">
      <c r="A50" s="62"/>
      <c r="B50" s="11" t="s">
        <v>109</v>
      </c>
      <c r="C50" s="62"/>
      <c r="D50" s="61"/>
      <c r="E50" s="15">
        <v>60.332999999999998</v>
      </c>
      <c r="F50" s="15">
        <v>58.424900000000001</v>
      </c>
      <c r="G50" s="15">
        <v>203.14497</v>
      </c>
      <c r="H50" s="15" t="s">
        <v>4</v>
      </c>
      <c r="I50" s="15">
        <v>52.38</v>
      </c>
      <c r="J50" s="15">
        <v>15169.002179999999</v>
      </c>
      <c r="K50" s="15">
        <v>14880.257210000002</v>
      </c>
      <c r="L50" s="15">
        <v>6680.1584999999995</v>
      </c>
      <c r="M50" s="15">
        <v>10494.528</v>
      </c>
      <c r="N50" s="15">
        <v>6803.9339199999995</v>
      </c>
      <c r="O50" s="15">
        <v>2525.6999999999998</v>
      </c>
      <c r="P50" s="15">
        <v>1741.12</v>
      </c>
      <c r="Q50" s="15" t="s">
        <v>4</v>
      </c>
      <c r="R50" s="14"/>
      <c r="S50" s="10" t="s">
        <v>108</v>
      </c>
    </row>
    <row r="51" spans="1:19" x14ac:dyDescent="0.3">
      <c r="A51" s="57"/>
      <c r="B51" s="11" t="s">
        <v>107</v>
      </c>
      <c r="C51" s="62"/>
      <c r="D51" s="61"/>
      <c r="E51" s="15">
        <v>17761.671870000002</v>
      </c>
      <c r="F51" s="15">
        <v>200.08459999999999</v>
      </c>
      <c r="G51" s="15">
        <v>50.015769999999996</v>
      </c>
      <c r="H51" s="15"/>
      <c r="I51" s="15">
        <v>167.62774999999999</v>
      </c>
      <c r="J51" s="15">
        <v>21180.448</v>
      </c>
      <c r="K51" s="15">
        <v>0</v>
      </c>
      <c r="L51" s="15">
        <v>8376.8865999999998</v>
      </c>
      <c r="M51" s="15">
        <v>13748.365</v>
      </c>
      <c r="N51" s="15">
        <v>6857.73812</v>
      </c>
      <c r="O51" s="15">
        <v>4072.5782599999998</v>
      </c>
      <c r="P51" s="15">
        <v>3212.9702599999996</v>
      </c>
      <c r="Q51" s="15"/>
      <c r="R51" s="14"/>
      <c r="S51" s="10" t="s">
        <v>106</v>
      </c>
    </row>
    <row r="52" spans="1:19" s="60" customFormat="1" ht="15" x14ac:dyDescent="0.25">
      <c r="A52" s="62"/>
      <c r="B52" s="11" t="s">
        <v>105</v>
      </c>
      <c r="C52" s="62"/>
      <c r="D52" s="61"/>
      <c r="E52" s="15">
        <v>93.814999999999998</v>
      </c>
      <c r="F52" s="15">
        <v>23.106000000000002</v>
      </c>
      <c r="G52" s="15">
        <v>91.933000000000007</v>
      </c>
      <c r="H52" s="15">
        <v>165.23400000000001</v>
      </c>
      <c r="I52" s="15">
        <v>139.93299999999999</v>
      </c>
      <c r="J52" s="15">
        <v>20061.016370000001</v>
      </c>
      <c r="K52" s="15" t="s">
        <v>4</v>
      </c>
      <c r="L52" s="15">
        <v>9174.1779999999999</v>
      </c>
      <c r="M52" s="15">
        <v>1401.3216699999998</v>
      </c>
      <c r="N52" s="15">
        <v>4633.0730300000005</v>
      </c>
      <c r="O52" s="15">
        <v>4123.63454</v>
      </c>
      <c r="P52" s="15">
        <v>1611.70073</v>
      </c>
      <c r="Q52" s="15" t="s">
        <v>4</v>
      </c>
      <c r="R52" s="14"/>
      <c r="S52" s="10" t="s">
        <v>104</v>
      </c>
    </row>
    <row r="53" spans="1:19" x14ac:dyDescent="0.3">
      <c r="A53" s="63"/>
      <c r="B53" s="11" t="s">
        <v>103</v>
      </c>
      <c r="C53" s="62"/>
      <c r="D53" s="61"/>
      <c r="E53" s="15">
        <v>72.086079999999995</v>
      </c>
      <c r="F53" s="15">
        <v>58.769300000000001</v>
      </c>
      <c r="G53" s="15">
        <v>58.646129999999999</v>
      </c>
      <c r="H53" s="15">
        <v>0</v>
      </c>
      <c r="I53" s="15">
        <v>273.93309000000005</v>
      </c>
      <c r="J53" s="15">
        <v>13338.165000000001</v>
      </c>
      <c r="K53" s="15">
        <v>15738.74632</v>
      </c>
      <c r="L53" s="15">
        <v>6417.5439999999999</v>
      </c>
      <c r="M53" s="15">
        <v>9593.2790000000005</v>
      </c>
      <c r="N53" s="15">
        <v>557034.89599999995</v>
      </c>
      <c r="O53" s="15">
        <v>1434</v>
      </c>
      <c r="P53" s="15">
        <v>1715.06</v>
      </c>
      <c r="Q53" s="15">
        <v>394.49627000000004</v>
      </c>
      <c r="R53" s="14"/>
      <c r="S53" s="10" t="s">
        <v>102</v>
      </c>
    </row>
    <row r="54" spans="1:19" x14ac:dyDescent="0.3">
      <c r="A54" s="57"/>
      <c r="B54" s="11" t="s">
        <v>101</v>
      </c>
      <c r="C54" s="62"/>
      <c r="D54" s="61"/>
      <c r="E54" s="15">
        <v>141.35128</v>
      </c>
      <c r="F54" s="15">
        <v>26.012599999999999</v>
      </c>
      <c r="G54" s="15">
        <v>70.27149</v>
      </c>
      <c r="H54" s="15" t="s">
        <v>7</v>
      </c>
      <c r="I54" s="15">
        <v>159</v>
      </c>
      <c r="J54" s="15">
        <v>17124.614000000001</v>
      </c>
      <c r="K54" s="15" t="s">
        <v>7</v>
      </c>
      <c r="L54" s="15">
        <v>9071.9493999999995</v>
      </c>
      <c r="M54" s="15">
        <v>11362.289000000001</v>
      </c>
      <c r="N54" s="15">
        <v>6681.8874000000005</v>
      </c>
      <c r="O54" s="15">
        <v>1.742378E-2</v>
      </c>
      <c r="P54" s="15">
        <v>2072.5594000000001</v>
      </c>
      <c r="Q54" s="15" t="s">
        <v>7</v>
      </c>
      <c r="R54" s="14"/>
      <c r="S54" s="10" t="s">
        <v>100</v>
      </c>
    </row>
    <row r="55" spans="1:19" x14ac:dyDescent="0.3">
      <c r="A55" s="62"/>
      <c r="B55" s="11" t="s">
        <v>99</v>
      </c>
      <c r="C55" s="62"/>
      <c r="D55" s="61"/>
      <c r="E55" s="15">
        <v>261.60588000000001</v>
      </c>
      <c r="F55" s="15">
        <v>64.262950000000004</v>
      </c>
      <c r="G55" s="15">
        <v>393.60490999999996</v>
      </c>
      <c r="H55" s="15" t="s">
        <v>4</v>
      </c>
      <c r="I55" s="15">
        <v>116.655</v>
      </c>
      <c r="J55" s="15">
        <v>26058.991000000002</v>
      </c>
      <c r="K55" s="15">
        <v>20341.444</v>
      </c>
      <c r="L55" s="15">
        <v>11480.013999999999</v>
      </c>
      <c r="M55" s="15">
        <v>14703.013999999999</v>
      </c>
      <c r="N55" s="15">
        <v>8998.0679099999998</v>
      </c>
      <c r="O55" s="15">
        <v>4940.1049999999996</v>
      </c>
      <c r="P55" s="15">
        <v>385.77461</v>
      </c>
      <c r="Q55" s="15" t="s">
        <v>4</v>
      </c>
      <c r="R55" s="14"/>
      <c r="S55" s="10" t="s">
        <v>98</v>
      </c>
    </row>
    <row r="56" spans="1:19" s="60" customFormat="1" ht="15" x14ac:dyDescent="0.25">
      <c r="A56" s="62"/>
      <c r="B56" s="11" t="s">
        <v>97</v>
      </c>
      <c r="C56" s="62"/>
      <c r="D56" s="61"/>
      <c r="E56" s="15">
        <v>149.0385</v>
      </c>
      <c r="F56" s="15">
        <v>292.44499999999999</v>
      </c>
      <c r="G56" s="15">
        <v>126.09451</v>
      </c>
      <c r="H56" s="15" t="s">
        <v>4</v>
      </c>
      <c r="I56" s="15">
        <v>114.755</v>
      </c>
      <c r="J56" s="15">
        <v>21810.557000000001</v>
      </c>
      <c r="K56" s="15">
        <v>22580.864269999998</v>
      </c>
      <c r="L56" s="15">
        <v>10646.414000000001</v>
      </c>
      <c r="M56" s="15">
        <v>11998.14215</v>
      </c>
      <c r="N56" s="15">
        <v>6420.2543499999992</v>
      </c>
      <c r="O56" s="15">
        <v>6861.9030000000002</v>
      </c>
      <c r="P56" s="15">
        <v>2971.4915599999999</v>
      </c>
      <c r="Q56" s="15" t="s">
        <v>4</v>
      </c>
      <c r="R56" s="14"/>
      <c r="S56" s="10" t="s">
        <v>96</v>
      </c>
    </row>
    <row r="57" spans="1:19" s="60" customFormat="1" ht="15" x14ac:dyDescent="0.25">
      <c r="A57" s="62"/>
      <c r="B57" s="11"/>
      <c r="C57" s="62"/>
      <c r="D57" s="62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14"/>
      <c r="S57" s="10"/>
    </row>
    <row r="58" spans="1:19" s="60" customFormat="1" ht="15" x14ac:dyDescent="0.25">
      <c r="A58" s="62"/>
      <c r="B58" s="11"/>
      <c r="C58" s="62"/>
      <c r="D58" s="62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14"/>
      <c r="S58" s="10"/>
    </row>
    <row r="59" spans="1:19" s="60" customFormat="1" ht="15" x14ac:dyDescent="0.25">
      <c r="A59" s="62"/>
      <c r="B59" s="11"/>
      <c r="C59" s="62"/>
      <c r="D59" s="62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14"/>
      <c r="S59" s="10"/>
    </row>
    <row r="60" spans="1:19" s="60" customFormat="1" ht="15" x14ac:dyDescent="0.25">
      <c r="A60" s="62"/>
      <c r="B60" s="11"/>
      <c r="C60" s="62"/>
      <c r="D60" s="62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14"/>
      <c r="S60" s="10"/>
    </row>
    <row r="61" spans="1:19" s="60" customFormat="1" ht="15" x14ac:dyDescent="0.25">
      <c r="A61" s="62"/>
      <c r="B61" s="11"/>
      <c r="C61" s="62"/>
      <c r="D61" s="62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14"/>
      <c r="S61" s="10"/>
    </row>
    <row r="62" spans="1:19" s="60" customFormat="1" ht="15" x14ac:dyDescent="0.25">
      <c r="A62" s="62"/>
      <c r="B62" s="11"/>
      <c r="C62" s="62"/>
      <c r="D62" s="62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14"/>
      <c r="S62" s="10"/>
    </row>
    <row r="63" spans="1:19" s="60" customFormat="1" ht="15" x14ac:dyDescent="0.25">
      <c r="A63" s="62"/>
      <c r="B63" s="11"/>
      <c r="C63" s="62"/>
      <c r="D63" s="62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14"/>
      <c r="S63" s="10"/>
    </row>
    <row r="64" spans="1:19" s="60" customFormat="1" ht="15" x14ac:dyDescent="0.25">
      <c r="A64" s="62"/>
      <c r="B64" s="11"/>
      <c r="C64" s="62"/>
      <c r="D64" s="62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14"/>
      <c r="S64" s="10"/>
    </row>
    <row r="65" spans="1:22" s="19" customFormat="1" x14ac:dyDescent="0.3">
      <c r="A65" s="14"/>
      <c r="B65" s="57" t="s">
        <v>65</v>
      </c>
      <c r="C65" s="58">
        <v>19.3</v>
      </c>
      <c r="D65" s="57" t="s">
        <v>64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14"/>
      <c r="V65" s="1"/>
    </row>
    <row r="66" spans="1:22" s="55" customFormat="1" x14ac:dyDescent="0.3">
      <c r="A66" s="14"/>
      <c r="B66" s="20" t="s">
        <v>63</v>
      </c>
      <c r="C66" s="58">
        <v>19.3</v>
      </c>
      <c r="D66" s="57" t="s">
        <v>62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14"/>
      <c r="V66" s="19"/>
    </row>
    <row r="67" spans="1:22" s="55" customFormat="1" ht="17.25" x14ac:dyDescent="0.3">
      <c r="A67" s="14"/>
      <c r="B67" s="20"/>
      <c r="C67" s="58"/>
      <c r="D67" s="57" t="s">
        <v>61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14"/>
    </row>
    <row r="68" spans="1:22" s="55" customFormat="1" ht="15" customHeight="1" x14ac:dyDescent="0.3">
      <c r="A68" s="14"/>
      <c r="B68" s="20"/>
      <c r="C68" s="58"/>
      <c r="D68" s="57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56" t="s">
        <v>60</v>
      </c>
    </row>
    <row r="69" spans="1:22" ht="6" customHeight="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V69" s="55"/>
    </row>
    <row r="70" spans="1:22" s="2" customFormat="1" ht="19.5" x14ac:dyDescent="0.35">
      <c r="A70" s="54"/>
      <c r="B70" s="53"/>
      <c r="C70" s="53"/>
      <c r="D70" s="52"/>
      <c r="E70" s="51" t="s">
        <v>59</v>
      </c>
      <c r="F70" s="50"/>
      <c r="G70" s="50"/>
      <c r="H70" s="50"/>
      <c r="I70" s="50"/>
      <c r="J70" s="50"/>
      <c r="K70" s="49"/>
      <c r="L70" s="48" t="s">
        <v>58</v>
      </c>
      <c r="M70" s="47"/>
      <c r="N70" s="47"/>
      <c r="O70" s="47"/>
      <c r="P70" s="47"/>
      <c r="Q70" s="47"/>
      <c r="R70" s="46" t="s">
        <v>57</v>
      </c>
      <c r="S70" s="45"/>
      <c r="V70" s="1"/>
    </row>
    <row r="71" spans="1:22" s="2" customFormat="1" ht="21.75" customHeight="1" x14ac:dyDescent="0.3">
      <c r="A71" s="14"/>
      <c r="B71" s="14"/>
      <c r="C71" s="14"/>
      <c r="D71" s="14"/>
      <c r="E71" s="44" t="s">
        <v>56</v>
      </c>
      <c r="F71" s="43"/>
      <c r="G71" s="43"/>
      <c r="H71" s="43"/>
      <c r="I71" s="43"/>
      <c r="J71" s="43"/>
      <c r="K71" s="42"/>
      <c r="L71" s="41" t="s">
        <v>55</v>
      </c>
      <c r="M71" s="40"/>
      <c r="N71" s="40"/>
      <c r="O71" s="40"/>
      <c r="P71" s="40"/>
      <c r="Q71" s="39"/>
      <c r="R71" s="35" t="s">
        <v>54</v>
      </c>
      <c r="S71" s="34"/>
    </row>
    <row r="72" spans="1:22" s="2" customFormat="1" x14ac:dyDescent="0.3">
      <c r="A72" s="37" t="s">
        <v>53</v>
      </c>
      <c r="B72" s="37"/>
      <c r="C72" s="37"/>
      <c r="D72" s="36"/>
      <c r="E72" s="33"/>
      <c r="F72" s="33" t="s">
        <v>52</v>
      </c>
      <c r="G72" s="33"/>
      <c r="H72" s="33"/>
      <c r="I72" s="33"/>
      <c r="J72" s="14"/>
      <c r="K72" s="38"/>
      <c r="L72" s="32"/>
      <c r="M72" s="32"/>
      <c r="N72" s="32"/>
      <c r="O72" s="32"/>
      <c r="P72" s="32"/>
      <c r="Q72" s="32"/>
      <c r="R72" s="35" t="s">
        <v>51</v>
      </c>
      <c r="S72" s="34"/>
      <c r="T72" s="29"/>
    </row>
    <row r="73" spans="1:22" s="2" customFormat="1" x14ac:dyDescent="0.3">
      <c r="A73" s="37" t="s">
        <v>50</v>
      </c>
      <c r="B73" s="37"/>
      <c r="C73" s="37"/>
      <c r="D73" s="36"/>
      <c r="E73" s="33"/>
      <c r="F73" s="33" t="s">
        <v>49</v>
      </c>
      <c r="G73" s="33"/>
      <c r="H73" s="33" t="s">
        <v>48</v>
      </c>
      <c r="I73" s="33"/>
      <c r="J73" s="32"/>
      <c r="K73" s="33"/>
      <c r="L73" s="32"/>
      <c r="M73" s="32"/>
      <c r="N73" s="32"/>
      <c r="O73" s="32"/>
      <c r="P73" s="32"/>
      <c r="Q73" s="32"/>
      <c r="R73" s="35" t="s">
        <v>47</v>
      </c>
      <c r="S73" s="34"/>
      <c r="T73" s="29"/>
    </row>
    <row r="74" spans="1:22" s="2" customFormat="1" x14ac:dyDescent="0.3">
      <c r="A74" s="37" t="s">
        <v>46</v>
      </c>
      <c r="B74" s="37"/>
      <c r="C74" s="37"/>
      <c r="D74" s="36"/>
      <c r="E74" s="33" t="s">
        <v>45</v>
      </c>
      <c r="F74" s="33" t="s">
        <v>44</v>
      </c>
      <c r="G74" s="33"/>
      <c r="H74" s="17" t="s">
        <v>43</v>
      </c>
      <c r="I74" s="33"/>
      <c r="J74" s="32"/>
      <c r="K74" s="33"/>
      <c r="L74" s="32" t="s">
        <v>42</v>
      </c>
      <c r="M74" s="32"/>
      <c r="N74" s="32"/>
      <c r="O74" s="32"/>
      <c r="P74" s="32"/>
      <c r="Q74" s="32"/>
      <c r="R74" s="35" t="s">
        <v>41</v>
      </c>
      <c r="S74" s="34"/>
      <c r="T74" s="29"/>
    </row>
    <row r="75" spans="1:22" s="2" customFormat="1" x14ac:dyDescent="0.3">
      <c r="A75" s="17"/>
      <c r="B75" s="17"/>
      <c r="C75" s="17"/>
      <c r="D75" s="16"/>
      <c r="E75" s="33" t="s">
        <v>40</v>
      </c>
      <c r="F75" s="17" t="s">
        <v>39</v>
      </c>
      <c r="G75" s="33" t="s">
        <v>38</v>
      </c>
      <c r="H75" s="17" t="s">
        <v>37</v>
      </c>
      <c r="I75" s="33" t="s">
        <v>36</v>
      </c>
      <c r="J75" s="32" t="s">
        <v>35</v>
      </c>
      <c r="K75" s="33" t="s">
        <v>34</v>
      </c>
      <c r="L75" s="32" t="s">
        <v>33</v>
      </c>
      <c r="M75" s="32" t="s">
        <v>32</v>
      </c>
      <c r="N75" s="32" t="s">
        <v>31</v>
      </c>
      <c r="O75" s="32" t="s">
        <v>30</v>
      </c>
      <c r="P75" s="32" t="s">
        <v>29</v>
      </c>
      <c r="Q75" s="32" t="s">
        <v>28</v>
      </c>
      <c r="R75" s="31"/>
      <c r="S75" s="30"/>
      <c r="T75" s="29"/>
    </row>
    <row r="76" spans="1:22" s="2" customFormat="1" ht="18" x14ac:dyDescent="0.35">
      <c r="A76" s="28"/>
      <c r="B76" s="28"/>
      <c r="C76" s="28"/>
      <c r="D76" s="27"/>
      <c r="E76" s="25" t="s">
        <v>27</v>
      </c>
      <c r="F76" s="25" t="s">
        <v>26</v>
      </c>
      <c r="G76" s="25" t="s">
        <v>25</v>
      </c>
      <c r="H76" s="25" t="s">
        <v>24</v>
      </c>
      <c r="I76" s="25" t="s">
        <v>23</v>
      </c>
      <c r="J76" s="26" t="s">
        <v>18</v>
      </c>
      <c r="K76" s="25" t="s">
        <v>17</v>
      </c>
      <c r="L76" s="26" t="s">
        <v>22</v>
      </c>
      <c r="M76" s="26" t="s">
        <v>21</v>
      </c>
      <c r="N76" s="26" t="s">
        <v>20</v>
      </c>
      <c r="O76" s="26" t="s">
        <v>19</v>
      </c>
      <c r="P76" s="26" t="s">
        <v>18</v>
      </c>
      <c r="Q76" s="25" t="s">
        <v>17</v>
      </c>
      <c r="R76" s="24"/>
      <c r="S76" s="23"/>
    </row>
    <row r="77" spans="1:22" s="19" customFormat="1" x14ac:dyDescent="0.3">
      <c r="A77" s="20" t="s">
        <v>95</v>
      </c>
      <c r="B77" s="20"/>
      <c r="C77" s="20"/>
      <c r="D77" s="22"/>
      <c r="E77" s="21">
        <f>SUM(E78:E86)</f>
        <v>555395.90346000006</v>
      </c>
      <c r="F77" s="21">
        <f>SUM(F78:F86)</f>
        <v>1221.26487</v>
      </c>
      <c r="G77" s="21">
        <f>SUM(G78:G86)</f>
        <v>1626.2075800000002</v>
      </c>
      <c r="H77" s="21">
        <f>SUM(H78:H86)</f>
        <v>1421.5940000000001</v>
      </c>
      <c r="I77" s="21">
        <f>SUM(I78:I86)</f>
        <v>888.94039999999995</v>
      </c>
      <c r="J77" s="21">
        <f>SUM(J78:J86)</f>
        <v>228030.02803999998</v>
      </c>
      <c r="K77" s="21">
        <f>SUM(K78:K86)</f>
        <v>152258.01279000001</v>
      </c>
      <c r="L77" s="21">
        <f>SUM(L78:L86)</f>
        <v>100552.50542</v>
      </c>
      <c r="M77" s="21">
        <f>SUM(M78:M86)</f>
        <v>132013.43799999999</v>
      </c>
      <c r="N77" s="21">
        <f>SUM(N78:N86)</f>
        <v>81347.930869999997</v>
      </c>
      <c r="O77" s="21">
        <f>SUM(O78:O86)</f>
        <v>40403.053659999998</v>
      </c>
      <c r="P77" s="21">
        <f>SUM(P78:P86)</f>
        <v>31190.406029999998</v>
      </c>
      <c r="Q77" s="21">
        <f>SUM(Q78:Q86)</f>
        <v>45</v>
      </c>
      <c r="R77" s="20"/>
      <c r="S77" s="20" t="s">
        <v>94</v>
      </c>
    </row>
    <row r="78" spans="1:22" x14ac:dyDescent="0.3">
      <c r="A78" s="11"/>
      <c r="B78" s="11" t="s">
        <v>93</v>
      </c>
      <c r="C78" s="11"/>
      <c r="D78" s="11"/>
      <c r="E78" s="13">
        <f>262203.8/1000</f>
        <v>262.2038</v>
      </c>
      <c r="F78" s="13">
        <f>50538.1/1000</f>
        <v>50.5381</v>
      </c>
      <c r="G78" s="13">
        <f>211879.18/1000</f>
        <v>211.87917999999999</v>
      </c>
      <c r="H78" s="13">
        <f>1335770/1000</f>
        <v>1335.77</v>
      </c>
      <c r="I78" s="13">
        <f>110754/1000</f>
        <v>110.754</v>
      </c>
      <c r="J78" s="13">
        <f>28548482/1000</f>
        <v>28548.482</v>
      </c>
      <c r="K78" s="13">
        <f>21680495.92/1000</f>
        <v>21680.495920000001</v>
      </c>
      <c r="L78" s="13">
        <f>11214754/1000</f>
        <v>11214.754000000001</v>
      </c>
      <c r="M78" s="13">
        <f>16703811/1000</f>
        <v>16703.811000000002</v>
      </c>
      <c r="N78" s="13">
        <f>9807941/1000</f>
        <v>9807.9410000000007</v>
      </c>
      <c r="O78" s="13">
        <f>2836300/1000</f>
        <v>2836.3</v>
      </c>
      <c r="P78" s="13">
        <f>3389500/1000</f>
        <v>3389.5</v>
      </c>
      <c r="Q78" s="12" t="s">
        <v>4</v>
      </c>
      <c r="R78" s="11"/>
      <c r="S78" s="10" t="s">
        <v>92</v>
      </c>
    </row>
    <row r="79" spans="1:22" x14ac:dyDescent="0.3">
      <c r="A79" s="17"/>
      <c r="B79" s="11" t="s">
        <v>91</v>
      </c>
      <c r="C79" s="17"/>
      <c r="D79" s="16"/>
      <c r="E79" s="15">
        <v>220.822</v>
      </c>
      <c r="F79" s="15">
        <v>288.88</v>
      </c>
      <c r="G79" s="15">
        <v>251.119</v>
      </c>
      <c r="H79" s="15" t="s">
        <v>4</v>
      </c>
      <c r="I79" s="15">
        <v>137.69499999999999</v>
      </c>
      <c r="J79" s="15">
        <v>26006.988000000001</v>
      </c>
      <c r="K79" s="15">
        <v>20510.554</v>
      </c>
      <c r="L79" s="15">
        <v>11894.434999999999</v>
      </c>
      <c r="M79" s="15">
        <v>14597.091</v>
      </c>
      <c r="N79" s="15">
        <v>10382.300999999999</v>
      </c>
      <c r="O79" s="15">
        <v>6164.25</v>
      </c>
      <c r="P79" s="15">
        <v>4722.7349999999997</v>
      </c>
      <c r="Q79" s="15" t="s">
        <v>4</v>
      </c>
      <c r="R79" s="14"/>
      <c r="S79" s="10" t="s">
        <v>90</v>
      </c>
    </row>
    <row r="80" spans="1:22" s="5" customFormat="1" ht="21" customHeight="1" x14ac:dyDescent="0.25">
      <c r="A80" s="17"/>
      <c r="B80" s="11" t="s">
        <v>89</v>
      </c>
      <c r="C80" s="17"/>
      <c r="D80" s="16"/>
      <c r="E80" s="15">
        <v>231.82</v>
      </c>
      <c r="F80" s="15">
        <v>74.585999999999999</v>
      </c>
      <c r="G80" s="15">
        <v>232.55799999999999</v>
      </c>
      <c r="H80" s="15">
        <v>84.198999999999998</v>
      </c>
      <c r="I80" s="15">
        <v>146.84700000000001</v>
      </c>
      <c r="J80" s="15">
        <v>17532.868999999999</v>
      </c>
      <c r="K80" s="15">
        <v>17849.173999999999</v>
      </c>
      <c r="L80" s="15">
        <v>8268.1260000000002</v>
      </c>
      <c r="M80" s="15">
        <v>12924.085999999999</v>
      </c>
      <c r="N80" s="15">
        <v>6788.4809999999998</v>
      </c>
      <c r="O80" s="15">
        <v>3745.95</v>
      </c>
      <c r="P80" s="15">
        <v>1631.32</v>
      </c>
      <c r="Q80" s="15">
        <v>20</v>
      </c>
      <c r="R80" s="14"/>
      <c r="S80" s="10" t="s">
        <v>88</v>
      </c>
    </row>
    <row r="81" spans="1:22" x14ac:dyDescent="0.3">
      <c r="A81" s="17"/>
      <c r="B81" s="11" t="s">
        <v>87</v>
      </c>
      <c r="C81" s="17"/>
      <c r="D81" s="16"/>
      <c r="E81" s="15">
        <v>422.13099999999997</v>
      </c>
      <c r="F81" s="15">
        <v>85.674000000000007</v>
      </c>
      <c r="G81" s="15">
        <v>144.29</v>
      </c>
      <c r="H81" s="15" t="s">
        <v>4</v>
      </c>
      <c r="I81" s="15">
        <v>139.38800000000001</v>
      </c>
      <c r="J81" s="15">
        <v>49636.351000000002</v>
      </c>
      <c r="K81" s="15">
        <v>34969.478000000003</v>
      </c>
      <c r="L81" s="15">
        <v>23103.737000000001</v>
      </c>
      <c r="M81" s="15">
        <v>26090.989000000001</v>
      </c>
      <c r="N81" s="15">
        <v>15380.928</v>
      </c>
      <c r="O81" s="15">
        <v>708.72</v>
      </c>
      <c r="P81" s="15">
        <v>5515.0309999999999</v>
      </c>
      <c r="Q81" s="15">
        <v>25</v>
      </c>
      <c r="R81" s="14"/>
      <c r="S81" s="10" t="s">
        <v>86</v>
      </c>
    </row>
    <row r="82" spans="1:22" x14ac:dyDescent="0.3">
      <c r="A82" s="17"/>
      <c r="B82" s="11" t="s">
        <v>85</v>
      </c>
      <c r="C82" s="17"/>
      <c r="D82" s="16"/>
      <c r="E82" s="15">
        <v>131.732</v>
      </c>
      <c r="F82" s="15">
        <v>26.512</v>
      </c>
      <c r="G82" s="15">
        <v>48.932000000000002</v>
      </c>
      <c r="H82" s="15">
        <v>1.625</v>
      </c>
      <c r="I82" s="15">
        <v>13.858000000000001</v>
      </c>
      <c r="J82" s="15">
        <v>16943.584999999999</v>
      </c>
      <c r="K82" s="15">
        <v>16270.218999999999</v>
      </c>
      <c r="L82" s="15">
        <v>7721.0439999999999</v>
      </c>
      <c r="M82" s="15">
        <v>10971.689</v>
      </c>
      <c r="N82" s="15">
        <v>6938.7439999999997</v>
      </c>
      <c r="O82" s="15">
        <v>4103.7</v>
      </c>
      <c r="P82" s="15">
        <v>2310.819</v>
      </c>
      <c r="Q82" s="15" t="s">
        <v>4</v>
      </c>
      <c r="R82" s="14"/>
      <c r="S82" s="10" t="s">
        <v>84</v>
      </c>
    </row>
    <row r="83" spans="1:22" x14ac:dyDescent="0.3">
      <c r="A83" s="11"/>
      <c r="B83" s="11" t="s">
        <v>83</v>
      </c>
      <c r="C83" s="11"/>
      <c r="D83" s="11"/>
      <c r="E83" s="13">
        <f>113651.26/1000</f>
        <v>113.65125999999999</v>
      </c>
      <c r="F83" s="13">
        <f>240401.17/1000</f>
        <v>240.40117000000001</v>
      </c>
      <c r="G83" s="13">
        <f>180474.84/1000</f>
        <v>180.47484</v>
      </c>
      <c r="H83" s="12" t="s">
        <v>4</v>
      </c>
      <c r="I83" s="13">
        <f>174157.4/1000</f>
        <v>174.1574</v>
      </c>
      <c r="J83" s="13">
        <f>32319665.72/1000</f>
        <v>32319.665719999997</v>
      </c>
      <c r="K83" s="13" t="s">
        <v>4</v>
      </c>
      <c r="L83" s="13">
        <f>14776389.42/1000</f>
        <v>14776.38942</v>
      </c>
      <c r="M83" s="13">
        <f>17025000/1000</f>
        <v>17025</v>
      </c>
      <c r="N83" s="13">
        <f>10153290.96/1000</f>
        <v>10153.29096</v>
      </c>
      <c r="O83" s="13">
        <f>7561283.66/1000</f>
        <v>7561.2836600000001</v>
      </c>
      <c r="P83" s="13">
        <f>3417683.05/1000</f>
        <v>3417.6830499999996</v>
      </c>
      <c r="Q83" s="12" t="s">
        <v>4</v>
      </c>
      <c r="R83" s="11"/>
      <c r="S83" s="10" t="s">
        <v>82</v>
      </c>
    </row>
    <row r="84" spans="1:22" x14ac:dyDescent="0.3">
      <c r="A84" s="11"/>
      <c r="B84" s="11" t="s">
        <v>81</v>
      </c>
      <c r="C84" s="11"/>
      <c r="D84" s="11"/>
      <c r="E84" s="13">
        <f>1197492.4/1000</f>
        <v>1197.4923999999999</v>
      </c>
      <c r="F84" s="13">
        <f>312242.8/1000</f>
        <v>312.24279999999999</v>
      </c>
      <c r="G84" s="13">
        <f>201667.04/1000</f>
        <v>201.66704000000001</v>
      </c>
      <c r="H84" s="13" t="s">
        <v>4</v>
      </c>
      <c r="I84" s="13">
        <f>28910/1000</f>
        <v>28.91</v>
      </c>
      <c r="J84" s="13">
        <f>18943174.32/1000</f>
        <v>18943.174320000002</v>
      </c>
      <c r="K84" s="13">
        <f>16922821.94/1000</f>
        <v>16922.821940000002</v>
      </c>
      <c r="L84" s="13">
        <f>6337661/1000</f>
        <v>6337.6610000000001</v>
      </c>
      <c r="M84" s="13">
        <f>10496800/1000</f>
        <v>10496.8</v>
      </c>
      <c r="N84" s="13">
        <f>8100931.8/1000</f>
        <v>8100.9317999999994</v>
      </c>
      <c r="O84" s="13">
        <f>3294500/1000</f>
        <v>3294.5</v>
      </c>
      <c r="P84" s="13">
        <f>4840306.45/1000</f>
        <v>4840.30645</v>
      </c>
      <c r="Q84" s="12" t="s">
        <v>4</v>
      </c>
      <c r="R84" s="11"/>
      <c r="S84" s="10" t="s">
        <v>80</v>
      </c>
    </row>
    <row r="85" spans="1:22" x14ac:dyDescent="0.3">
      <c r="A85" s="11"/>
      <c r="B85" s="11" t="s">
        <v>79</v>
      </c>
      <c r="C85" s="11"/>
      <c r="D85" s="11"/>
      <c r="E85" s="13">
        <f>195036/1000</f>
        <v>195.036</v>
      </c>
      <c r="F85" s="13">
        <f>35709/1000</f>
        <v>35.709000000000003</v>
      </c>
      <c r="G85" s="13">
        <f>110157.87/1000</f>
        <v>110.15786999999999</v>
      </c>
      <c r="H85" s="12" t="s">
        <v>4</v>
      </c>
      <c r="I85" s="13">
        <f>48128/1000</f>
        <v>48.128</v>
      </c>
      <c r="J85" s="13">
        <f>23110348/1000</f>
        <v>23110.348000000002</v>
      </c>
      <c r="K85" s="13" t="s">
        <v>4</v>
      </c>
      <c r="L85" s="13">
        <f>9814967/1000</f>
        <v>9814.9670000000006</v>
      </c>
      <c r="M85" s="13">
        <f>12393517/1000</f>
        <v>12393.517</v>
      </c>
      <c r="N85" s="13">
        <f>8480593.68/1000</f>
        <v>8480.5936799999999</v>
      </c>
      <c r="O85" s="13">
        <f>4385350/1000</f>
        <v>4385.3500000000004</v>
      </c>
      <c r="P85" s="13">
        <f>3679814.26/1000</f>
        <v>3679.8142599999996</v>
      </c>
      <c r="Q85" s="12" t="s">
        <v>4</v>
      </c>
      <c r="R85" s="11"/>
      <c r="S85" s="10" t="s">
        <v>78</v>
      </c>
    </row>
    <row r="86" spans="1:22" s="60" customFormat="1" ht="15" x14ac:dyDescent="0.25">
      <c r="A86" s="62"/>
      <c r="B86" s="11" t="s">
        <v>77</v>
      </c>
      <c r="C86" s="62"/>
      <c r="D86" s="61"/>
      <c r="E86" s="15">
        <v>552621.01500000001</v>
      </c>
      <c r="F86" s="15">
        <v>106.7218</v>
      </c>
      <c r="G86" s="15">
        <v>245.12965</v>
      </c>
      <c r="H86" s="15" t="s">
        <v>4</v>
      </c>
      <c r="I86" s="15">
        <v>89.203000000000003</v>
      </c>
      <c r="J86" s="15">
        <v>14988.565000000001</v>
      </c>
      <c r="K86" s="15">
        <v>24055.269929999999</v>
      </c>
      <c r="L86" s="15">
        <v>7421.3919999999998</v>
      </c>
      <c r="M86" s="15">
        <v>10810.455</v>
      </c>
      <c r="N86" s="15">
        <v>5314.7194300000001</v>
      </c>
      <c r="O86" s="15">
        <v>7603</v>
      </c>
      <c r="P86" s="15">
        <v>1683.1972700000001</v>
      </c>
      <c r="Q86" s="15"/>
      <c r="R86" s="14"/>
      <c r="S86" s="10" t="s">
        <v>76</v>
      </c>
    </row>
    <row r="87" spans="1:22" s="19" customFormat="1" x14ac:dyDescent="0.3">
      <c r="A87" s="20" t="s">
        <v>75</v>
      </c>
      <c r="B87" s="20"/>
      <c r="C87" s="20"/>
      <c r="D87" s="22"/>
      <c r="E87" s="21">
        <f>SUM(E88:E91)</f>
        <v>665.22900000000004</v>
      </c>
      <c r="F87" s="21">
        <f>SUM(F88:F91)</f>
        <v>849.8889999999999</v>
      </c>
      <c r="G87" s="21">
        <f>SUM(G88:G91)</f>
        <v>513.80999999999995</v>
      </c>
      <c r="H87" s="21">
        <f>SUM(H88:H91)</f>
        <v>1345.777</v>
      </c>
      <c r="I87" s="21">
        <f>SUM(I88:I91)</f>
        <v>121.87399999999998</v>
      </c>
      <c r="J87" s="21">
        <f>SUM(J88:J91)</f>
        <v>104885.163</v>
      </c>
      <c r="K87" s="21">
        <f>SUM(K88:K91)</f>
        <v>58289.78300000001</v>
      </c>
      <c r="L87" s="21">
        <f>SUM(L88:L91)</f>
        <v>33288.540999999997</v>
      </c>
      <c r="M87" s="21">
        <f>SUM(M88:M91)</f>
        <v>46295.03</v>
      </c>
      <c r="N87" s="21">
        <f>SUM(N88:N91)</f>
        <v>26145.271000000001</v>
      </c>
      <c r="O87" s="21">
        <f>SUM(O88:O91)</f>
        <v>16045.592000000001</v>
      </c>
      <c r="P87" s="21">
        <f>SUM(P88:P91)</f>
        <v>14429.056</v>
      </c>
      <c r="Q87" s="21">
        <f>SUM(Q88:Q91)</f>
        <v>2484.7199999999998</v>
      </c>
      <c r="R87" s="20"/>
      <c r="S87" s="20" t="s">
        <v>74</v>
      </c>
    </row>
    <row r="88" spans="1:22" x14ac:dyDescent="0.3">
      <c r="A88" s="17"/>
      <c r="B88" s="18" t="s">
        <v>73</v>
      </c>
      <c r="C88" s="17"/>
      <c r="D88" s="16"/>
      <c r="E88" s="15">
        <v>194.571</v>
      </c>
      <c r="F88" s="15">
        <v>63.292000000000002</v>
      </c>
      <c r="G88" s="15">
        <v>42.389000000000003</v>
      </c>
      <c r="H88" s="15">
        <v>655.12</v>
      </c>
      <c r="I88" s="15">
        <v>113.285</v>
      </c>
      <c r="J88" s="15">
        <v>16842.377</v>
      </c>
      <c r="K88" s="15">
        <v>16799.114000000001</v>
      </c>
      <c r="L88" s="15">
        <v>6250.4219999999996</v>
      </c>
      <c r="M88" s="15">
        <v>12013.593000000001</v>
      </c>
      <c r="N88" s="15">
        <v>7346.5649999999996</v>
      </c>
      <c r="O88" s="15">
        <v>3012.29</v>
      </c>
      <c r="P88" s="15">
        <v>1941.365</v>
      </c>
      <c r="Q88" s="15" t="s">
        <v>4</v>
      </c>
      <c r="R88" s="14"/>
      <c r="S88" s="10" t="s">
        <v>72</v>
      </c>
    </row>
    <row r="89" spans="1:22" x14ac:dyDescent="0.3">
      <c r="A89" s="17"/>
      <c r="B89" s="18" t="s">
        <v>71</v>
      </c>
      <c r="C89" s="17"/>
      <c r="D89" s="16"/>
      <c r="E89" s="15">
        <v>112.447</v>
      </c>
      <c r="F89" s="15">
        <v>99.61</v>
      </c>
      <c r="G89" s="15">
        <v>76.751000000000005</v>
      </c>
      <c r="H89" s="15">
        <v>363.57499999999999</v>
      </c>
      <c r="I89" s="15">
        <v>1.46</v>
      </c>
      <c r="J89" s="15">
        <v>37676.370000000003</v>
      </c>
      <c r="K89" s="15" t="s">
        <v>4</v>
      </c>
      <c r="L89" s="15">
        <v>7473.2669999999998</v>
      </c>
      <c r="M89" s="15">
        <v>10617.64</v>
      </c>
      <c r="N89" s="15">
        <v>6359.7709999999997</v>
      </c>
      <c r="O89" s="15">
        <v>3358.05</v>
      </c>
      <c r="P89" s="15">
        <v>6683.9380000000001</v>
      </c>
      <c r="Q89" s="15" t="s">
        <v>4</v>
      </c>
      <c r="R89" s="14"/>
      <c r="S89" s="10" t="s">
        <v>70</v>
      </c>
    </row>
    <row r="90" spans="1:22" x14ac:dyDescent="0.3">
      <c r="A90" s="17"/>
      <c r="B90" s="18" t="s">
        <v>69</v>
      </c>
      <c r="C90" s="17"/>
      <c r="D90" s="16"/>
      <c r="E90" s="15">
        <v>249.91900000000001</v>
      </c>
      <c r="F90" s="15">
        <v>666.12199999999996</v>
      </c>
      <c r="G90" s="15">
        <v>271.27499999999998</v>
      </c>
      <c r="H90" s="15">
        <v>151.66</v>
      </c>
      <c r="I90" s="15">
        <v>0.6</v>
      </c>
      <c r="J90" s="15">
        <v>31678.937000000002</v>
      </c>
      <c r="K90" s="15">
        <v>24392.486000000001</v>
      </c>
      <c r="L90" s="15">
        <v>12544.338</v>
      </c>
      <c r="M90" s="15">
        <v>12197.868</v>
      </c>
      <c r="N90" s="15">
        <v>6758.0349999999999</v>
      </c>
      <c r="O90" s="15">
        <v>4113</v>
      </c>
      <c r="P90" s="15">
        <v>3461.9140000000002</v>
      </c>
      <c r="Q90" s="15">
        <v>2484.7199999999998</v>
      </c>
      <c r="R90" s="14"/>
      <c r="S90" s="10" t="s">
        <v>68</v>
      </c>
    </row>
    <row r="91" spans="1:22" x14ac:dyDescent="0.3">
      <c r="A91" s="17"/>
      <c r="B91" s="18" t="s">
        <v>67</v>
      </c>
      <c r="C91" s="17"/>
      <c r="D91" s="16"/>
      <c r="E91" s="15">
        <v>108.292</v>
      </c>
      <c r="F91" s="15">
        <v>20.864999999999998</v>
      </c>
      <c r="G91" s="15">
        <v>123.395</v>
      </c>
      <c r="H91" s="15">
        <v>175.422</v>
      </c>
      <c r="I91" s="15">
        <v>6.5289999999999999</v>
      </c>
      <c r="J91" s="15">
        <v>18687.478999999999</v>
      </c>
      <c r="K91" s="15">
        <v>17098.183000000001</v>
      </c>
      <c r="L91" s="15">
        <v>7020.5140000000001</v>
      </c>
      <c r="M91" s="15">
        <v>11465.929</v>
      </c>
      <c r="N91" s="15">
        <v>5680.9</v>
      </c>
      <c r="O91" s="15">
        <v>5562.2520000000004</v>
      </c>
      <c r="P91" s="15">
        <v>2341.8389999999999</v>
      </c>
      <c r="Q91" s="15" t="s">
        <v>4</v>
      </c>
      <c r="R91" s="14"/>
      <c r="S91" s="10" t="s">
        <v>66</v>
      </c>
    </row>
    <row r="92" spans="1:22" x14ac:dyDescent="0.3">
      <c r="A92" s="17"/>
      <c r="B92" s="18"/>
      <c r="C92" s="17"/>
      <c r="D92" s="17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14"/>
      <c r="S92" s="10"/>
    </row>
    <row r="93" spans="1:22" x14ac:dyDescent="0.3">
      <c r="A93" s="17"/>
      <c r="B93" s="18"/>
      <c r="C93" s="17"/>
      <c r="D93" s="17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14"/>
      <c r="S93" s="10"/>
    </row>
    <row r="94" spans="1:22" x14ac:dyDescent="0.3">
      <c r="A94" s="17"/>
      <c r="B94" s="18"/>
      <c r="C94" s="17"/>
      <c r="D94" s="17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14"/>
      <c r="S94" s="10"/>
    </row>
    <row r="95" spans="1:22" x14ac:dyDescent="0.3">
      <c r="A95" s="17"/>
      <c r="B95" s="18"/>
      <c r="C95" s="17"/>
      <c r="D95" s="17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14"/>
      <c r="S95" s="10"/>
    </row>
    <row r="96" spans="1:22" s="19" customFormat="1" x14ac:dyDescent="0.3">
      <c r="A96" s="14"/>
      <c r="B96" s="57" t="s">
        <v>65</v>
      </c>
      <c r="C96" s="58">
        <v>19.3</v>
      </c>
      <c r="D96" s="57" t="s">
        <v>64</v>
      </c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14"/>
      <c r="V96" s="1"/>
    </row>
    <row r="97" spans="1:22" s="55" customFormat="1" x14ac:dyDescent="0.3">
      <c r="A97" s="14"/>
      <c r="B97" s="20" t="s">
        <v>63</v>
      </c>
      <c r="C97" s="58">
        <v>19.3</v>
      </c>
      <c r="D97" s="57" t="s">
        <v>62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14"/>
      <c r="V97" s="19"/>
    </row>
    <row r="98" spans="1:22" s="55" customFormat="1" ht="17.25" x14ac:dyDescent="0.3">
      <c r="A98" s="14"/>
      <c r="B98" s="20"/>
      <c r="C98" s="58"/>
      <c r="D98" s="57" t="s">
        <v>61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14"/>
    </row>
    <row r="99" spans="1:22" s="55" customFormat="1" ht="15" customHeight="1" x14ac:dyDescent="0.3">
      <c r="A99" s="14"/>
      <c r="B99" s="20"/>
      <c r="C99" s="58"/>
      <c r="D99" s="57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56" t="s">
        <v>60</v>
      </c>
    </row>
    <row r="100" spans="1:22" ht="6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V100" s="55"/>
    </row>
    <row r="101" spans="1:22" s="2" customFormat="1" ht="19.5" x14ac:dyDescent="0.35">
      <c r="A101" s="54"/>
      <c r="B101" s="53"/>
      <c r="C101" s="53"/>
      <c r="D101" s="52"/>
      <c r="E101" s="51" t="s">
        <v>59</v>
      </c>
      <c r="F101" s="50"/>
      <c r="G101" s="50"/>
      <c r="H101" s="50"/>
      <c r="I101" s="50"/>
      <c r="J101" s="50"/>
      <c r="K101" s="49"/>
      <c r="L101" s="48" t="s">
        <v>58</v>
      </c>
      <c r="M101" s="47"/>
      <c r="N101" s="47"/>
      <c r="O101" s="47"/>
      <c r="P101" s="47"/>
      <c r="Q101" s="47"/>
      <c r="R101" s="46" t="s">
        <v>57</v>
      </c>
      <c r="S101" s="45"/>
      <c r="V101" s="1"/>
    </row>
    <row r="102" spans="1:22" s="2" customFormat="1" ht="21.75" customHeight="1" x14ac:dyDescent="0.3">
      <c r="A102" s="14"/>
      <c r="B102" s="14"/>
      <c r="C102" s="14"/>
      <c r="D102" s="14"/>
      <c r="E102" s="44" t="s">
        <v>56</v>
      </c>
      <c r="F102" s="43"/>
      <c r="G102" s="43"/>
      <c r="H102" s="43"/>
      <c r="I102" s="43"/>
      <c r="J102" s="43"/>
      <c r="K102" s="42"/>
      <c r="L102" s="41" t="s">
        <v>55</v>
      </c>
      <c r="M102" s="40"/>
      <c r="N102" s="40"/>
      <c r="O102" s="40"/>
      <c r="P102" s="40"/>
      <c r="Q102" s="39"/>
      <c r="R102" s="35" t="s">
        <v>54</v>
      </c>
      <c r="S102" s="34"/>
    </row>
    <row r="103" spans="1:22" s="2" customFormat="1" x14ac:dyDescent="0.3">
      <c r="A103" s="37" t="s">
        <v>53</v>
      </c>
      <c r="B103" s="37"/>
      <c r="C103" s="37"/>
      <c r="D103" s="36"/>
      <c r="E103" s="33"/>
      <c r="F103" s="33" t="s">
        <v>52</v>
      </c>
      <c r="G103" s="33"/>
      <c r="H103" s="33"/>
      <c r="I103" s="33"/>
      <c r="J103" s="14"/>
      <c r="K103" s="38"/>
      <c r="L103" s="32"/>
      <c r="M103" s="32"/>
      <c r="N103" s="32"/>
      <c r="O103" s="32"/>
      <c r="P103" s="32"/>
      <c r="Q103" s="32"/>
      <c r="R103" s="35" t="s">
        <v>51</v>
      </c>
      <c r="S103" s="34"/>
      <c r="T103" s="29"/>
    </row>
    <row r="104" spans="1:22" s="2" customFormat="1" x14ac:dyDescent="0.3">
      <c r="A104" s="37" t="s">
        <v>50</v>
      </c>
      <c r="B104" s="37"/>
      <c r="C104" s="37"/>
      <c r="D104" s="36"/>
      <c r="E104" s="33"/>
      <c r="F104" s="33" t="s">
        <v>49</v>
      </c>
      <c r="G104" s="33"/>
      <c r="H104" s="33" t="s">
        <v>48</v>
      </c>
      <c r="I104" s="33"/>
      <c r="J104" s="32"/>
      <c r="K104" s="33"/>
      <c r="L104" s="32"/>
      <c r="M104" s="32"/>
      <c r="N104" s="32"/>
      <c r="O104" s="32"/>
      <c r="P104" s="32"/>
      <c r="Q104" s="32"/>
      <c r="R104" s="35" t="s">
        <v>47</v>
      </c>
      <c r="S104" s="34"/>
      <c r="T104" s="29"/>
    </row>
    <row r="105" spans="1:22" s="2" customFormat="1" x14ac:dyDescent="0.3">
      <c r="A105" s="37" t="s">
        <v>46</v>
      </c>
      <c r="B105" s="37"/>
      <c r="C105" s="37"/>
      <c r="D105" s="36"/>
      <c r="E105" s="33" t="s">
        <v>45</v>
      </c>
      <c r="F105" s="33" t="s">
        <v>44</v>
      </c>
      <c r="G105" s="33"/>
      <c r="H105" s="17" t="s">
        <v>43</v>
      </c>
      <c r="I105" s="33"/>
      <c r="J105" s="32"/>
      <c r="K105" s="33"/>
      <c r="L105" s="32" t="s">
        <v>42</v>
      </c>
      <c r="M105" s="32"/>
      <c r="N105" s="32"/>
      <c r="O105" s="32"/>
      <c r="P105" s="32"/>
      <c r="Q105" s="32"/>
      <c r="R105" s="35" t="s">
        <v>41</v>
      </c>
      <c r="S105" s="34"/>
      <c r="T105" s="29"/>
    </row>
    <row r="106" spans="1:22" s="2" customFormat="1" x14ac:dyDescent="0.3">
      <c r="A106" s="17"/>
      <c r="B106" s="17"/>
      <c r="C106" s="17"/>
      <c r="D106" s="16"/>
      <c r="E106" s="33" t="s">
        <v>40</v>
      </c>
      <c r="F106" s="17" t="s">
        <v>39</v>
      </c>
      <c r="G106" s="33" t="s">
        <v>38</v>
      </c>
      <c r="H106" s="17" t="s">
        <v>37</v>
      </c>
      <c r="I106" s="33" t="s">
        <v>36</v>
      </c>
      <c r="J106" s="32" t="s">
        <v>35</v>
      </c>
      <c r="K106" s="33" t="s">
        <v>34</v>
      </c>
      <c r="L106" s="32" t="s">
        <v>33</v>
      </c>
      <c r="M106" s="32" t="s">
        <v>32</v>
      </c>
      <c r="N106" s="32" t="s">
        <v>31</v>
      </c>
      <c r="O106" s="32" t="s">
        <v>30</v>
      </c>
      <c r="P106" s="32" t="s">
        <v>29</v>
      </c>
      <c r="Q106" s="32" t="s">
        <v>28</v>
      </c>
      <c r="R106" s="31"/>
      <c r="S106" s="30"/>
      <c r="T106" s="29"/>
    </row>
    <row r="107" spans="1:22" s="2" customFormat="1" ht="18" x14ac:dyDescent="0.35">
      <c r="A107" s="28"/>
      <c r="B107" s="28"/>
      <c r="C107" s="28"/>
      <c r="D107" s="27"/>
      <c r="E107" s="25" t="s">
        <v>27</v>
      </c>
      <c r="F107" s="25" t="s">
        <v>26</v>
      </c>
      <c r="G107" s="25" t="s">
        <v>25</v>
      </c>
      <c r="H107" s="25" t="s">
        <v>24</v>
      </c>
      <c r="I107" s="25" t="s">
        <v>23</v>
      </c>
      <c r="J107" s="26" t="s">
        <v>18</v>
      </c>
      <c r="K107" s="25" t="s">
        <v>17</v>
      </c>
      <c r="L107" s="26" t="s">
        <v>22</v>
      </c>
      <c r="M107" s="26" t="s">
        <v>21</v>
      </c>
      <c r="N107" s="26" t="s">
        <v>20</v>
      </c>
      <c r="O107" s="26" t="s">
        <v>19</v>
      </c>
      <c r="P107" s="26" t="s">
        <v>18</v>
      </c>
      <c r="Q107" s="25" t="s">
        <v>17</v>
      </c>
      <c r="R107" s="24"/>
      <c r="S107" s="23"/>
    </row>
    <row r="108" spans="1:22" s="19" customFormat="1" x14ac:dyDescent="0.3">
      <c r="A108" s="20" t="s">
        <v>16</v>
      </c>
      <c r="B108" s="20"/>
      <c r="C108" s="20"/>
      <c r="D108" s="22"/>
      <c r="E108" s="21">
        <f>SUM(E109:E113)</f>
        <v>742.41751999999997</v>
      </c>
      <c r="F108" s="21">
        <f>SUM(F109:F113)</f>
        <v>880.56829999999991</v>
      </c>
      <c r="G108" s="21">
        <f>SUM(G109:G113)</f>
        <v>694.49054000000001</v>
      </c>
      <c r="H108" s="21">
        <f>SUM(H109:H113)</f>
        <v>559.08315000000005</v>
      </c>
      <c r="I108" s="21">
        <f>SUM(I109:I113)</f>
        <v>631.64300000000003</v>
      </c>
      <c r="J108" s="21">
        <f>SUM(J109:J113)</f>
        <v>118753.37176000001</v>
      </c>
      <c r="K108" s="21">
        <f>SUM(K109:K113)</f>
        <v>63852.904479999997</v>
      </c>
      <c r="L108" s="21">
        <f>SUM(L109:L113)</f>
        <v>41919.958899999998</v>
      </c>
      <c r="M108" s="21">
        <f>SUM(M109:M113)</f>
        <v>46339.067860000003</v>
      </c>
      <c r="N108" s="21">
        <f>SUM(N109:N113)</f>
        <v>29832.2556</v>
      </c>
      <c r="O108" s="21">
        <f>SUM(O109:O113)</f>
        <v>26160.025000000001</v>
      </c>
      <c r="P108" s="21">
        <f>SUM(P109:P113)</f>
        <v>10710.609869999998</v>
      </c>
      <c r="Q108" s="21">
        <f>SUM(Q109:Q113)</f>
        <v>20</v>
      </c>
      <c r="R108" s="20"/>
      <c r="S108" s="20" t="s">
        <v>15</v>
      </c>
    </row>
    <row r="109" spans="1:22" x14ac:dyDescent="0.3">
      <c r="A109" s="11"/>
      <c r="B109" s="11" t="s">
        <v>14</v>
      </c>
      <c r="C109" s="11"/>
      <c r="D109" s="11"/>
      <c r="E109" s="13">
        <v>56.4</v>
      </c>
      <c r="F109" s="13">
        <v>80.046000000000006</v>
      </c>
      <c r="G109" s="13">
        <v>68.831190000000007</v>
      </c>
      <c r="H109" s="13">
        <v>150.49</v>
      </c>
      <c r="I109" s="13">
        <v>4.1100000000000003</v>
      </c>
      <c r="J109" s="13">
        <v>23409.086760000002</v>
      </c>
      <c r="K109" s="12">
        <v>1871.6017199999999</v>
      </c>
      <c r="L109" s="13">
        <v>4706.5099</v>
      </c>
      <c r="M109" s="13">
        <v>7433.1818600000006</v>
      </c>
      <c r="N109" s="13">
        <v>4953.5954299999994</v>
      </c>
      <c r="O109" s="13">
        <v>2317.4</v>
      </c>
      <c r="P109" s="13">
        <v>2622.9751699999997</v>
      </c>
      <c r="Q109" s="12" t="s">
        <v>4</v>
      </c>
      <c r="R109" s="11"/>
      <c r="S109" s="10" t="s">
        <v>13</v>
      </c>
    </row>
    <row r="110" spans="1:22" x14ac:dyDescent="0.3">
      <c r="A110" s="11"/>
      <c r="B110" s="11" t="s">
        <v>12</v>
      </c>
      <c r="C110" s="11"/>
      <c r="D110" s="11"/>
      <c r="E110" s="13">
        <v>115.69158</v>
      </c>
      <c r="F110" s="13">
        <v>140.7645</v>
      </c>
      <c r="G110" s="13">
        <v>156.27042</v>
      </c>
      <c r="H110" s="13">
        <v>36.104999999999997</v>
      </c>
      <c r="I110" s="13">
        <v>146.839</v>
      </c>
      <c r="J110" s="13">
        <v>21518.811000000002</v>
      </c>
      <c r="K110" s="13">
        <v>18848.719359999999</v>
      </c>
      <c r="L110" s="13">
        <v>8617.8420000000006</v>
      </c>
      <c r="M110" s="13">
        <v>10662.97</v>
      </c>
      <c r="N110" s="13">
        <v>8616.2129999999997</v>
      </c>
      <c r="O110" s="13">
        <v>4644.6400000000003</v>
      </c>
      <c r="P110" s="13">
        <v>2871.2090499999999</v>
      </c>
      <c r="Q110" s="12" t="s">
        <v>4</v>
      </c>
      <c r="R110" s="11"/>
      <c r="S110" s="10" t="s">
        <v>11</v>
      </c>
    </row>
    <row r="111" spans="1:22" x14ac:dyDescent="0.3">
      <c r="A111" s="17"/>
      <c r="B111" s="18" t="s">
        <v>10</v>
      </c>
      <c r="C111" s="17"/>
      <c r="D111" s="16"/>
      <c r="E111" s="15">
        <v>63.33</v>
      </c>
      <c r="F111" s="15">
        <v>41.54</v>
      </c>
      <c r="G111" s="15">
        <v>61.71</v>
      </c>
      <c r="H111" s="15" t="s">
        <v>4</v>
      </c>
      <c r="I111" s="15">
        <v>27.26</v>
      </c>
      <c r="J111" s="15">
        <v>22250.85</v>
      </c>
      <c r="K111" s="15">
        <v>19077.91</v>
      </c>
      <c r="L111" s="15">
        <v>5819.89</v>
      </c>
      <c r="M111" s="15">
        <v>12383.84</v>
      </c>
      <c r="N111" s="15">
        <v>4531.13</v>
      </c>
      <c r="O111" s="15">
        <v>12861.48</v>
      </c>
      <c r="P111" s="15">
        <v>2774.82</v>
      </c>
      <c r="Q111" s="15" t="s">
        <v>4</v>
      </c>
      <c r="R111" s="14"/>
      <c r="S111" s="10" t="s">
        <v>9</v>
      </c>
    </row>
    <row r="112" spans="1:22" x14ac:dyDescent="0.3">
      <c r="A112" s="11"/>
      <c r="B112" s="11" t="s">
        <v>8</v>
      </c>
      <c r="C112" s="11"/>
      <c r="D112" s="11"/>
      <c r="E112" s="13">
        <v>330.22669000000002</v>
      </c>
      <c r="F112" s="13">
        <v>483.59980000000002</v>
      </c>
      <c r="G112" s="13">
        <v>318.11513000000002</v>
      </c>
      <c r="H112" s="12" t="s">
        <v>4</v>
      </c>
      <c r="I112" s="13">
        <v>135.83000000000001</v>
      </c>
      <c r="J112" s="13">
        <v>27254.771000000001</v>
      </c>
      <c r="K112" s="13">
        <v>24054.6734</v>
      </c>
      <c r="L112" s="13">
        <v>12712.696</v>
      </c>
      <c r="M112" s="13">
        <v>9033.9110000000001</v>
      </c>
      <c r="N112" s="13">
        <v>1820.53854</v>
      </c>
      <c r="O112" s="13">
        <v>1294.55</v>
      </c>
      <c r="P112" s="13" t="s">
        <v>7</v>
      </c>
      <c r="Q112" s="13">
        <v>20</v>
      </c>
      <c r="R112" s="11"/>
      <c r="S112" s="10" t="s">
        <v>6</v>
      </c>
    </row>
    <row r="113" spans="1:19" x14ac:dyDescent="0.3">
      <c r="A113" s="11"/>
      <c r="B113" s="11" t="s">
        <v>5</v>
      </c>
      <c r="C113" s="11"/>
      <c r="D113" s="11"/>
      <c r="E113" s="13">
        <v>176.76925</v>
      </c>
      <c r="F113" s="13">
        <v>134.61799999999999</v>
      </c>
      <c r="G113" s="13">
        <v>89.563800000000001</v>
      </c>
      <c r="H113" s="13">
        <v>372.48815000000002</v>
      </c>
      <c r="I113" s="13">
        <v>317.60399999999998</v>
      </c>
      <c r="J113" s="13">
        <v>24319.852999999999</v>
      </c>
      <c r="K113" s="13" t="s">
        <v>4</v>
      </c>
      <c r="L113" s="13">
        <v>10063.021000000001</v>
      </c>
      <c r="M113" s="13">
        <v>6825.165</v>
      </c>
      <c r="N113" s="13">
        <v>9910.7786300000007</v>
      </c>
      <c r="O113" s="13">
        <v>5041.9549999999999</v>
      </c>
      <c r="P113" s="13">
        <v>2441.60565</v>
      </c>
      <c r="Q113" s="12" t="s">
        <v>4</v>
      </c>
      <c r="R113" s="11"/>
      <c r="S113" s="10" t="s">
        <v>3</v>
      </c>
    </row>
    <row r="114" spans="1:19" ht="3" customHeight="1" x14ac:dyDescent="0.3">
      <c r="A114" s="7"/>
      <c r="B114" s="7"/>
      <c r="C114" s="7"/>
      <c r="D114" s="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7"/>
      <c r="S114" s="7"/>
    </row>
    <row r="115" spans="1:19" ht="3" customHeight="1" x14ac:dyDescent="0.3"/>
    <row r="116" spans="1:19" s="5" customFormat="1" ht="15.75" x14ac:dyDescent="0.25">
      <c r="A116" s="6" t="s">
        <v>2</v>
      </c>
      <c r="C116" s="6" t="s">
        <v>1</v>
      </c>
      <c r="D116" s="6"/>
      <c r="E116" s="6"/>
      <c r="K116" s="6" t="s">
        <v>0</v>
      </c>
    </row>
    <row r="117" spans="1:19" x14ac:dyDescent="0.3">
      <c r="B117" s="4"/>
      <c r="C117" s="2"/>
      <c r="D117" s="2"/>
      <c r="E117" s="2"/>
    </row>
    <row r="118" spans="1:19" x14ac:dyDescent="0.3">
      <c r="B118" s="3"/>
      <c r="C118" s="2"/>
      <c r="D118" s="2"/>
      <c r="E118" s="2"/>
    </row>
  </sheetData>
  <mergeCells count="50">
    <mergeCell ref="B24:D24"/>
    <mergeCell ref="B21:D21"/>
    <mergeCell ref="B27:D27"/>
    <mergeCell ref="B28:D28"/>
    <mergeCell ref="A13:D13"/>
    <mergeCell ref="A14:C14"/>
    <mergeCell ref="A8:D8"/>
    <mergeCell ref="A9:D9"/>
    <mergeCell ref="A10:D10"/>
    <mergeCell ref="L6:Q6"/>
    <mergeCell ref="L7:Q7"/>
    <mergeCell ref="R10:S10"/>
    <mergeCell ref="R8:S8"/>
    <mergeCell ref="R9:S9"/>
    <mergeCell ref="R7:S7"/>
    <mergeCell ref="E36:K36"/>
    <mergeCell ref="L36:Q36"/>
    <mergeCell ref="E37:K37"/>
    <mergeCell ref="L37:Q37"/>
    <mergeCell ref="R37:S37"/>
    <mergeCell ref="E6:K6"/>
    <mergeCell ref="E7:K7"/>
    <mergeCell ref="A38:D38"/>
    <mergeCell ref="R38:S38"/>
    <mergeCell ref="A39:D39"/>
    <mergeCell ref="R39:S39"/>
    <mergeCell ref="A40:D40"/>
    <mergeCell ref="R40:S40"/>
    <mergeCell ref="R74:S74"/>
    <mergeCell ref="E70:K70"/>
    <mergeCell ref="L70:Q70"/>
    <mergeCell ref="E71:K71"/>
    <mergeCell ref="L71:Q71"/>
    <mergeCell ref="R71:S71"/>
    <mergeCell ref="E101:K101"/>
    <mergeCell ref="L101:Q101"/>
    <mergeCell ref="E102:K102"/>
    <mergeCell ref="L102:Q102"/>
    <mergeCell ref="R102:S102"/>
    <mergeCell ref="A72:D72"/>
    <mergeCell ref="R72:S72"/>
    <mergeCell ref="A73:D73"/>
    <mergeCell ref="R73:S73"/>
    <mergeCell ref="A74:D74"/>
    <mergeCell ref="A103:D103"/>
    <mergeCell ref="R103:S103"/>
    <mergeCell ref="A104:D104"/>
    <mergeCell ref="R104:S104"/>
    <mergeCell ref="A105:D105"/>
    <mergeCell ref="R105:S105"/>
  </mergeCells>
  <pageMargins left="0.55118110236220497" right="0.35433070866141703" top="0.78740157480314998" bottom="0.59055118110236204" header="0.511811023622047" footer="0.511811023622047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2020-04-24T06:36:52Z</dcterms:created>
  <dcterms:modified xsi:type="dcterms:W3CDTF">2020-04-24T06:37:05Z</dcterms:modified>
</cp:coreProperties>
</file>