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5775" yWindow="-30" windowWidth="5115" windowHeight="6390" tabRatio="448" firstSheet="3" activeTab="3"/>
  </bookViews>
  <sheets>
    <sheet name="ตาราง 1" sheetId="92" r:id="rId1"/>
    <sheet name="ตาราง 2 2562" sheetId="86" r:id="rId2"/>
    <sheet name="ตาราง 3" sheetId="88" r:id="rId3"/>
    <sheet name="ตาราง 4" sheetId="89" r:id="rId4"/>
    <sheet name="ตาราง 5" sheetId="90" r:id="rId5"/>
    <sheet name="ตาราง 6" sheetId="91" r:id="rId6"/>
    <sheet name="ตารางที่1ไตรมาส 1234พ.ศ.2562" sheetId="65" r:id="rId7"/>
    <sheet name="ตารางที่2ไตรมาส 1234 พ.ศ.2562" sheetId="66" r:id="rId8"/>
    <sheet name="ตารางที่3ไตรมาส 1234พ.ศ. 2562" sheetId="67" r:id="rId9"/>
    <sheet name="ตารางที่4ไตรมาส 1234 พ.ศ. 2562" sheetId="68" r:id="rId10"/>
    <sheet name="ตารางที่5ไตรมาส1234 พ.ศ.2562" sheetId="69" r:id="rId11"/>
    <sheet name="ตารางที่6ไตรมาส 1234 พ.ศ. 2562" sheetId="70" r:id="rId12"/>
    <sheet name="ตารางที่7ไตรมาส 1234 พ.ศ. 2562 " sheetId="71" r:id="rId13"/>
    <sheet name="มกราคม" sheetId="73" r:id="rId14"/>
    <sheet name="กุมภาพันธ์ " sheetId="75" r:id="rId15"/>
    <sheet name="มีนาคม" sheetId="76" r:id="rId16"/>
    <sheet name="เมษายน" sheetId="77" r:id="rId17"/>
    <sheet name="พฤษภาคม" sheetId="78" r:id="rId18"/>
    <sheet name="มิถุนายน" sheetId="79" r:id="rId19"/>
    <sheet name="กรกฎาคม" sheetId="80" r:id="rId20"/>
    <sheet name="สิงหาคม" sheetId="81" r:id="rId21"/>
    <sheet name="กันยายน" sheetId="82" r:id="rId22"/>
    <sheet name="ตุลาคม" sheetId="83" r:id="rId23"/>
    <sheet name="พฤศจิกายน" sheetId="84" r:id="rId24"/>
    <sheet name="ธันวาคม" sheetId="85" r:id="rId25"/>
    <sheet name="1 กุมภาพันธ์ 2561" sheetId="93" r:id="rId26"/>
    <sheet name=" 1 พฤษภาคม 2561  " sheetId="94" r:id="rId27"/>
    <sheet name="1 สิงหาคม 2561" sheetId="95" r:id="rId28"/>
    <sheet name="1 พฤศจิกายน 2561" sheetId="96" r:id="rId29"/>
    <sheet name="Sheet1" sheetId="97" r:id="rId30"/>
  </sheets>
  <definedNames>
    <definedName name="HTML_CodePage" hidden="1">874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7">'ตารางที่2ไตรมาส 1234 พ.ศ.2562'!#REF!</definedName>
    <definedName name="_xlnm.Print_Titles" localSheetId="26">' 1 พฤษภาคม 2561  '!$1:$4</definedName>
    <definedName name="_xlnm.Print_Titles" localSheetId="25">'1 กุมภาพันธ์ 2561'!$1:$4</definedName>
    <definedName name="_xlnm.Print_Titles" localSheetId="28">'1 พฤศจิกายน 2561'!$1:$4</definedName>
    <definedName name="_xlnm.Print_Titles" localSheetId="27">'1 สิงหาคม 2561'!$1:$4</definedName>
    <definedName name="SAPBEXdnldView" hidden="1">"3ZY5706QR6UW8T5CLKDTEF6F5"</definedName>
    <definedName name="SAPBEXsysID" hidden="1">"BWP"</definedName>
  </definedNames>
  <calcPr calcId="162913"/>
</workbook>
</file>

<file path=xl/calcChain.xml><?xml version="1.0" encoding="utf-8"?>
<calcChain xmlns="http://schemas.openxmlformats.org/spreadsheetml/2006/main">
  <c r="AL19" i="91" l="1"/>
  <c r="AM19" i="91"/>
  <c r="AN19" i="91"/>
  <c r="AO19" i="91"/>
  <c r="AL20" i="91"/>
  <c r="AM20" i="91"/>
  <c r="AN20" i="91"/>
  <c r="AO20" i="91"/>
  <c r="AL21" i="91"/>
  <c r="AM21" i="91"/>
  <c r="AN21" i="91"/>
  <c r="AO21" i="91"/>
  <c r="AL22" i="91"/>
  <c r="AM22" i="91"/>
  <c r="AN22" i="91"/>
  <c r="AO22" i="91"/>
  <c r="AL23" i="91"/>
  <c r="AM23" i="91"/>
  <c r="AN23" i="91"/>
  <c r="AO23" i="91"/>
  <c r="AL24" i="91"/>
  <c r="AM24" i="91"/>
  <c r="AN24" i="91"/>
  <c r="AO24" i="91"/>
  <c r="AL25" i="91"/>
  <c r="AM25" i="91"/>
  <c r="AN25" i="91"/>
  <c r="AO25" i="91"/>
  <c r="AL26" i="91"/>
  <c r="AM26" i="91"/>
  <c r="AN26" i="91"/>
  <c r="AO26" i="91"/>
  <c r="AL17" i="90"/>
  <c r="AM17" i="90"/>
  <c r="AN17" i="90"/>
  <c r="AO17" i="90"/>
  <c r="AL18" i="90"/>
  <c r="AM18" i="90"/>
  <c r="AN18" i="90"/>
  <c r="AO18" i="90"/>
  <c r="AL19" i="90"/>
  <c r="AM19" i="90"/>
  <c r="AN19" i="90"/>
  <c r="AO19" i="90"/>
  <c r="AL20" i="90"/>
  <c r="AM20" i="90"/>
  <c r="AN20" i="90"/>
  <c r="AO20" i="90"/>
  <c r="AL21" i="90"/>
  <c r="AM21" i="90"/>
  <c r="AN21" i="90"/>
  <c r="AO21" i="90"/>
  <c r="AL22" i="90"/>
  <c r="AM22" i="90"/>
  <c r="AN22" i="90"/>
  <c r="AO22" i="90"/>
  <c r="AK22" i="90"/>
  <c r="AK21" i="90"/>
  <c r="AK20" i="90"/>
  <c r="AK19" i="90"/>
  <c r="AK18" i="90"/>
  <c r="AK17" i="90"/>
  <c r="AL35" i="89"/>
  <c r="AM35" i="89"/>
  <c r="AN35" i="89"/>
  <c r="AO35" i="89"/>
  <c r="AL36" i="89"/>
  <c r="AM36" i="89"/>
  <c r="AN36" i="89"/>
  <c r="AO36" i="89"/>
  <c r="AL37" i="89"/>
  <c r="AM37" i="89"/>
  <c r="AN37" i="89"/>
  <c r="AO37" i="89"/>
  <c r="AL38" i="89"/>
  <c r="AM38" i="89"/>
  <c r="AN38" i="89"/>
  <c r="AO38" i="89"/>
  <c r="AL39" i="89"/>
  <c r="AM39" i="89"/>
  <c r="AN39" i="89"/>
  <c r="AO39" i="89"/>
  <c r="AL40" i="89"/>
  <c r="AM40" i="89"/>
  <c r="AN40" i="89"/>
  <c r="AO40" i="89"/>
  <c r="AL42" i="89"/>
  <c r="AM42" i="89"/>
  <c r="AN42" i="89"/>
  <c r="AO42" i="89"/>
  <c r="AL43" i="89"/>
  <c r="AM43" i="89"/>
  <c r="AN43" i="89"/>
  <c r="AO43" i="89"/>
  <c r="AL44" i="89"/>
  <c r="AM44" i="89"/>
  <c r="AN44" i="89"/>
  <c r="AO44" i="89"/>
  <c r="AL45" i="89"/>
  <c r="AM45" i="89"/>
  <c r="AN45" i="89"/>
  <c r="AO45" i="89"/>
  <c r="AL46" i="89"/>
  <c r="AM46" i="89"/>
  <c r="AN46" i="89"/>
  <c r="AO46" i="89"/>
  <c r="AL47" i="89"/>
  <c r="AM47" i="89"/>
  <c r="AN47" i="89"/>
  <c r="AO47" i="89"/>
  <c r="AL48" i="89"/>
  <c r="AM48" i="89"/>
  <c r="AN48" i="89"/>
  <c r="AO48" i="89"/>
  <c r="AL49" i="89"/>
  <c r="AM49" i="89"/>
  <c r="AN49" i="89"/>
  <c r="AO49" i="89"/>
  <c r="AL51" i="89"/>
  <c r="AM51" i="89"/>
  <c r="AN51" i="89"/>
  <c r="AO51" i="89"/>
  <c r="AL52" i="89"/>
  <c r="AM52" i="89"/>
  <c r="AN52" i="89"/>
  <c r="AO52" i="89"/>
  <c r="AL53" i="89"/>
  <c r="AM53" i="89"/>
  <c r="AN53" i="89"/>
  <c r="AO53" i="89"/>
  <c r="AL54" i="89"/>
  <c r="AM54" i="89"/>
  <c r="AN54" i="89"/>
  <c r="AO54" i="89"/>
  <c r="AL55" i="89"/>
  <c r="AM55" i="89"/>
  <c r="AN55" i="89"/>
  <c r="AO55" i="89"/>
  <c r="AL56" i="89"/>
  <c r="AM56" i="89"/>
  <c r="AN56" i="89"/>
  <c r="AO56" i="89"/>
  <c r="AL57" i="89"/>
  <c r="AM57" i="89"/>
  <c r="AN57" i="89"/>
  <c r="AO57" i="89"/>
  <c r="AL58" i="89"/>
  <c r="AM58" i="89"/>
  <c r="AN58" i="89"/>
  <c r="AO58" i="89"/>
  <c r="AL25" i="88"/>
  <c r="AM25" i="88"/>
  <c r="AN25" i="88"/>
  <c r="AO25" i="88"/>
  <c r="AL28" i="88"/>
  <c r="AM28" i="88"/>
  <c r="AN28" i="88"/>
  <c r="AO28" i="88"/>
  <c r="AL29" i="88"/>
  <c r="AM29" i="88"/>
  <c r="AN29" i="88"/>
  <c r="AO29" i="88"/>
  <c r="AL31" i="88"/>
  <c r="AM31" i="88"/>
  <c r="AN31" i="88"/>
  <c r="AO31" i="88"/>
  <c r="AL32" i="88"/>
  <c r="AM32" i="88"/>
  <c r="AN32" i="88"/>
  <c r="AO32" i="88"/>
  <c r="AL33" i="88"/>
  <c r="AM33" i="88"/>
  <c r="AN33" i="88"/>
  <c r="AO33" i="88"/>
  <c r="AL35" i="88"/>
  <c r="AM35" i="88"/>
  <c r="AN35" i="88"/>
  <c r="AO35" i="88"/>
  <c r="AL37" i="88"/>
  <c r="AM37" i="88"/>
  <c r="AN37" i="88"/>
  <c r="AO37" i="88"/>
  <c r="AL39" i="88"/>
  <c r="AM39" i="88"/>
  <c r="AN39" i="88"/>
  <c r="AO39" i="88"/>
  <c r="AL41" i="88"/>
  <c r="AM41" i="88"/>
  <c r="AN41" i="88"/>
  <c r="AO41" i="88"/>
  <c r="AK28" i="88"/>
  <c r="AO15" i="90" l="1"/>
  <c r="AM15" i="90"/>
  <c r="AN15" i="90"/>
  <c r="AL15" i="90"/>
  <c r="AN33" i="89"/>
  <c r="AL33" i="89"/>
  <c r="AO33" i="89"/>
  <c r="AM33" i="89"/>
  <c r="AO39" i="86"/>
  <c r="AN39" i="86"/>
  <c r="AM39" i="86"/>
  <c r="AL39" i="86"/>
  <c r="AO37" i="86"/>
  <c r="AN37" i="86"/>
  <c r="AM37" i="86"/>
  <c r="AL37" i="86"/>
  <c r="AO36" i="86"/>
  <c r="AN36" i="86"/>
  <c r="AM36" i="86"/>
  <c r="AL36" i="86"/>
  <c r="AO35" i="86"/>
  <c r="AN35" i="86"/>
  <c r="AM35" i="86"/>
  <c r="AL35" i="86"/>
  <c r="AO34" i="86"/>
  <c r="AN34" i="86"/>
  <c r="AM34" i="86"/>
  <c r="AL34" i="86"/>
  <c r="AO32" i="86"/>
  <c r="AN32" i="86"/>
  <c r="AM32" i="86"/>
  <c r="AL32" i="86"/>
  <c r="AO31" i="86"/>
  <c r="AN31" i="86"/>
  <c r="AM31" i="86"/>
  <c r="AL31" i="86"/>
  <c r="AO30" i="86"/>
  <c r="AN30" i="86"/>
  <c r="AM30" i="86"/>
  <c r="AL30" i="86"/>
  <c r="AO29" i="86"/>
  <c r="AN29" i="86"/>
  <c r="AM29" i="86"/>
  <c r="AL29" i="86"/>
  <c r="AO28" i="86"/>
  <c r="AN28" i="86"/>
  <c r="AM28" i="86"/>
  <c r="AL28" i="86"/>
  <c r="AO27" i="86"/>
  <c r="AN27" i="86"/>
  <c r="AM27" i="86"/>
  <c r="AL27" i="86"/>
  <c r="AO26" i="86"/>
  <c r="AN26" i="86"/>
  <c r="AM26" i="86"/>
  <c r="AL26" i="86"/>
  <c r="AK29" i="86"/>
  <c r="AJ39" i="86"/>
  <c r="AK39" i="86"/>
  <c r="C34" i="86" l="1"/>
  <c r="AL19" i="92" l="1"/>
  <c r="AM19" i="92"/>
  <c r="AN19" i="92"/>
  <c r="AO19" i="92"/>
  <c r="AL20" i="92"/>
  <c r="AM20" i="92"/>
  <c r="AN20" i="92"/>
  <c r="AO20" i="92"/>
  <c r="AL21" i="92"/>
  <c r="AM21" i="92"/>
  <c r="AN21" i="92"/>
  <c r="AO21" i="92"/>
  <c r="AL22" i="92"/>
  <c r="AM22" i="92"/>
  <c r="AN22" i="92"/>
  <c r="AO22" i="92"/>
  <c r="AL23" i="92"/>
  <c r="AM23" i="92"/>
  <c r="AN23" i="92"/>
  <c r="AO23" i="92"/>
  <c r="AL24" i="92"/>
  <c r="AM24" i="92"/>
  <c r="AN24" i="92"/>
  <c r="AO24" i="92"/>
  <c r="AL25" i="92"/>
  <c r="AM25" i="92"/>
  <c r="AN25" i="92"/>
  <c r="AO25" i="92"/>
  <c r="AL26" i="92"/>
  <c r="AM26" i="92"/>
  <c r="AN26" i="92"/>
  <c r="AO26" i="92"/>
  <c r="AL27" i="92"/>
  <c r="AM27" i="92"/>
  <c r="AN27" i="92"/>
  <c r="AO27" i="92"/>
  <c r="AL28" i="92"/>
  <c r="AM28" i="92"/>
  <c r="AN28" i="92"/>
  <c r="AO28" i="92"/>
  <c r="AL29" i="92"/>
  <c r="AM29" i="92"/>
  <c r="AN29" i="92"/>
  <c r="AO29" i="92"/>
  <c r="AL30" i="92"/>
  <c r="AM30" i="92"/>
  <c r="AN30" i="92"/>
  <c r="AO30" i="92"/>
  <c r="AL17" i="92"/>
  <c r="AM17" i="92"/>
  <c r="AN17" i="92"/>
  <c r="AO17" i="92"/>
  <c r="AH19" i="92"/>
  <c r="AI19" i="92"/>
  <c r="AJ19" i="92"/>
  <c r="AK19" i="92"/>
  <c r="AH20" i="92"/>
  <c r="AI20" i="92"/>
  <c r="AJ20" i="92"/>
  <c r="AK20" i="92"/>
  <c r="AH21" i="92"/>
  <c r="AI21" i="92"/>
  <c r="AJ21" i="92"/>
  <c r="AK21" i="92"/>
  <c r="AH22" i="92"/>
  <c r="AI22" i="92"/>
  <c r="AJ22" i="92"/>
  <c r="AK22" i="92"/>
  <c r="AH23" i="92"/>
  <c r="AI23" i="92"/>
  <c r="AJ23" i="92"/>
  <c r="AK23" i="92"/>
  <c r="AH24" i="92"/>
  <c r="AI24" i="92"/>
  <c r="AJ24" i="92"/>
  <c r="AK24" i="92"/>
  <c r="AH25" i="92"/>
  <c r="AI25" i="92"/>
  <c r="AJ25" i="92"/>
  <c r="AK25" i="92"/>
  <c r="AH26" i="92"/>
  <c r="AI26" i="92"/>
  <c r="AJ26" i="92"/>
  <c r="AK26" i="92"/>
  <c r="AH27" i="92"/>
  <c r="AI27" i="92"/>
  <c r="AJ27" i="92"/>
  <c r="AK27" i="92"/>
  <c r="AH28" i="92"/>
  <c r="AI28" i="92"/>
  <c r="AJ28" i="92"/>
  <c r="AK28" i="92"/>
  <c r="AH29" i="92"/>
  <c r="AI29" i="92"/>
  <c r="AJ29" i="92"/>
  <c r="AK29" i="92"/>
  <c r="AH17" i="92"/>
  <c r="AH30" i="92" s="1"/>
  <c r="AI17" i="92"/>
  <c r="AI30" i="92" s="1"/>
  <c r="AJ17" i="92"/>
  <c r="AJ30" i="92" s="1"/>
  <c r="AK17" i="92"/>
  <c r="AK30" i="92" s="1"/>
  <c r="AG17" i="92"/>
  <c r="AG30" i="92" s="1"/>
  <c r="N6" i="92"/>
  <c r="N17" i="92" s="1"/>
  <c r="N30" i="92" s="1"/>
  <c r="V9" i="92"/>
  <c r="W9" i="92"/>
  <c r="X9" i="92"/>
  <c r="X22" i="92" s="1"/>
  <c r="Y9" i="92"/>
  <c r="Z9" i="92"/>
  <c r="AA9" i="92"/>
  <c r="AA22" i="92" s="1"/>
  <c r="AB9" i="92"/>
  <c r="AB22" i="92" s="1"/>
  <c r="AC9" i="92"/>
  <c r="AC22" i="92" s="1"/>
  <c r="O17" i="92"/>
  <c r="P17" i="92"/>
  <c r="Q17" i="92"/>
  <c r="R17" i="92"/>
  <c r="S17" i="92"/>
  <c r="S30" i="92" s="1"/>
  <c r="T17" i="92"/>
  <c r="U17" i="92"/>
  <c r="V17" i="92"/>
  <c r="W17" i="92"/>
  <c r="X17" i="92"/>
  <c r="Y17" i="92"/>
  <c r="Z17" i="92"/>
  <c r="AA17" i="92"/>
  <c r="AA30" i="92" s="1"/>
  <c r="AB17" i="92"/>
  <c r="AC17" i="92"/>
  <c r="AC30" i="92" s="1"/>
  <c r="AD17" i="92"/>
  <c r="AD30" i="92" s="1"/>
  <c r="AE17" i="92"/>
  <c r="AF17" i="92"/>
  <c r="E19" i="92"/>
  <c r="F19" i="92"/>
  <c r="G19" i="92"/>
  <c r="H19" i="92"/>
  <c r="I19" i="92"/>
  <c r="J19" i="92"/>
  <c r="K19" i="92"/>
  <c r="L19" i="92"/>
  <c r="M19" i="92"/>
  <c r="O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B20" i="92"/>
  <c r="C20" i="92"/>
  <c r="E20" i="92"/>
  <c r="F20" i="92"/>
  <c r="G20" i="92"/>
  <c r="H20" i="92"/>
  <c r="I20" i="92"/>
  <c r="J20" i="92"/>
  <c r="K20" i="92"/>
  <c r="L20" i="92"/>
  <c r="M20" i="92"/>
  <c r="O20" i="92"/>
  <c r="P20" i="92"/>
  <c r="Q20" i="92"/>
  <c r="R20" i="92"/>
  <c r="S20" i="92"/>
  <c r="T20" i="92"/>
  <c r="U20" i="92"/>
  <c r="V20" i="92"/>
  <c r="W20" i="92"/>
  <c r="X20" i="92"/>
  <c r="Y20" i="92"/>
  <c r="Z20" i="92"/>
  <c r="AA20" i="92"/>
  <c r="AB20" i="92"/>
  <c r="AC20" i="92"/>
  <c r="AD20" i="92"/>
  <c r="AE20" i="92"/>
  <c r="AF20" i="92"/>
  <c r="AG20" i="92"/>
  <c r="B21" i="92"/>
  <c r="C21" i="92"/>
  <c r="E21" i="92"/>
  <c r="F21" i="92"/>
  <c r="G21" i="92"/>
  <c r="H21" i="92"/>
  <c r="I21" i="92"/>
  <c r="J21" i="92"/>
  <c r="K21" i="92"/>
  <c r="L21" i="92"/>
  <c r="M21" i="92"/>
  <c r="O21" i="92"/>
  <c r="P21" i="92"/>
  <c r="Q21" i="92"/>
  <c r="R21" i="92"/>
  <c r="S21" i="92"/>
  <c r="T21" i="92"/>
  <c r="U21" i="92"/>
  <c r="V21" i="92"/>
  <c r="W21" i="92"/>
  <c r="X21" i="92"/>
  <c r="Y21" i="92"/>
  <c r="Z21" i="92"/>
  <c r="AA21" i="92"/>
  <c r="AB21" i="92"/>
  <c r="AC21" i="92"/>
  <c r="AD21" i="92"/>
  <c r="AE21" i="92"/>
  <c r="AF21" i="92"/>
  <c r="AG21" i="92"/>
  <c r="B22" i="92"/>
  <c r="C22" i="92"/>
  <c r="E22" i="92"/>
  <c r="F22" i="92"/>
  <c r="G22" i="92"/>
  <c r="H22" i="92"/>
  <c r="I22" i="92"/>
  <c r="J22" i="92"/>
  <c r="K22" i="92"/>
  <c r="L22" i="92"/>
  <c r="M22" i="92"/>
  <c r="O22" i="92"/>
  <c r="P22" i="92"/>
  <c r="Q22" i="92"/>
  <c r="R22" i="92"/>
  <c r="S22" i="92"/>
  <c r="T22" i="92"/>
  <c r="U22" i="92"/>
  <c r="V22" i="92"/>
  <c r="W22" i="92"/>
  <c r="Y22" i="92"/>
  <c r="Z22" i="92"/>
  <c r="AD22" i="92"/>
  <c r="AE22" i="92"/>
  <c r="AF22" i="92"/>
  <c r="AG22" i="92"/>
  <c r="B23" i="92"/>
  <c r="C23" i="92"/>
  <c r="E23" i="92"/>
  <c r="F23" i="92"/>
  <c r="G23" i="92"/>
  <c r="H23" i="92"/>
  <c r="I23" i="92"/>
  <c r="J23" i="92"/>
  <c r="K23" i="92"/>
  <c r="L23" i="92"/>
  <c r="M23" i="92"/>
  <c r="O23" i="92"/>
  <c r="P23" i="92"/>
  <c r="Q23" i="92"/>
  <c r="R23" i="92"/>
  <c r="S23" i="92"/>
  <c r="T23" i="92"/>
  <c r="U23" i="92"/>
  <c r="V23" i="92"/>
  <c r="W23" i="92"/>
  <c r="X23" i="92"/>
  <c r="Y23" i="92"/>
  <c r="Z23" i="92"/>
  <c r="AA23" i="92"/>
  <c r="AB23" i="92"/>
  <c r="AC23" i="92"/>
  <c r="AD23" i="92"/>
  <c r="AE23" i="92"/>
  <c r="AF23" i="92"/>
  <c r="AG23" i="92"/>
  <c r="B24" i="92"/>
  <c r="C24" i="92"/>
  <c r="E24" i="92"/>
  <c r="F24" i="92"/>
  <c r="G24" i="92"/>
  <c r="H24" i="92"/>
  <c r="I24" i="92"/>
  <c r="J24" i="92"/>
  <c r="K24" i="92"/>
  <c r="L24" i="92"/>
  <c r="M24" i="92"/>
  <c r="O24" i="92"/>
  <c r="P24" i="92"/>
  <c r="Q24" i="92"/>
  <c r="R24" i="92"/>
  <c r="S24" i="92"/>
  <c r="T24" i="92"/>
  <c r="U24" i="92"/>
  <c r="V24" i="92"/>
  <c r="W24" i="92"/>
  <c r="X24" i="92"/>
  <c r="Y24" i="92"/>
  <c r="Z24" i="92"/>
  <c r="AA24" i="92"/>
  <c r="AB24" i="92"/>
  <c r="AC24" i="92"/>
  <c r="AD24" i="92"/>
  <c r="AE24" i="92"/>
  <c r="AF24" i="92"/>
  <c r="AG24" i="92"/>
  <c r="B25" i="92"/>
  <c r="C25" i="92"/>
  <c r="E25" i="92"/>
  <c r="F25" i="92"/>
  <c r="G25" i="92"/>
  <c r="H25" i="92"/>
  <c r="I25" i="92"/>
  <c r="J25" i="92"/>
  <c r="K25" i="92"/>
  <c r="L25" i="92"/>
  <c r="M25" i="92"/>
  <c r="O25" i="92"/>
  <c r="P25" i="92"/>
  <c r="Q25" i="92"/>
  <c r="R25" i="92"/>
  <c r="S25" i="92"/>
  <c r="T25" i="92"/>
  <c r="U25" i="92"/>
  <c r="V25" i="92"/>
  <c r="W25" i="92"/>
  <c r="X25" i="92"/>
  <c r="Y25" i="92"/>
  <c r="Z25" i="92"/>
  <c r="AA25" i="92"/>
  <c r="AB25" i="92"/>
  <c r="AC25" i="92"/>
  <c r="AD25" i="92"/>
  <c r="AE25" i="92"/>
  <c r="AF25" i="92"/>
  <c r="AG25" i="92"/>
  <c r="B26" i="92"/>
  <c r="C26" i="92"/>
  <c r="E26" i="92"/>
  <c r="F26" i="92"/>
  <c r="G26" i="92"/>
  <c r="H26" i="92"/>
  <c r="I26" i="92"/>
  <c r="J26" i="92"/>
  <c r="K26" i="92"/>
  <c r="L26" i="92"/>
  <c r="M26" i="92"/>
  <c r="O26" i="92"/>
  <c r="P26" i="92"/>
  <c r="Q26" i="92"/>
  <c r="R26" i="92"/>
  <c r="S26" i="92"/>
  <c r="T26" i="92"/>
  <c r="U26" i="92"/>
  <c r="V26" i="92"/>
  <c r="W26" i="92"/>
  <c r="X26" i="92"/>
  <c r="Y26" i="92"/>
  <c r="Z26" i="92"/>
  <c r="AA26" i="92"/>
  <c r="AB26" i="92"/>
  <c r="AC26" i="92"/>
  <c r="AD26" i="92"/>
  <c r="AE26" i="92"/>
  <c r="AF26" i="92"/>
  <c r="AG26" i="92"/>
  <c r="B27" i="92"/>
  <c r="C27" i="92"/>
  <c r="E27" i="92"/>
  <c r="F27" i="92"/>
  <c r="G27" i="92"/>
  <c r="H27" i="92"/>
  <c r="I27" i="92"/>
  <c r="J27" i="92"/>
  <c r="K27" i="92"/>
  <c r="L27" i="92"/>
  <c r="M27" i="92"/>
  <c r="O27" i="92"/>
  <c r="P27" i="92"/>
  <c r="Q27" i="92"/>
  <c r="R27" i="92"/>
  <c r="S27" i="92"/>
  <c r="T27" i="92"/>
  <c r="U27" i="92"/>
  <c r="V27" i="92"/>
  <c r="W27" i="92"/>
  <c r="X27" i="92"/>
  <c r="Y27" i="92"/>
  <c r="Z27" i="92"/>
  <c r="AA27" i="92"/>
  <c r="AB27" i="92"/>
  <c r="AC27" i="92"/>
  <c r="AD27" i="92"/>
  <c r="AE27" i="92"/>
  <c r="AF27" i="92"/>
  <c r="AG27" i="92"/>
  <c r="B28" i="92"/>
  <c r="C28" i="92"/>
  <c r="E28" i="92"/>
  <c r="F28" i="92"/>
  <c r="G28" i="92"/>
  <c r="H28" i="92"/>
  <c r="I28" i="92"/>
  <c r="J28" i="92"/>
  <c r="K28" i="92"/>
  <c r="L28" i="92"/>
  <c r="M28" i="92"/>
  <c r="O28" i="92"/>
  <c r="P28" i="92"/>
  <c r="Q28" i="92"/>
  <c r="R28" i="92"/>
  <c r="S28" i="92"/>
  <c r="T28" i="92"/>
  <c r="U28" i="92"/>
  <c r="V28" i="92"/>
  <c r="W28" i="92"/>
  <c r="X28" i="92"/>
  <c r="Y28" i="92"/>
  <c r="Z28" i="92"/>
  <c r="AA28" i="92"/>
  <c r="AB28" i="92"/>
  <c r="AC28" i="92"/>
  <c r="AD28" i="92"/>
  <c r="AE28" i="92"/>
  <c r="AF28" i="92"/>
  <c r="AG28" i="92"/>
  <c r="B29" i="92"/>
  <c r="C29" i="92"/>
  <c r="E29" i="92"/>
  <c r="F29" i="92"/>
  <c r="G29" i="92"/>
  <c r="H29" i="92"/>
  <c r="I29" i="92"/>
  <c r="J29" i="92"/>
  <c r="K29" i="92"/>
  <c r="L29" i="92"/>
  <c r="M29" i="92"/>
  <c r="O29" i="92"/>
  <c r="P29" i="92"/>
  <c r="Q29" i="92"/>
  <c r="R29" i="92"/>
  <c r="S29" i="92"/>
  <c r="T29" i="92"/>
  <c r="U29" i="92"/>
  <c r="V29" i="92"/>
  <c r="W29" i="92"/>
  <c r="X29" i="92"/>
  <c r="Y29" i="92"/>
  <c r="Z29" i="92"/>
  <c r="AA29" i="92"/>
  <c r="AB29" i="92"/>
  <c r="AC29" i="92"/>
  <c r="AD29" i="92"/>
  <c r="AE29" i="92"/>
  <c r="AF29" i="92"/>
  <c r="AG29" i="92"/>
  <c r="B30" i="92"/>
  <c r="C30" i="92"/>
  <c r="E30" i="92"/>
  <c r="F30" i="92"/>
  <c r="G30" i="92"/>
  <c r="H30" i="92"/>
  <c r="I30" i="92"/>
  <c r="J30" i="92"/>
  <c r="K30" i="92"/>
  <c r="L30" i="92"/>
  <c r="M30" i="92"/>
  <c r="O30" i="92"/>
  <c r="P30" i="92"/>
  <c r="Q30" i="92"/>
  <c r="R30" i="92"/>
  <c r="T30" i="92"/>
  <c r="U30" i="92"/>
  <c r="V30" i="92"/>
  <c r="W30" i="92"/>
  <c r="X30" i="92"/>
  <c r="Y30" i="92"/>
  <c r="Z30" i="92"/>
  <c r="AB30" i="92"/>
  <c r="AE30" i="92"/>
  <c r="AF30" i="92"/>
  <c r="B19" i="91"/>
  <c r="C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S19" i="91"/>
  <c r="T19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B20" i="91"/>
  <c r="E20" i="91"/>
  <c r="H20" i="91"/>
  <c r="I20" i="91"/>
  <c r="J20" i="91"/>
  <c r="K20" i="91"/>
  <c r="L20" i="91"/>
  <c r="M20" i="91"/>
  <c r="N20" i="91"/>
  <c r="O20" i="91"/>
  <c r="P20" i="91"/>
  <c r="Q20" i="91"/>
  <c r="R20" i="91"/>
  <c r="S20" i="91"/>
  <c r="T20" i="91"/>
  <c r="U20" i="91"/>
  <c r="V20" i="91"/>
  <c r="W20" i="91"/>
  <c r="X20" i="91"/>
  <c r="Y20" i="91"/>
  <c r="Z20" i="91"/>
  <c r="AA20" i="91"/>
  <c r="AB20" i="91"/>
  <c r="AC20" i="91"/>
  <c r="AD20" i="91"/>
  <c r="AE20" i="91"/>
  <c r="AF20" i="91"/>
  <c r="AG20" i="91"/>
  <c r="AH20" i="91"/>
  <c r="AI20" i="91"/>
  <c r="AJ20" i="91"/>
  <c r="AK20" i="91"/>
  <c r="B21" i="91"/>
  <c r="C21" i="91"/>
  <c r="E21" i="91"/>
  <c r="F21" i="91"/>
  <c r="G21" i="91"/>
  <c r="H21" i="91"/>
  <c r="I21" i="91"/>
  <c r="J21" i="91"/>
  <c r="K21" i="91"/>
  <c r="L21" i="91"/>
  <c r="M21" i="91"/>
  <c r="N21" i="91"/>
  <c r="O21" i="91"/>
  <c r="P21" i="91"/>
  <c r="Q21" i="91"/>
  <c r="R21" i="91"/>
  <c r="S21" i="91"/>
  <c r="T21" i="91"/>
  <c r="U21" i="91"/>
  <c r="V21" i="91"/>
  <c r="W21" i="91"/>
  <c r="X21" i="91"/>
  <c r="Y21" i="91"/>
  <c r="Z21" i="91"/>
  <c r="AA21" i="91"/>
  <c r="AB21" i="91"/>
  <c r="AC21" i="91"/>
  <c r="AD21" i="91"/>
  <c r="AE21" i="91"/>
  <c r="AF21" i="91"/>
  <c r="AG21" i="91"/>
  <c r="AH21" i="91"/>
  <c r="AI21" i="91"/>
  <c r="AJ21" i="91"/>
  <c r="AK21" i="91"/>
  <c r="B22" i="91"/>
  <c r="C22" i="91"/>
  <c r="E22" i="91"/>
  <c r="F22" i="91"/>
  <c r="G22" i="91"/>
  <c r="H22" i="91"/>
  <c r="I22" i="91"/>
  <c r="J22" i="91"/>
  <c r="K22" i="91"/>
  <c r="L22" i="91"/>
  <c r="M22" i="91"/>
  <c r="N22" i="91"/>
  <c r="O22" i="91"/>
  <c r="P22" i="91"/>
  <c r="Q22" i="91"/>
  <c r="R22" i="91"/>
  <c r="S22" i="91"/>
  <c r="T22" i="91"/>
  <c r="U22" i="91"/>
  <c r="V22" i="91"/>
  <c r="W22" i="91"/>
  <c r="X22" i="91"/>
  <c r="Y22" i="91"/>
  <c r="Z22" i="91"/>
  <c r="AA22" i="91"/>
  <c r="AB22" i="91"/>
  <c r="AC22" i="91"/>
  <c r="AD22" i="91"/>
  <c r="AE22" i="91"/>
  <c r="AF22" i="91"/>
  <c r="AG22" i="91"/>
  <c r="AH22" i="91"/>
  <c r="AI22" i="91"/>
  <c r="AJ22" i="91"/>
  <c r="AK22" i="91"/>
  <c r="B23" i="91"/>
  <c r="C23" i="91"/>
  <c r="E23" i="91"/>
  <c r="F23" i="91"/>
  <c r="G23" i="91"/>
  <c r="H23" i="91"/>
  <c r="I23" i="91"/>
  <c r="J23" i="91"/>
  <c r="K23" i="91"/>
  <c r="L23" i="91"/>
  <c r="M23" i="91"/>
  <c r="N23" i="91"/>
  <c r="O23" i="91"/>
  <c r="P23" i="91"/>
  <c r="Q23" i="91"/>
  <c r="R23" i="91"/>
  <c r="S23" i="91"/>
  <c r="T23" i="91"/>
  <c r="U23" i="91"/>
  <c r="V23" i="91"/>
  <c r="W23" i="91"/>
  <c r="X23" i="91"/>
  <c r="Y23" i="91"/>
  <c r="Z23" i="91"/>
  <c r="AA23" i="91"/>
  <c r="AB23" i="91"/>
  <c r="AC23" i="91"/>
  <c r="AD23" i="91"/>
  <c r="AE23" i="91"/>
  <c r="AF23" i="91"/>
  <c r="AG23" i="91"/>
  <c r="AH23" i="91"/>
  <c r="AI23" i="91"/>
  <c r="AJ23" i="91"/>
  <c r="AK23" i="91"/>
  <c r="B24" i="91"/>
  <c r="C24" i="91"/>
  <c r="E24" i="91"/>
  <c r="F24" i="91"/>
  <c r="G24" i="91"/>
  <c r="H24" i="91"/>
  <c r="I24" i="91"/>
  <c r="J24" i="91"/>
  <c r="K24" i="91"/>
  <c r="L24" i="91"/>
  <c r="M24" i="91"/>
  <c r="N24" i="91"/>
  <c r="O24" i="91"/>
  <c r="P24" i="91"/>
  <c r="Q24" i="91"/>
  <c r="R24" i="91"/>
  <c r="S24" i="91"/>
  <c r="T24" i="91"/>
  <c r="U24" i="91"/>
  <c r="V24" i="91"/>
  <c r="W24" i="91"/>
  <c r="X24" i="91"/>
  <c r="Y24" i="91"/>
  <c r="Z24" i="91"/>
  <c r="AA24" i="91"/>
  <c r="AB24" i="91"/>
  <c r="AC24" i="91"/>
  <c r="AD24" i="91"/>
  <c r="AE24" i="91"/>
  <c r="AF24" i="91"/>
  <c r="AG24" i="91"/>
  <c r="AH24" i="91"/>
  <c r="AI24" i="91"/>
  <c r="AJ24" i="91"/>
  <c r="AK24" i="91"/>
  <c r="B25" i="91"/>
  <c r="C25" i="91"/>
  <c r="E25" i="91"/>
  <c r="F25" i="91"/>
  <c r="G25" i="91"/>
  <c r="H25" i="91"/>
  <c r="I25" i="91"/>
  <c r="J25" i="91"/>
  <c r="K25" i="91"/>
  <c r="L25" i="91"/>
  <c r="M25" i="91"/>
  <c r="N25" i="91"/>
  <c r="O25" i="91"/>
  <c r="P25" i="91"/>
  <c r="Q25" i="91"/>
  <c r="R25" i="91"/>
  <c r="S25" i="91"/>
  <c r="T25" i="91"/>
  <c r="U25" i="91"/>
  <c r="V25" i="91"/>
  <c r="W25" i="91"/>
  <c r="X25" i="91"/>
  <c r="Y25" i="91"/>
  <c r="Z25" i="91"/>
  <c r="AA25" i="91"/>
  <c r="AB25" i="91"/>
  <c r="AC25" i="91"/>
  <c r="AD25" i="91"/>
  <c r="AE25" i="91"/>
  <c r="AF25" i="91"/>
  <c r="AG25" i="91"/>
  <c r="AH25" i="91"/>
  <c r="AI25" i="91"/>
  <c r="AJ25" i="91"/>
  <c r="AK25" i="91"/>
  <c r="B26" i="91"/>
  <c r="C26" i="91"/>
  <c r="E26" i="91"/>
  <c r="F26" i="91"/>
  <c r="G26" i="91"/>
  <c r="H26" i="91"/>
  <c r="I26" i="91"/>
  <c r="J26" i="91"/>
  <c r="K26" i="91"/>
  <c r="L26" i="91"/>
  <c r="M26" i="91"/>
  <c r="N26" i="91"/>
  <c r="O26" i="91"/>
  <c r="P26" i="91"/>
  <c r="Q26" i="91"/>
  <c r="R26" i="91"/>
  <c r="S26" i="91"/>
  <c r="T26" i="91"/>
  <c r="U26" i="91"/>
  <c r="V26" i="91"/>
  <c r="W26" i="91"/>
  <c r="X26" i="91"/>
  <c r="Y26" i="91"/>
  <c r="Z26" i="91"/>
  <c r="AA26" i="91"/>
  <c r="AB26" i="91"/>
  <c r="AC26" i="91"/>
  <c r="AD26" i="91"/>
  <c r="AE26" i="91"/>
  <c r="AF26" i="91"/>
  <c r="AG26" i="91"/>
  <c r="AH26" i="91"/>
  <c r="AI26" i="91"/>
  <c r="AJ26" i="91"/>
  <c r="AK26" i="91"/>
  <c r="U6" i="90"/>
  <c r="U17" i="90" s="1"/>
  <c r="B17" i="90"/>
  <c r="C17" i="90"/>
  <c r="E17" i="90"/>
  <c r="F17" i="90"/>
  <c r="G17" i="90"/>
  <c r="H17" i="90"/>
  <c r="I17" i="90"/>
  <c r="J17" i="90"/>
  <c r="K17" i="90"/>
  <c r="L17" i="90"/>
  <c r="M17" i="90"/>
  <c r="N17" i="90"/>
  <c r="O17" i="90"/>
  <c r="P17" i="90"/>
  <c r="Q17" i="90"/>
  <c r="R17" i="90"/>
  <c r="S17" i="90"/>
  <c r="T17" i="90"/>
  <c r="V17" i="90"/>
  <c r="W17" i="90"/>
  <c r="X17" i="90"/>
  <c r="Y17" i="90"/>
  <c r="Z17" i="90"/>
  <c r="AA17" i="90"/>
  <c r="AB17" i="90"/>
  <c r="AC17" i="90"/>
  <c r="AD17" i="90"/>
  <c r="AE17" i="90"/>
  <c r="AF17" i="90"/>
  <c r="AG17" i="90"/>
  <c r="AH17" i="90"/>
  <c r="AI17" i="90"/>
  <c r="AJ17" i="90"/>
  <c r="AK15" i="90"/>
  <c r="B18" i="90"/>
  <c r="C18" i="90"/>
  <c r="E18" i="90"/>
  <c r="F18" i="90"/>
  <c r="G18" i="90"/>
  <c r="H18" i="90"/>
  <c r="I18" i="90"/>
  <c r="J18" i="90"/>
  <c r="K18" i="90"/>
  <c r="L18" i="90"/>
  <c r="M18" i="90"/>
  <c r="N18" i="90"/>
  <c r="O18" i="90"/>
  <c r="P18" i="90"/>
  <c r="Q18" i="90"/>
  <c r="R18" i="90"/>
  <c r="S18" i="90"/>
  <c r="T18" i="90"/>
  <c r="V18" i="90"/>
  <c r="W18" i="90"/>
  <c r="X18" i="90"/>
  <c r="Y18" i="90"/>
  <c r="Z18" i="90"/>
  <c r="AA18" i="90"/>
  <c r="AB18" i="90"/>
  <c r="AC18" i="90"/>
  <c r="AD18" i="90"/>
  <c r="AE18" i="90"/>
  <c r="AF18" i="90"/>
  <c r="AG18" i="90"/>
  <c r="AH18" i="90"/>
  <c r="AI18" i="90"/>
  <c r="AJ18" i="90"/>
  <c r="B19" i="90"/>
  <c r="C19" i="90"/>
  <c r="E19" i="90"/>
  <c r="F19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AC19" i="90"/>
  <c r="AD19" i="90"/>
  <c r="AE19" i="90"/>
  <c r="AF19" i="90"/>
  <c r="AG19" i="90"/>
  <c r="AH19" i="90"/>
  <c r="AI19" i="90"/>
  <c r="AJ19" i="90"/>
  <c r="B20" i="90"/>
  <c r="C20" i="90"/>
  <c r="E20" i="90"/>
  <c r="F20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V20" i="90"/>
  <c r="W20" i="90"/>
  <c r="X20" i="90"/>
  <c r="Y20" i="90"/>
  <c r="Z20" i="90"/>
  <c r="AA20" i="90"/>
  <c r="AB20" i="90"/>
  <c r="AC20" i="90"/>
  <c r="AD20" i="90"/>
  <c r="AE20" i="90"/>
  <c r="AF20" i="90"/>
  <c r="AG20" i="90"/>
  <c r="AH20" i="90"/>
  <c r="AI20" i="90"/>
  <c r="AJ20" i="90"/>
  <c r="B21" i="90"/>
  <c r="C21" i="90"/>
  <c r="E21" i="90"/>
  <c r="F21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V21" i="90"/>
  <c r="W21" i="90"/>
  <c r="X21" i="90"/>
  <c r="Y21" i="90"/>
  <c r="Z21" i="90"/>
  <c r="AA21" i="90"/>
  <c r="AB21" i="90"/>
  <c r="AC21" i="90"/>
  <c r="AD21" i="90"/>
  <c r="AE21" i="90"/>
  <c r="AF21" i="90"/>
  <c r="AG21" i="90"/>
  <c r="AH21" i="90"/>
  <c r="AI21" i="90"/>
  <c r="AJ21" i="90"/>
  <c r="B22" i="90"/>
  <c r="C22" i="90"/>
  <c r="E22" i="90"/>
  <c r="F22" i="90"/>
  <c r="G22" i="90"/>
  <c r="H22" i="90"/>
  <c r="I22" i="90"/>
  <c r="J22" i="90"/>
  <c r="K22" i="90"/>
  <c r="L22" i="90"/>
  <c r="M22" i="90"/>
  <c r="N22" i="90"/>
  <c r="O22" i="90"/>
  <c r="P22" i="90"/>
  <c r="Q22" i="90"/>
  <c r="R22" i="90"/>
  <c r="S22" i="90"/>
  <c r="T22" i="90"/>
  <c r="V22" i="90"/>
  <c r="W22" i="90"/>
  <c r="X22" i="90"/>
  <c r="Y22" i="90"/>
  <c r="Z22" i="90"/>
  <c r="AA22" i="90"/>
  <c r="AB22" i="90"/>
  <c r="AC22" i="90"/>
  <c r="AD22" i="90"/>
  <c r="AE22" i="90"/>
  <c r="AF22" i="90"/>
  <c r="AG22" i="90"/>
  <c r="AH22" i="90"/>
  <c r="AI22" i="90"/>
  <c r="AJ22" i="90"/>
  <c r="J15" i="89"/>
  <c r="J42" i="89" s="1"/>
  <c r="J27" i="89"/>
  <c r="J54" i="89" s="1"/>
  <c r="F28" i="89"/>
  <c r="B35" i="89"/>
  <c r="C35" i="89"/>
  <c r="E35" i="89"/>
  <c r="F35" i="89"/>
  <c r="G35" i="89"/>
  <c r="H35" i="89"/>
  <c r="I35" i="89"/>
  <c r="J35" i="89"/>
  <c r="K35" i="89"/>
  <c r="L35" i="89"/>
  <c r="M35" i="89"/>
  <c r="N35" i="89"/>
  <c r="O35" i="89"/>
  <c r="P35" i="89"/>
  <c r="Q35" i="89"/>
  <c r="R35" i="89"/>
  <c r="S35" i="89"/>
  <c r="T35" i="89"/>
  <c r="U35" i="89"/>
  <c r="V35" i="89"/>
  <c r="W35" i="89"/>
  <c r="X35" i="89"/>
  <c r="Y35" i="89"/>
  <c r="Z35" i="89"/>
  <c r="AA35" i="89"/>
  <c r="AB35" i="89"/>
  <c r="AC35" i="89"/>
  <c r="AD35" i="89"/>
  <c r="AE35" i="89"/>
  <c r="AF35" i="89"/>
  <c r="AG35" i="89"/>
  <c r="AH35" i="89"/>
  <c r="AI35" i="89"/>
  <c r="AJ35" i="89"/>
  <c r="AK35" i="89"/>
  <c r="B36" i="89"/>
  <c r="C36" i="89"/>
  <c r="E36" i="89"/>
  <c r="F36" i="89"/>
  <c r="G36" i="89"/>
  <c r="H36" i="89"/>
  <c r="I36" i="89"/>
  <c r="J36" i="89"/>
  <c r="K36" i="89"/>
  <c r="L36" i="89"/>
  <c r="M36" i="89"/>
  <c r="N36" i="89"/>
  <c r="O36" i="89"/>
  <c r="P36" i="89"/>
  <c r="Q36" i="89"/>
  <c r="R36" i="89"/>
  <c r="S36" i="89"/>
  <c r="T36" i="89"/>
  <c r="U36" i="89"/>
  <c r="V36" i="89"/>
  <c r="W36" i="89"/>
  <c r="X36" i="89"/>
  <c r="Y36" i="89"/>
  <c r="Z36" i="89"/>
  <c r="AA36" i="89"/>
  <c r="AB36" i="89"/>
  <c r="AC36" i="89"/>
  <c r="AD36" i="89"/>
  <c r="AE36" i="89"/>
  <c r="AF36" i="89"/>
  <c r="AG36" i="89"/>
  <c r="AH36" i="89"/>
  <c r="AI36" i="89"/>
  <c r="AJ36" i="89"/>
  <c r="AK36" i="89"/>
  <c r="B37" i="89"/>
  <c r="C37" i="89"/>
  <c r="E37" i="89"/>
  <c r="F37" i="89"/>
  <c r="G37" i="89"/>
  <c r="H37" i="89"/>
  <c r="I37" i="89"/>
  <c r="J37" i="89"/>
  <c r="K37" i="89"/>
  <c r="L37" i="89"/>
  <c r="M37" i="89"/>
  <c r="N37" i="89"/>
  <c r="O37" i="89"/>
  <c r="P37" i="89"/>
  <c r="Q37" i="89"/>
  <c r="R37" i="89"/>
  <c r="S37" i="89"/>
  <c r="T37" i="89"/>
  <c r="U37" i="89"/>
  <c r="V37" i="89"/>
  <c r="W37" i="89"/>
  <c r="X37" i="89"/>
  <c r="Y37" i="89"/>
  <c r="Z37" i="89"/>
  <c r="AA37" i="89"/>
  <c r="AB37" i="89"/>
  <c r="AC37" i="89"/>
  <c r="AD37" i="89"/>
  <c r="AE37" i="89"/>
  <c r="AF37" i="89"/>
  <c r="AG37" i="89"/>
  <c r="AH37" i="89"/>
  <c r="AI37" i="89"/>
  <c r="AJ37" i="89"/>
  <c r="AK37" i="89"/>
  <c r="B38" i="89"/>
  <c r="C38" i="89"/>
  <c r="E38" i="89"/>
  <c r="F38" i="89"/>
  <c r="G38" i="89"/>
  <c r="H38" i="89"/>
  <c r="I38" i="89"/>
  <c r="J38" i="89"/>
  <c r="K38" i="89"/>
  <c r="L38" i="89"/>
  <c r="M38" i="89"/>
  <c r="N38" i="89"/>
  <c r="O38" i="89"/>
  <c r="P38" i="89"/>
  <c r="Q38" i="89"/>
  <c r="R38" i="89"/>
  <c r="S38" i="89"/>
  <c r="T38" i="89"/>
  <c r="U38" i="89"/>
  <c r="V38" i="89"/>
  <c r="W38" i="89"/>
  <c r="X38" i="89"/>
  <c r="Y38" i="89"/>
  <c r="Z38" i="89"/>
  <c r="AA38" i="89"/>
  <c r="AB38" i="89"/>
  <c r="AC38" i="89"/>
  <c r="AD38" i="89"/>
  <c r="AE38" i="89"/>
  <c r="AF38" i="89"/>
  <c r="AG38" i="89"/>
  <c r="AH38" i="89"/>
  <c r="AI38" i="89"/>
  <c r="AJ38" i="89"/>
  <c r="AK38" i="89"/>
  <c r="B39" i="89"/>
  <c r="C39" i="89"/>
  <c r="E39" i="89"/>
  <c r="F39" i="89"/>
  <c r="G39" i="89"/>
  <c r="H39" i="89"/>
  <c r="I39" i="89"/>
  <c r="J39" i="89"/>
  <c r="K39" i="89"/>
  <c r="L39" i="89"/>
  <c r="M39" i="89"/>
  <c r="N39" i="89"/>
  <c r="O39" i="89"/>
  <c r="P39" i="89"/>
  <c r="Q39" i="89"/>
  <c r="R39" i="89"/>
  <c r="S39" i="89"/>
  <c r="T39" i="89"/>
  <c r="U39" i="89"/>
  <c r="V39" i="89"/>
  <c r="W39" i="89"/>
  <c r="X39" i="89"/>
  <c r="Y39" i="89"/>
  <c r="Z39" i="89"/>
  <c r="AA39" i="89"/>
  <c r="AB39" i="89"/>
  <c r="AC39" i="89"/>
  <c r="AD39" i="89"/>
  <c r="AE39" i="89"/>
  <c r="AF39" i="89"/>
  <c r="AG39" i="89"/>
  <c r="AH39" i="89"/>
  <c r="AI39" i="89"/>
  <c r="AJ39" i="89"/>
  <c r="AK39" i="89"/>
  <c r="B40" i="89"/>
  <c r="C40" i="89"/>
  <c r="E40" i="89"/>
  <c r="F40" i="89"/>
  <c r="G40" i="89"/>
  <c r="H40" i="89"/>
  <c r="I40" i="89"/>
  <c r="J40" i="89"/>
  <c r="K40" i="89"/>
  <c r="L40" i="89"/>
  <c r="M40" i="89"/>
  <c r="N40" i="89"/>
  <c r="O40" i="89"/>
  <c r="P40" i="89"/>
  <c r="Q40" i="89"/>
  <c r="R40" i="89"/>
  <c r="S40" i="89"/>
  <c r="T40" i="89"/>
  <c r="U40" i="89"/>
  <c r="V40" i="89"/>
  <c r="W40" i="89"/>
  <c r="X40" i="89"/>
  <c r="Y40" i="89"/>
  <c r="Z40" i="89"/>
  <c r="AA40" i="89"/>
  <c r="AB40" i="89"/>
  <c r="AC40" i="89"/>
  <c r="AD40" i="89"/>
  <c r="AE40" i="89"/>
  <c r="AF40" i="89"/>
  <c r="AG40" i="89"/>
  <c r="AH40" i="89"/>
  <c r="AI40" i="89"/>
  <c r="AJ40" i="89"/>
  <c r="AK40" i="89"/>
  <c r="B42" i="89"/>
  <c r="C42" i="89"/>
  <c r="E42" i="89"/>
  <c r="F42" i="89"/>
  <c r="G42" i="89"/>
  <c r="H42" i="89"/>
  <c r="I42" i="89"/>
  <c r="K42" i="89"/>
  <c r="L42" i="89"/>
  <c r="M42" i="89"/>
  <c r="N42" i="89"/>
  <c r="O42" i="89"/>
  <c r="P42" i="89"/>
  <c r="Q42" i="89"/>
  <c r="R42" i="89"/>
  <c r="S42" i="89"/>
  <c r="T42" i="89"/>
  <c r="U42" i="89"/>
  <c r="V42" i="89"/>
  <c r="W42" i="89"/>
  <c r="X42" i="89"/>
  <c r="Y42" i="89"/>
  <c r="Z42" i="89"/>
  <c r="AA42" i="89"/>
  <c r="AB42" i="89"/>
  <c r="AC42" i="89"/>
  <c r="AD42" i="89"/>
  <c r="AE42" i="89"/>
  <c r="AF42" i="89"/>
  <c r="AG42" i="89"/>
  <c r="AH42" i="89"/>
  <c r="AI42" i="89"/>
  <c r="AJ42" i="89"/>
  <c r="AK42" i="89"/>
  <c r="B43" i="89"/>
  <c r="C43" i="89"/>
  <c r="E43" i="89"/>
  <c r="F43" i="89"/>
  <c r="G43" i="89"/>
  <c r="H43" i="89"/>
  <c r="I43" i="89"/>
  <c r="J43" i="89"/>
  <c r="K43" i="89"/>
  <c r="L43" i="89"/>
  <c r="M43" i="89"/>
  <c r="N43" i="89"/>
  <c r="O43" i="89"/>
  <c r="P43" i="89"/>
  <c r="Q43" i="89"/>
  <c r="R43" i="89"/>
  <c r="S43" i="89"/>
  <c r="T43" i="89"/>
  <c r="U43" i="89"/>
  <c r="V43" i="89"/>
  <c r="W43" i="89"/>
  <c r="X43" i="89"/>
  <c r="Y43" i="89"/>
  <c r="Z43" i="89"/>
  <c r="AA43" i="89"/>
  <c r="AB43" i="89"/>
  <c r="AC43" i="89"/>
  <c r="AD43" i="89"/>
  <c r="AE43" i="89"/>
  <c r="AF43" i="89"/>
  <c r="AG43" i="89"/>
  <c r="AH43" i="89"/>
  <c r="AI43" i="89"/>
  <c r="AJ43" i="89"/>
  <c r="AK43" i="89"/>
  <c r="B44" i="89"/>
  <c r="C44" i="89"/>
  <c r="E44" i="89"/>
  <c r="F44" i="89"/>
  <c r="G44" i="89"/>
  <c r="H44" i="89"/>
  <c r="I44" i="89"/>
  <c r="J44" i="89"/>
  <c r="K44" i="89"/>
  <c r="L44" i="89"/>
  <c r="M44" i="89"/>
  <c r="N44" i="89"/>
  <c r="O44" i="89"/>
  <c r="P44" i="89"/>
  <c r="Q44" i="89"/>
  <c r="R44" i="89"/>
  <c r="S44" i="89"/>
  <c r="T44" i="89"/>
  <c r="U44" i="89"/>
  <c r="V44" i="89"/>
  <c r="W44" i="89"/>
  <c r="X44" i="89"/>
  <c r="Y44" i="89"/>
  <c r="Z44" i="89"/>
  <c r="AA44" i="89"/>
  <c r="AB44" i="89"/>
  <c r="AC44" i="89"/>
  <c r="AD44" i="89"/>
  <c r="AE44" i="89"/>
  <c r="AF44" i="89"/>
  <c r="AG44" i="89"/>
  <c r="AH44" i="89"/>
  <c r="AI44" i="89"/>
  <c r="AJ44" i="89"/>
  <c r="AK44" i="89"/>
  <c r="B45" i="89"/>
  <c r="C45" i="89"/>
  <c r="F45" i="89"/>
  <c r="G45" i="89"/>
  <c r="H45" i="89"/>
  <c r="I45" i="89"/>
  <c r="J45" i="89"/>
  <c r="K45" i="89"/>
  <c r="L45" i="89"/>
  <c r="M45" i="89"/>
  <c r="N45" i="89"/>
  <c r="O45" i="89"/>
  <c r="P45" i="89"/>
  <c r="Q45" i="89"/>
  <c r="R45" i="89"/>
  <c r="S45" i="89"/>
  <c r="T45" i="89"/>
  <c r="U45" i="89"/>
  <c r="V45" i="89"/>
  <c r="W45" i="89"/>
  <c r="X45" i="89"/>
  <c r="Y45" i="89"/>
  <c r="Z45" i="89"/>
  <c r="AA45" i="89"/>
  <c r="AB45" i="89"/>
  <c r="AC45" i="89"/>
  <c r="AD45" i="89"/>
  <c r="AE45" i="89"/>
  <c r="AF45" i="89"/>
  <c r="AG45" i="89"/>
  <c r="AH45" i="89"/>
  <c r="AI45" i="89"/>
  <c r="AJ45" i="89"/>
  <c r="AK45" i="89"/>
  <c r="B46" i="89"/>
  <c r="C46" i="89"/>
  <c r="E46" i="89"/>
  <c r="F46" i="89"/>
  <c r="G46" i="89"/>
  <c r="H46" i="89"/>
  <c r="I46" i="89"/>
  <c r="J46" i="89"/>
  <c r="K46" i="89"/>
  <c r="L46" i="89"/>
  <c r="M46" i="89"/>
  <c r="N46" i="89"/>
  <c r="O46" i="89"/>
  <c r="P46" i="89"/>
  <c r="Q46" i="89"/>
  <c r="R46" i="89"/>
  <c r="S46" i="89"/>
  <c r="T46" i="89"/>
  <c r="U46" i="89"/>
  <c r="V46" i="89"/>
  <c r="W46" i="89"/>
  <c r="X46" i="89"/>
  <c r="Y46" i="89"/>
  <c r="Z46" i="89"/>
  <c r="AA46" i="89"/>
  <c r="AB46" i="89"/>
  <c r="AC46" i="89"/>
  <c r="AD46" i="89"/>
  <c r="AE46" i="89"/>
  <c r="AF46" i="89"/>
  <c r="AG46" i="89"/>
  <c r="AH46" i="89"/>
  <c r="AI46" i="89"/>
  <c r="AJ46" i="89"/>
  <c r="AK46" i="89"/>
  <c r="B47" i="89"/>
  <c r="C47" i="89"/>
  <c r="E47" i="89"/>
  <c r="F47" i="89"/>
  <c r="G47" i="89"/>
  <c r="H47" i="89"/>
  <c r="I47" i="89"/>
  <c r="J47" i="89"/>
  <c r="K47" i="89"/>
  <c r="L47" i="89"/>
  <c r="M47" i="89"/>
  <c r="N47" i="89"/>
  <c r="O47" i="89"/>
  <c r="P47" i="89"/>
  <c r="Q47" i="89"/>
  <c r="R47" i="89"/>
  <c r="S47" i="89"/>
  <c r="T47" i="89"/>
  <c r="U47" i="89"/>
  <c r="V47" i="89"/>
  <c r="W47" i="89"/>
  <c r="X47" i="89"/>
  <c r="Y47" i="89"/>
  <c r="Z47" i="89"/>
  <c r="AA47" i="89"/>
  <c r="AB47" i="89"/>
  <c r="AC47" i="89"/>
  <c r="AD47" i="89"/>
  <c r="AE47" i="89"/>
  <c r="AF47" i="89"/>
  <c r="AG47" i="89"/>
  <c r="AH47" i="89"/>
  <c r="AI47" i="89"/>
  <c r="AJ47" i="89"/>
  <c r="AK47" i="89"/>
  <c r="B48" i="89"/>
  <c r="C48" i="89"/>
  <c r="F48" i="89"/>
  <c r="G48" i="89"/>
  <c r="H48" i="89"/>
  <c r="I48" i="89"/>
  <c r="J48" i="89"/>
  <c r="K48" i="89"/>
  <c r="L48" i="89"/>
  <c r="M48" i="89"/>
  <c r="N48" i="89"/>
  <c r="O48" i="89"/>
  <c r="P48" i="89"/>
  <c r="Q48" i="89"/>
  <c r="R48" i="89"/>
  <c r="S48" i="89"/>
  <c r="T48" i="89"/>
  <c r="U48" i="89"/>
  <c r="V48" i="89"/>
  <c r="W48" i="89"/>
  <c r="X48" i="89"/>
  <c r="Y48" i="89"/>
  <c r="Z48" i="89"/>
  <c r="AA48" i="89"/>
  <c r="AB48" i="89"/>
  <c r="AC48" i="89"/>
  <c r="AD48" i="89"/>
  <c r="AE48" i="89"/>
  <c r="AF48" i="89"/>
  <c r="AG48" i="89"/>
  <c r="AH48" i="89"/>
  <c r="AI48" i="89"/>
  <c r="AJ48" i="89"/>
  <c r="AK48" i="89"/>
  <c r="B49" i="89"/>
  <c r="C49" i="89"/>
  <c r="F49" i="89"/>
  <c r="G49" i="89"/>
  <c r="H49" i="89"/>
  <c r="I49" i="89"/>
  <c r="J49" i="89"/>
  <c r="K49" i="89"/>
  <c r="L49" i="89"/>
  <c r="M49" i="89"/>
  <c r="N49" i="89"/>
  <c r="O49" i="89"/>
  <c r="P49" i="89"/>
  <c r="Q49" i="89"/>
  <c r="R49" i="89"/>
  <c r="S49" i="89"/>
  <c r="T49" i="89"/>
  <c r="U49" i="89"/>
  <c r="V49" i="89"/>
  <c r="W49" i="89"/>
  <c r="X49" i="89"/>
  <c r="Y49" i="89"/>
  <c r="Z49" i="89"/>
  <c r="AA49" i="89"/>
  <c r="AB49" i="89"/>
  <c r="AC49" i="89"/>
  <c r="AD49" i="89"/>
  <c r="AE49" i="89"/>
  <c r="AF49" i="89"/>
  <c r="AG49" i="89"/>
  <c r="AH49" i="89"/>
  <c r="AI49" i="89"/>
  <c r="AJ49" i="89"/>
  <c r="AK49" i="89"/>
  <c r="B51" i="89"/>
  <c r="C51" i="89"/>
  <c r="E51" i="89"/>
  <c r="F51" i="89"/>
  <c r="G51" i="89"/>
  <c r="H51" i="89"/>
  <c r="I51" i="89"/>
  <c r="J51" i="89"/>
  <c r="K51" i="89"/>
  <c r="L51" i="89"/>
  <c r="M51" i="89"/>
  <c r="N51" i="89"/>
  <c r="O51" i="89"/>
  <c r="P51" i="89"/>
  <c r="Q51" i="89"/>
  <c r="R51" i="89"/>
  <c r="S51" i="89"/>
  <c r="T51" i="89"/>
  <c r="U51" i="89"/>
  <c r="V51" i="89"/>
  <c r="W51" i="89"/>
  <c r="X51" i="89"/>
  <c r="Y51" i="89"/>
  <c r="Z51" i="89"/>
  <c r="AA51" i="89"/>
  <c r="AB51" i="89"/>
  <c r="AC51" i="89"/>
  <c r="AD51" i="89"/>
  <c r="AE51" i="89"/>
  <c r="AF51" i="89"/>
  <c r="AG51" i="89"/>
  <c r="AH51" i="89"/>
  <c r="AI51" i="89"/>
  <c r="AJ51" i="89"/>
  <c r="AK51" i="89"/>
  <c r="B52" i="89"/>
  <c r="C52" i="89"/>
  <c r="E52" i="89"/>
  <c r="F52" i="89"/>
  <c r="G52" i="89"/>
  <c r="H52" i="89"/>
  <c r="I52" i="89"/>
  <c r="J52" i="89"/>
  <c r="K52" i="89"/>
  <c r="L52" i="89"/>
  <c r="M52" i="89"/>
  <c r="N52" i="89"/>
  <c r="O52" i="89"/>
  <c r="P52" i="89"/>
  <c r="Q52" i="89"/>
  <c r="R52" i="89"/>
  <c r="S52" i="89"/>
  <c r="T52" i="89"/>
  <c r="U52" i="89"/>
  <c r="V52" i="89"/>
  <c r="W52" i="89"/>
  <c r="X52" i="89"/>
  <c r="Y52" i="89"/>
  <c r="Z52" i="89"/>
  <c r="AA52" i="89"/>
  <c r="AB52" i="89"/>
  <c r="AC52" i="89"/>
  <c r="AD52" i="89"/>
  <c r="AE52" i="89"/>
  <c r="AF52" i="89"/>
  <c r="AG52" i="89"/>
  <c r="AH52" i="89"/>
  <c r="AI52" i="89"/>
  <c r="AJ52" i="89"/>
  <c r="AK52" i="89"/>
  <c r="B53" i="89"/>
  <c r="C53" i="89"/>
  <c r="E53" i="89"/>
  <c r="F53" i="89"/>
  <c r="G53" i="89"/>
  <c r="H53" i="89"/>
  <c r="I53" i="89"/>
  <c r="J53" i="89"/>
  <c r="K53" i="89"/>
  <c r="L53" i="89"/>
  <c r="M53" i="89"/>
  <c r="N53" i="89"/>
  <c r="O53" i="89"/>
  <c r="P53" i="89"/>
  <c r="Q53" i="89"/>
  <c r="R53" i="89"/>
  <c r="S53" i="89"/>
  <c r="T53" i="89"/>
  <c r="U53" i="89"/>
  <c r="V53" i="89"/>
  <c r="W53" i="89"/>
  <c r="X53" i="89"/>
  <c r="Y53" i="89"/>
  <c r="Z53" i="89"/>
  <c r="AA53" i="89"/>
  <c r="AB53" i="89"/>
  <c r="AC53" i="89"/>
  <c r="AD53" i="89"/>
  <c r="AE53" i="89"/>
  <c r="AF53" i="89"/>
  <c r="AG53" i="89"/>
  <c r="AH53" i="89"/>
  <c r="AI53" i="89"/>
  <c r="AJ53" i="89"/>
  <c r="AK53" i="89"/>
  <c r="B54" i="89"/>
  <c r="C54" i="89"/>
  <c r="E54" i="89"/>
  <c r="F54" i="89"/>
  <c r="G54" i="89"/>
  <c r="H54" i="89"/>
  <c r="I54" i="89"/>
  <c r="K54" i="89"/>
  <c r="L54" i="89"/>
  <c r="M54" i="89"/>
  <c r="N54" i="89"/>
  <c r="O54" i="89"/>
  <c r="P54" i="89"/>
  <c r="Q54" i="89"/>
  <c r="R54" i="89"/>
  <c r="S54" i="89"/>
  <c r="T54" i="89"/>
  <c r="U54" i="89"/>
  <c r="V54" i="89"/>
  <c r="W54" i="89"/>
  <c r="X54" i="89"/>
  <c r="Y54" i="89"/>
  <c r="Z54" i="89"/>
  <c r="AA54" i="89"/>
  <c r="AB54" i="89"/>
  <c r="AC54" i="89"/>
  <c r="AD54" i="89"/>
  <c r="AE54" i="89"/>
  <c r="AF54" i="89"/>
  <c r="AG54" i="89"/>
  <c r="AH54" i="89"/>
  <c r="AI54" i="89"/>
  <c r="AJ54" i="89"/>
  <c r="AK54" i="89"/>
  <c r="B55" i="89"/>
  <c r="C55" i="89"/>
  <c r="E55" i="89"/>
  <c r="F55" i="89"/>
  <c r="G55" i="89"/>
  <c r="H55" i="89"/>
  <c r="I55" i="89"/>
  <c r="J55" i="89"/>
  <c r="K55" i="89"/>
  <c r="L55" i="89"/>
  <c r="M55" i="89"/>
  <c r="N55" i="89"/>
  <c r="O55" i="89"/>
  <c r="P55" i="89"/>
  <c r="Q55" i="89"/>
  <c r="R55" i="89"/>
  <c r="S55" i="89"/>
  <c r="T55" i="89"/>
  <c r="U55" i="89"/>
  <c r="V55" i="89"/>
  <c r="W55" i="89"/>
  <c r="X55" i="89"/>
  <c r="Y55" i="89"/>
  <c r="Z55" i="89"/>
  <c r="AA55" i="89"/>
  <c r="AB55" i="89"/>
  <c r="AC55" i="89"/>
  <c r="AD55" i="89"/>
  <c r="AE55" i="89"/>
  <c r="AF55" i="89"/>
  <c r="AG55" i="89"/>
  <c r="AH55" i="89"/>
  <c r="AI55" i="89"/>
  <c r="AJ55" i="89"/>
  <c r="AK55" i="89"/>
  <c r="B56" i="89"/>
  <c r="C56" i="89"/>
  <c r="E56" i="89"/>
  <c r="F56" i="89"/>
  <c r="G56" i="89"/>
  <c r="H56" i="89"/>
  <c r="I56" i="89"/>
  <c r="J56" i="89"/>
  <c r="K56" i="89"/>
  <c r="L56" i="89"/>
  <c r="M56" i="89"/>
  <c r="N56" i="89"/>
  <c r="O56" i="89"/>
  <c r="P56" i="89"/>
  <c r="Q56" i="89"/>
  <c r="R56" i="89"/>
  <c r="S56" i="89"/>
  <c r="T56" i="89"/>
  <c r="U56" i="89"/>
  <c r="V56" i="89"/>
  <c r="W56" i="89"/>
  <c r="X56" i="89"/>
  <c r="Y56" i="89"/>
  <c r="Z56" i="89"/>
  <c r="AA56" i="89"/>
  <c r="AB56" i="89"/>
  <c r="AC56" i="89"/>
  <c r="AD56" i="89"/>
  <c r="AE56" i="89"/>
  <c r="AF56" i="89"/>
  <c r="AG56" i="89"/>
  <c r="AH56" i="89"/>
  <c r="AI56" i="89"/>
  <c r="AJ56" i="89"/>
  <c r="AK56" i="89"/>
  <c r="B57" i="89"/>
  <c r="C57" i="89"/>
  <c r="D57" i="89"/>
  <c r="E57" i="89"/>
  <c r="F57" i="89"/>
  <c r="G57" i="89"/>
  <c r="H57" i="89"/>
  <c r="I57" i="89"/>
  <c r="J57" i="89"/>
  <c r="L57" i="89"/>
  <c r="M57" i="89"/>
  <c r="N57" i="89"/>
  <c r="O57" i="89"/>
  <c r="P57" i="89"/>
  <c r="Q57" i="89"/>
  <c r="R57" i="89"/>
  <c r="S57" i="89"/>
  <c r="T57" i="89"/>
  <c r="U57" i="89"/>
  <c r="V57" i="89"/>
  <c r="W57" i="89"/>
  <c r="X57" i="89"/>
  <c r="Y57" i="89"/>
  <c r="Z57" i="89"/>
  <c r="AA57" i="89"/>
  <c r="AB57" i="89"/>
  <c r="AC57" i="89"/>
  <c r="AD57" i="89"/>
  <c r="AE57" i="89"/>
  <c r="AF57" i="89"/>
  <c r="AG57" i="89"/>
  <c r="AH57" i="89"/>
  <c r="AI57" i="89"/>
  <c r="AJ57" i="89"/>
  <c r="AK57" i="89"/>
  <c r="B58" i="89"/>
  <c r="C58" i="89"/>
  <c r="D58" i="89"/>
  <c r="E58" i="89"/>
  <c r="F58" i="89"/>
  <c r="G58" i="89"/>
  <c r="H58" i="89"/>
  <c r="I58" i="89"/>
  <c r="J58" i="89"/>
  <c r="L58" i="89"/>
  <c r="M58" i="89"/>
  <c r="N58" i="89"/>
  <c r="O58" i="89"/>
  <c r="P58" i="89"/>
  <c r="Q58" i="89"/>
  <c r="R58" i="89"/>
  <c r="S58" i="89"/>
  <c r="T58" i="89"/>
  <c r="U58" i="89"/>
  <c r="V58" i="89"/>
  <c r="W58" i="89"/>
  <c r="X58" i="89"/>
  <c r="Y58" i="89"/>
  <c r="Z58" i="89"/>
  <c r="AA58" i="89"/>
  <c r="AB58" i="89"/>
  <c r="AC58" i="89"/>
  <c r="AD58" i="89"/>
  <c r="AE58" i="89"/>
  <c r="AF58" i="89"/>
  <c r="AG58" i="89"/>
  <c r="AH58" i="89"/>
  <c r="AI58" i="89"/>
  <c r="AJ58" i="89"/>
  <c r="AK58" i="89"/>
  <c r="I10" i="88"/>
  <c r="I29" i="88" s="1"/>
  <c r="K13" i="88"/>
  <c r="K32" i="88" s="1"/>
  <c r="L20" i="88"/>
  <c r="L39" i="88" s="1"/>
  <c r="K22" i="88"/>
  <c r="G23" i="88"/>
  <c r="B25" i="88"/>
  <c r="C25" i="88"/>
  <c r="E25" i="88"/>
  <c r="F25" i="88"/>
  <c r="G25" i="88"/>
  <c r="H25" i="88"/>
  <c r="I25" i="88"/>
  <c r="J25" i="88"/>
  <c r="K25" i="88"/>
  <c r="L25" i="88"/>
  <c r="M25" i="88"/>
  <c r="N25" i="88"/>
  <c r="O25" i="88"/>
  <c r="P25" i="88"/>
  <c r="Q25" i="88"/>
  <c r="R25" i="88"/>
  <c r="S25" i="88"/>
  <c r="T25" i="88"/>
  <c r="U25" i="88"/>
  <c r="V25" i="88"/>
  <c r="W25" i="88"/>
  <c r="X25" i="88"/>
  <c r="Y25" i="88"/>
  <c r="Z25" i="88"/>
  <c r="AA25" i="88"/>
  <c r="AB25" i="88"/>
  <c r="AC25" i="88"/>
  <c r="AD25" i="88"/>
  <c r="AE25" i="88"/>
  <c r="AF25" i="88"/>
  <c r="AG25" i="88"/>
  <c r="AH25" i="88"/>
  <c r="AI25" i="88"/>
  <c r="AJ25" i="88"/>
  <c r="AK25" i="88"/>
  <c r="B28" i="88"/>
  <c r="C28" i="88"/>
  <c r="E28" i="88"/>
  <c r="F28" i="88"/>
  <c r="G28" i="88"/>
  <c r="H28" i="88"/>
  <c r="I28" i="88"/>
  <c r="J28" i="88"/>
  <c r="K28" i="88"/>
  <c r="L28" i="88"/>
  <c r="M28" i="88"/>
  <c r="N28" i="88"/>
  <c r="O28" i="88"/>
  <c r="P28" i="88"/>
  <c r="Q28" i="88"/>
  <c r="R28" i="88"/>
  <c r="S28" i="88"/>
  <c r="T28" i="88"/>
  <c r="U28" i="88"/>
  <c r="V28" i="88"/>
  <c r="W28" i="88"/>
  <c r="X28" i="88"/>
  <c r="Y28" i="88"/>
  <c r="Z28" i="88"/>
  <c r="AA28" i="88"/>
  <c r="AB28" i="88"/>
  <c r="AC28" i="88"/>
  <c r="AD28" i="88"/>
  <c r="AE28" i="88"/>
  <c r="AF28" i="88"/>
  <c r="AG28" i="88"/>
  <c r="AH28" i="88"/>
  <c r="AI28" i="88"/>
  <c r="AJ28" i="88"/>
  <c r="B29" i="88"/>
  <c r="C29" i="88"/>
  <c r="E29" i="88"/>
  <c r="F29" i="88"/>
  <c r="G29" i="88"/>
  <c r="H29" i="88"/>
  <c r="J29" i="88"/>
  <c r="K29" i="88"/>
  <c r="L29" i="88"/>
  <c r="M29" i="88"/>
  <c r="N29" i="88"/>
  <c r="O29" i="88"/>
  <c r="P29" i="88"/>
  <c r="Q29" i="88"/>
  <c r="R29" i="88"/>
  <c r="S29" i="88"/>
  <c r="T29" i="88"/>
  <c r="U29" i="88"/>
  <c r="V29" i="88"/>
  <c r="W29" i="88"/>
  <c r="X29" i="88"/>
  <c r="Y29" i="88"/>
  <c r="Z29" i="88"/>
  <c r="AA29" i="88"/>
  <c r="AB29" i="88"/>
  <c r="AC29" i="88"/>
  <c r="AD29" i="88"/>
  <c r="AE29" i="88"/>
  <c r="AF29" i="88"/>
  <c r="AG29" i="88"/>
  <c r="AH29" i="88"/>
  <c r="AI29" i="88"/>
  <c r="AJ29" i="88"/>
  <c r="AK29" i="88"/>
  <c r="B31" i="88"/>
  <c r="C31" i="88"/>
  <c r="E31" i="88"/>
  <c r="F31" i="88"/>
  <c r="G31" i="88"/>
  <c r="H31" i="88"/>
  <c r="I31" i="88"/>
  <c r="J31" i="88"/>
  <c r="K31" i="88"/>
  <c r="L31" i="88"/>
  <c r="M31" i="88"/>
  <c r="N31" i="88"/>
  <c r="O31" i="88"/>
  <c r="P31" i="88"/>
  <c r="Q31" i="88"/>
  <c r="R31" i="88"/>
  <c r="S31" i="88"/>
  <c r="T31" i="88"/>
  <c r="U31" i="88"/>
  <c r="V31" i="88"/>
  <c r="W31" i="88"/>
  <c r="X31" i="88"/>
  <c r="Y31" i="88"/>
  <c r="Z31" i="88"/>
  <c r="AA31" i="88"/>
  <c r="AB31" i="88"/>
  <c r="AC31" i="88"/>
  <c r="AD31" i="88"/>
  <c r="AE31" i="88"/>
  <c r="AF31" i="88"/>
  <c r="AG31" i="88"/>
  <c r="AH31" i="88"/>
  <c r="AI31" i="88"/>
  <c r="AJ31" i="88"/>
  <c r="AK31" i="88"/>
  <c r="B32" i="88"/>
  <c r="C32" i="88"/>
  <c r="E32" i="88"/>
  <c r="F32" i="88"/>
  <c r="G32" i="88"/>
  <c r="H32" i="88"/>
  <c r="I32" i="88"/>
  <c r="J32" i="88"/>
  <c r="L32" i="88"/>
  <c r="M32" i="88"/>
  <c r="N32" i="88"/>
  <c r="O32" i="88"/>
  <c r="P32" i="88"/>
  <c r="Q32" i="88"/>
  <c r="R32" i="88"/>
  <c r="S32" i="88"/>
  <c r="T32" i="88"/>
  <c r="U32" i="88"/>
  <c r="V32" i="88"/>
  <c r="W32" i="88"/>
  <c r="X32" i="88"/>
  <c r="Y32" i="88"/>
  <c r="Z32" i="88"/>
  <c r="AA32" i="88"/>
  <c r="AB32" i="88"/>
  <c r="AC32" i="88"/>
  <c r="AD32" i="88"/>
  <c r="AE32" i="88"/>
  <c r="AF32" i="88"/>
  <c r="AG32" i="88"/>
  <c r="AH32" i="88"/>
  <c r="AI32" i="88"/>
  <c r="AJ32" i="88"/>
  <c r="AK32" i="88"/>
  <c r="B33" i="88"/>
  <c r="C33" i="88"/>
  <c r="E33" i="88"/>
  <c r="F33" i="88"/>
  <c r="G33" i="88"/>
  <c r="H33" i="88"/>
  <c r="I33" i="88"/>
  <c r="J33" i="88"/>
  <c r="K33" i="88"/>
  <c r="L33" i="88"/>
  <c r="M33" i="88"/>
  <c r="N33" i="88"/>
  <c r="O33" i="88"/>
  <c r="P33" i="88"/>
  <c r="Q33" i="88"/>
  <c r="R33" i="88"/>
  <c r="S33" i="88"/>
  <c r="T33" i="88"/>
  <c r="U33" i="88"/>
  <c r="V33" i="88"/>
  <c r="W33" i="88"/>
  <c r="X33" i="88"/>
  <c r="Y33" i="88"/>
  <c r="Z33" i="88"/>
  <c r="AA33" i="88"/>
  <c r="AB33" i="88"/>
  <c r="AC33" i="88"/>
  <c r="AD33" i="88"/>
  <c r="AE33" i="88"/>
  <c r="AF33" i="88"/>
  <c r="AG33" i="88"/>
  <c r="AH33" i="88"/>
  <c r="AI33" i="88"/>
  <c r="AJ33" i="88"/>
  <c r="AK33" i="88"/>
  <c r="B35" i="88"/>
  <c r="C35" i="88"/>
  <c r="E35" i="88"/>
  <c r="F35" i="88"/>
  <c r="G35" i="88"/>
  <c r="H35" i="88"/>
  <c r="I35" i="88"/>
  <c r="J35" i="88"/>
  <c r="K35" i="88"/>
  <c r="L35" i="88"/>
  <c r="M35" i="88"/>
  <c r="N35" i="88"/>
  <c r="O35" i="88"/>
  <c r="P35" i="88"/>
  <c r="Q35" i="88"/>
  <c r="R35" i="88"/>
  <c r="S35" i="88"/>
  <c r="T35" i="88"/>
  <c r="U35" i="88"/>
  <c r="V35" i="88"/>
  <c r="W35" i="88"/>
  <c r="X35" i="88"/>
  <c r="Y35" i="88"/>
  <c r="Z35" i="88"/>
  <c r="AA35" i="88"/>
  <c r="AB35" i="88"/>
  <c r="AC35" i="88"/>
  <c r="AD35" i="88"/>
  <c r="AE35" i="88"/>
  <c r="AF35" i="88"/>
  <c r="AG35" i="88"/>
  <c r="AH35" i="88"/>
  <c r="AI35" i="88"/>
  <c r="AJ35" i="88"/>
  <c r="AK35" i="88"/>
  <c r="B37" i="88"/>
  <c r="C37" i="88"/>
  <c r="E37" i="88"/>
  <c r="F37" i="88"/>
  <c r="G37" i="88"/>
  <c r="H37" i="88"/>
  <c r="I37" i="88"/>
  <c r="J37" i="88"/>
  <c r="K37" i="88"/>
  <c r="L37" i="88"/>
  <c r="M37" i="88"/>
  <c r="N37" i="88"/>
  <c r="O37" i="88"/>
  <c r="P37" i="88"/>
  <c r="Q37" i="88"/>
  <c r="R37" i="88"/>
  <c r="S37" i="88"/>
  <c r="T37" i="88"/>
  <c r="U37" i="88"/>
  <c r="V37" i="88"/>
  <c r="W37" i="88"/>
  <c r="X37" i="88"/>
  <c r="Y37" i="88"/>
  <c r="Z37" i="88"/>
  <c r="AA37" i="88"/>
  <c r="AB37" i="88"/>
  <c r="AC37" i="88"/>
  <c r="AD37" i="88"/>
  <c r="AE37" i="88"/>
  <c r="AF37" i="88"/>
  <c r="AG37" i="88"/>
  <c r="AH37" i="88"/>
  <c r="AI37" i="88"/>
  <c r="AJ37" i="88"/>
  <c r="AK37" i="88"/>
  <c r="B39" i="88"/>
  <c r="C39" i="88"/>
  <c r="E39" i="88"/>
  <c r="F39" i="88"/>
  <c r="G39" i="88"/>
  <c r="H39" i="88"/>
  <c r="I39" i="88"/>
  <c r="J39" i="88"/>
  <c r="K39" i="88"/>
  <c r="M39" i="88"/>
  <c r="N39" i="88"/>
  <c r="O39" i="88"/>
  <c r="P39" i="88"/>
  <c r="Q39" i="88"/>
  <c r="R39" i="88"/>
  <c r="S39" i="88"/>
  <c r="T39" i="88"/>
  <c r="U39" i="88"/>
  <c r="V39" i="88"/>
  <c r="W39" i="88"/>
  <c r="X39" i="88"/>
  <c r="Y39" i="88"/>
  <c r="Z39" i="88"/>
  <c r="AA39" i="88"/>
  <c r="AB39" i="88"/>
  <c r="AC39" i="88"/>
  <c r="AD39" i="88"/>
  <c r="AE39" i="88"/>
  <c r="AF39" i="88"/>
  <c r="AG39" i="88"/>
  <c r="AH39" i="88"/>
  <c r="AI39" i="88"/>
  <c r="AJ39" i="88"/>
  <c r="AK39" i="88"/>
  <c r="B41" i="88"/>
  <c r="C41" i="88"/>
  <c r="E41" i="88"/>
  <c r="F41" i="88"/>
  <c r="G41" i="88"/>
  <c r="H41" i="88"/>
  <c r="I41" i="88"/>
  <c r="J41" i="88"/>
  <c r="K41" i="88"/>
  <c r="L41" i="88"/>
  <c r="M41" i="88"/>
  <c r="N41" i="88"/>
  <c r="O41" i="88"/>
  <c r="P41" i="88"/>
  <c r="Q41" i="88"/>
  <c r="R41" i="88"/>
  <c r="S41" i="88"/>
  <c r="T41" i="88"/>
  <c r="U41" i="88"/>
  <c r="V41" i="88"/>
  <c r="W41" i="88"/>
  <c r="X41" i="88"/>
  <c r="Y41" i="88"/>
  <c r="Z41" i="88"/>
  <c r="AA41" i="88"/>
  <c r="AB41" i="88"/>
  <c r="AC41" i="88"/>
  <c r="AD41" i="88"/>
  <c r="AE41" i="88"/>
  <c r="AF41" i="88"/>
  <c r="AG41" i="88"/>
  <c r="AH41" i="88"/>
  <c r="AI41" i="88"/>
  <c r="AJ41" i="88"/>
  <c r="AK41" i="88"/>
  <c r="B42" i="88"/>
  <c r="C42" i="88"/>
  <c r="E42" i="88"/>
  <c r="F42" i="88"/>
  <c r="G42" i="88"/>
  <c r="H42" i="88"/>
  <c r="I42" i="88"/>
  <c r="J42" i="88"/>
  <c r="K42" i="88"/>
  <c r="L42" i="88"/>
  <c r="M42" i="88"/>
  <c r="N42" i="88"/>
  <c r="O42" i="88"/>
  <c r="P42" i="88"/>
  <c r="Q42" i="88"/>
  <c r="R42" i="88"/>
  <c r="S42" i="88"/>
  <c r="T42" i="88"/>
  <c r="U42" i="88"/>
  <c r="V42" i="88"/>
  <c r="W42" i="88"/>
  <c r="X42" i="88"/>
  <c r="Y42" i="88"/>
  <c r="Z42" i="88"/>
  <c r="AA42" i="88"/>
  <c r="AB42" i="88"/>
  <c r="AC42" i="88"/>
  <c r="AD42" i="88"/>
  <c r="AE42" i="88"/>
  <c r="AF42" i="88"/>
  <c r="AG42" i="88"/>
  <c r="AH42" i="88"/>
  <c r="AI42" i="88"/>
  <c r="AJ42" i="88"/>
  <c r="AK42" i="88"/>
  <c r="U20" i="90" l="1"/>
  <c r="AJ15" i="90"/>
  <c r="AB15" i="90"/>
  <c r="T15" i="90"/>
  <c r="L15" i="90"/>
  <c r="C15" i="90"/>
  <c r="N25" i="92"/>
  <c r="N22" i="92"/>
  <c r="N26" i="92"/>
  <c r="U22" i="90"/>
  <c r="U18" i="90"/>
  <c r="N27" i="92"/>
  <c r="N28" i="92"/>
  <c r="N19" i="92"/>
  <c r="U21" i="90"/>
  <c r="U15" i="90" s="1"/>
  <c r="N29" i="92"/>
  <c r="AH15" i="90"/>
  <c r="AF15" i="90"/>
  <c r="AD15" i="90"/>
  <c r="Z15" i="90"/>
  <c r="X15" i="90"/>
  <c r="V15" i="90"/>
  <c r="R15" i="90"/>
  <c r="P15" i="90"/>
  <c r="N15" i="90"/>
  <c r="J15" i="90"/>
  <c r="H15" i="90"/>
  <c r="F15" i="90"/>
  <c r="AI15" i="90"/>
  <c r="AG15" i="90"/>
  <c r="AE15" i="90"/>
  <c r="AC15" i="90"/>
  <c r="AA15" i="90"/>
  <c r="Y15" i="90"/>
  <c r="W15" i="90"/>
  <c r="S15" i="90"/>
  <c r="Q15" i="90"/>
  <c r="O15" i="90"/>
  <c r="M15" i="90"/>
  <c r="K15" i="90"/>
  <c r="I15" i="90"/>
  <c r="G15" i="90"/>
  <c r="E15" i="90"/>
  <c r="B15" i="90"/>
  <c r="U33" i="89"/>
  <c r="M33" i="89"/>
  <c r="E33" i="89"/>
  <c r="AF33" i="89"/>
  <c r="X33" i="89"/>
  <c r="P33" i="89"/>
  <c r="H33" i="89"/>
  <c r="AG33" i="89"/>
  <c r="AE33" i="89"/>
  <c r="AA33" i="89"/>
  <c r="Y33" i="89"/>
  <c r="W33" i="89"/>
  <c r="S33" i="89"/>
  <c r="Q33" i="89"/>
  <c r="O33" i="89"/>
  <c r="K33" i="89"/>
  <c r="I33" i="89"/>
  <c r="G33" i="89"/>
  <c r="B33" i="89"/>
  <c r="AJ33" i="89"/>
  <c r="AB33" i="89"/>
  <c r="T33" i="89"/>
  <c r="L33" i="89"/>
  <c r="C33" i="89"/>
  <c r="AK33" i="89"/>
  <c r="AC33" i="89"/>
  <c r="AD33" i="89"/>
  <c r="Z33" i="89"/>
  <c r="V33" i="89"/>
  <c r="R33" i="89"/>
  <c r="N33" i="89"/>
  <c r="F33" i="89"/>
  <c r="N20" i="92"/>
  <c r="N21" i="92"/>
  <c r="N23" i="92"/>
  <c r="N24" i="92"/>
  <c r="J33" i="89"/>
  <c r="Q12" i="86"/>
  <c r="Q30" i="86" s="1"/>
  <c r="W12" i="86"/>
  <c r="W30" i="86" s="1"/>
  <c r="X12" i="86"/>
  <c r="Q16" i="86"/>
  <c r="W16" i="86"/>
  <c r="X16" i="86"/>
  <c r="X34" i="86" s="1"/>
  <c r="B26" i="86"/>
  <c r="C26" i="86"/>
  <c r="E26" i="86"/>
  <c r="F26" i="86"/>
  <c r="G26" i="86"/>
  <c r="H26" i="86"/>
  <c r="I26" i="86"/>
  <c r="J26" i="86"/>
  <c r="K26" i="86"/>
  <c r="L26" i="86"/>
  <c r="M26" i="86"/>
  <c r="N26" i="86"/>
  <c r="O26" i="86"/>
  <c r="P26" i="86"/>
  <c r="Q26" i="86"/>
  <c r="R26" i="86"/>
  <c r="S26" i="86"/>
  <c r="T26" i="86"/>
  <c r="U26" i="86"/>
  <c r="V26" i="86"/>
  <c r="W26" i="86"/>
  <c r="X26" i="86"/>
  <c r="Y26" i="86"/>
  <c r="Z26" i="86"/>
  <c r="AA26" i="86"/>
  <c r="AB26" i="86"/>
  <c r="AC26" i="86"/>
  <c r="AD26" i="86"/>
  <c r="AE26" i="86"/>
  <c r="AF26" i="86"/>
  <c r="AG26" i="86"/>
  <c r="AH26" i="86"/>
  <c r="AI26" i="86"/>
  <c r="AJ26" i="86"/>
  <c r="AK26" i="86"/>
  <c r="B27" i="86"/>
  <c r="C27" i="86"/>
  <c r="E27" i="86"/>
  <c r="G27" i="86"/>
  <c r="H27" i="86"/>
  <c r="I27" i="86"/>
  <c r="J27" i="86"/>
  <c r="K27" i="86"/>
  <c r="L27" i="86"/>
  <c r="M27" i="86"/>
  <c r="N27" i="86"/>
  <c r="O27" i="86"/>
  <c r="P27" i="86"/>
  <c r="Q27" i="86"/>
  <c r="R27" i="86"/>
  <c r="S27" i="86"/>
  <c r="T27" i="86"/>
  <c r="U27" i="86"/>
  <c r="V27" i="86"/>
  <c r="W27" i="86"/>
  <c r="X27" i="86"/>
  <c r="Y27" i="86"/>
  <c r="Z27" i="86"/>
  <c r="AA27" i="86"/>
  <c r="AB27" i="86"/>
  <c r="AC27" i="86"/>
  <c r="AD27" i="86"/>
  <c r="AE27" i="86"/>
  <c r="AF27" i="86"/>
  <c r="AG27" i="86"/>
  <c r="AH27" i="86"/>
  <c r="AI27" i="86"/>
  <c r="AJ27" i="86"/>
  <c r="AK27" i="86"/>
  <c r="B28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AB28" i="86"/>
  <c r="AC28" i="86"/>
  <c r="AD28" i="86"/>
  <c r="AE28" i="86"/>
  <c r="AF28" i="86"/>
  <c r="AG28" i="86"/>
  <c r="AH28" i="86"/>
  <c r="AI28" i="86"/>
  <c r="AJ28" i="86"/>
  <c r="AK28" i="86"/>
  <c r="B29" i="86"/>
  <c r="C29" i="86"/>
  <c r="E29" i="86"/>
  <c r="F29" i="86"/>
  <c r="G29" i="86"/>
  <c r="H29" i="86"/>
  <c r="I29" i="86"/>
  <c r="J29" i="86"/>
  <c r="K29" i="86"/>
  <c r="L29" i="86"/>
  <c r="M29" i="86"/>
  <c r="N29" i="86"/>
  <c r="O29" i="86"/>
  <c r="P29" i="86"/>
  <c r="Q29" i="86"/>
  <c r="R29" i="86"/>
  <c r="S29" i="86"/>
  <c r="T29" i="86"/>
  <c r="U29" i="86"/>
  <c r="V29" i="86"/>
  <c r="W29" i="86"/>
  <c r="X29" i="86"/>
  <c r="Y29" i="86"/>
  <c r="Z29" i="86"/>
  <c r="AA29" i="86"/>
  <c r="AB29" i="86"/>
  <c r="AC29" i="86"/>
  <c r="AD29" i="86"/>
  <c r="AE29" i="86"/>
  <c r="AF29" i="86"/>
  <c r="AG29" i="86"/>
  <c r="AH29" i="86"/>
  <c r="AI29" i="86"/>
  <c r="AJ29" i="86"/>
  <c r="B30" i="86"/>
  <c r="C30" i="86"/>
  <c r="E30" i="86"/>
  <c r="F30" i="86"/>
  <c r="G30" i="86"/>
  <c r="H30" i="86"/>
  <c r="I30" i="86"/>
  <c r="J30" i="86"/>
  <c r="K30" i="86"/>
  <c r="L30" i="86"/>
  <c r="M30" i="86"/>
  <c r="N30" i="86"/>
  <c r="O30" i="86"/>
  <c r="P30" i="86"/>
  <c r="R30" i="86"/>
  <c r="S30" i="86"/>
  <c r="T30" i="86"/>
  <c r="U30" i="86"/>
  <c r="V30" i="86"/>
  <c r="X30" i="86"/>
  <c r="Y30" i="86"/>
  <c r="Z30" i="86"/>
  <c r="AA30" i="86"/>
  <c r="AB30" i="86"/>
  <c r="AC30" i="86"/>
  <c r="AD30" i="86"/>
  <c r="AE30" i="86"/>
  <c r="AF30" i="86"/>
  <c r="AG30" i="86"/>
  <c r="AH30" i="86"/>
  <c r="AI30" i="86"/>
  <c r="AJ30" i="86"/>
  <c r="AK30" i="86"/>
  <c r="B31" i="86"/>
  <c r="C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Q31" i="86"/>
  <c r="R31" i="86"/>
  <c r="S31" i="86"/>
  <c r="T31" i="86"/>
  <c r="U31" i="86"/>
  <c r="V31" i="86"/>
  <c r="W31" i="86"/>
  <c r="X31" i="86"/>
  <c r="Y31" i="86"/>
  <c r="Z31" i="86"/>
  <c r="AA31" i="86"/>
  <c r="AB31" i="86"/>
  <c r="AC31" i="86"/>
  <c r="AD31" i="86"/>
  <c r="AE31" i="86"/>
  <c r="AF31" i="86"/>
  <c r="AG31" i="86"/>
  <c r="AH31" i="86"/>
  <c r="AI31" i="86"/>
  <c r="AJ31" i="86"/>
  <c r="AK31" i="86"/>
  <c r="B32" i="86"/>
  <c r="C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Q32" i="86"/>
  <c r="R32" i="86"/>
  <c r="S32" i="86"/>
  <c r="T32" i="86"/>
  <c r="U32" i="86"/>
  <c r="V32" i="86"/>
  <c r="W32" i="86"/>
  <c r="X32" i="86"/>
  <c r="Y32" i="86"/>
  <c r="Z32" i="86"/>
  <c r="AA32" i="86"/>
  <c r="AB32" i="86"/>
  <c r="AC32" i="86"/>
  <c r="AD32" i="86"/>
  <c r="AE32" i="86"/>
  <c r="AF32" i="86"/>
  <c r="AG32" i="86"/>
  <c r="AH32" i="86"/>
  <c r="AI32" i="86"/>
  <c r="AJ32" i="86"/>
  <c r="AK32" i="86"/>
  <c r="E33" i="86"/>
  <c r="F33" i="86"/>
  <c r="G33" i="86"/>
  <c r="H33" i="86"/>
  <c r="I33" i="86"/>
  <c r="J33" i="86"/>
  <c r="K33" i="86"/>
  <c r="L33" i="86"/>
  <c r="M33" i="86"/>
  <c r="N33" i="86"/>
  <c r="O33" i="86"/>
  <c r="P33" i="86"/>
  <c r="Q33" i="86"/>
  <c r="R33" i="86"/>
  <c r="S33" i="86"/>
  <c r="T33" i="86"/>
  <c r="U33" i="86"/>
  <c r="V33" i="86"/>
  <c r="W33" i="86"/>
  <c r="X33" i="86"/>
  <c r="Y33" i="86"/>
  <c r="Z33" i="86"/>
  <c r="AA33" i="86"/>
  <c r="AB33" i="86"/>
  <c r="AC33" i="86"/>
  <c r="AD33" i="86"/>
  <c r="AE33" i="86"/>
  <c r="AF33" i="86"/>
  <c r="AG33" i="86"/>
  <c r="B34" i="86"/>
  <c r="E34" i="86"/>
  <c r="F34" i="86"/>
  <c r="G34" i="86"/>
  <c r="H34" i="86"/>
  <c r="J34" i="86"/>
  <c r="K34" i="86"/>
  <c r="L34" i="86"/>
  <c r="M34" i="86"/>
  <c r="N34" i="86"/>
  <c r="O34" i="86"/>
  <c r="P34" i="86"/>
  <c r="Q34" i="86"/>
  <c r="R34" i="86"/>
  <c r="S34" i="86"/>
  <c r="T34" i="86"/>
  <c r="U34" i="86"/>
  <c r="V34" i="86"/>
  <c r="W34" i="86"/>
  <c r="Y34" i="86"/>
  <c r="Z34" i="86"/>
  <c r="AA34" i="86"/>
  <c r="AB34" i="86"/>
  <c r="AC34" i="86"/>
  <c r="AD34" i="86"/>
  <c r="AE34" i="86"/>
  <c r="AF34" i="86"/>
  <c r="AG34" i="86"/>
  <c r="AH34" i="86"/>
  <c r="AI34" i="86"/>
  <c r="AJ34" i="86"/>
  <c r="AK34" i="86"/>
  <c r="B35" i="86"/>
  <c r="C35" i="86"/>
  <c r="E35" i="86"/>
  <c r="F35" i="86"/>
  <c r="G35" i="86"/>
  <c r="H35" i="86"/>
  <c r="I35" i="86"/>
  <c r="J35" i="86"/>
  <c r="K35" i="86"/>
  <c r="L35" i="86"/>
  <c r="M35" i="86"/>
  <c r="N35" i="86"/>
  <c r="O35" i="86"/>
  <c r="P35" i="86"/>
  <c r="Q35" i="86"/>
  <c r="R35" i="86"/>
  <c r="S35" i="86"/>
  <c r="T35" i="86"/>
  <c r="U35" i="86"/>
  <c r="V35" i="86"/>
  <c r="W35" i="86"/>
  <c r="X35" i="86"/>
  <c r="Y35" i="86"/>
  <c r="Z35" i="86"/>
  <c r="AA35" i="86"/>
  <c r="AB35" i="86"/>
  <c r="AC35" i="86"/>
  <c r="AD35" i="86"/>
  <c r="AE35" i="86"/>
  <c r="AF35" i="86"/>
  <c r="AG35" i="86"/>
  <c r="AH35" i="86"/>
  <c r="AI35" i="86"/>
  <c r="AJ35" i="86"/>
  <c r="AK35" i="86"/>
  <c r="B36" i="86"/>
  <c r="C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AD36" i="86"/>
  <c r="AE36" i="86"/>
  <c r="AF36" i="86"/>
  <c r="AG36" i="86"/>
  <c r="AH36" i="86"/>
  <c r="AI36" i="86"/>
  <c r="AJ36" i="86"/>
  <c r="AK36" i="86"/>
  <c r="B37" i="86"/>
  <c r="C37" i="86"/>
  <c r="E37" i="86"/>
  <c r="F37" i="86"/>
  <c r="G37" i="86"/>
  <c r="H37" i="86"/>
  <c r="I37" i="86"/>
  <c r="J37" i="86"/>
  <c r="K37" i="86"/>
  <c r="L37" i="86"/>
  <c r="M37" i="86"/>
  <c r="N37" i="86"/>
  <c r="O37" i="86"/>
  <c r="P37" i="86"/>
  <c r="Q37" i="86"/>
  <c r="R37" i="86"/>
  <c r="S37" i="86"/>
  <c r="T37" i="86"/>
  <c r="U37" i="86"/>
  <c r="V37" i="86"/>
  <c r="W37" i="86"/>
  <c r="X37" i="86"/>
  <c r="Y37" i="86"/>
  <c r="Z37" i="86"/>
  <c r="AA37" i="86"/>
  <c r="AB37" i="86"/>
  <c r="AC37" i="86"/>
  <c r="AD37" i="86"/>
  <c r="AE37" i="86"/>
  <c r="AF37" i="86"/>
  <c r="AG37" i="86"/>
  <c r="AH37" i="86"/>
  <c r="AI37" i="86"/>
  <c r="AJ37" i="86"/>
  <c r="AK37" i="86"/>
  <c r="B38" i="86"/>
  <c r="E38" i="86"/>
  <c r="F38" i="86"/>
  <c r="G38" i="86"/>
  <c r="H38" i="86"/>
  <c r="I38" i="86"/>
  <c r="J38" i="86"/>
  <c r="K38" i="86"/>
  <c r="L38" i="86"/>
  <c r="M38" i="86"/>
  <c r="N38" i="86"/>
  <c r="O38" i="86"/>
  <c r="P38" i="86"/>
  <c r="Q38" i="86"/>
  <c r="R38" i="86"/>
  <c r="S38" i="86"/>
  <c r="T38" i="86"/>
  <c r="U38" i="86"/>
  <c r="V38" i="86"/>
  <c r="W38" i="86"/>
  <c r="X38" i="86"/>
  <c r="Y38" i="86"/>
  <c r="Z38" i="86"/>
  <c r="AA38" i="86"/>
  <c r="AB38" i="86"/>
  <c r="AC38" i="86"/>
  <c r="AD38" i="86"/>
  <c r="AE38" i="86"/>
  <c r="AF38" i="86"/>
  <c r="AG38" i="86"/>
  <c r="AH38" i="86"/>
  <c r="AI38" i="86"/>
  <c r="B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Y39" i="86"/>
  <c r="Z39" i="86"/>
  <c r="AA39" i="86"/>
  <c r="AB39" i="86"/>
  <c r="AC39" i="86"/>
  <c r="AD39" i="86"/>
  <c r="AE39" i="86"/>
  <c r="AF39" i="86"/>
  <c r="AG39" i="86"/>
  <c r="AH39" i="86"/>
  <c r="AI39" i="86"/>
  <c r="B24" i="86" l="1"/>
  <c r="E24" i="86"/>
  <c r="Q19" i="65"/>
  <c r="C26" i="65"/>
  <c r="D25" i="65"/>
  <c r="D20" i="65"/>
  <c r="V5" i="69"/>
  <c r="X37" i="66"/>
  <c r="S37" i="66"/>
  <c r="R37" i="66"/>
  <c r="Q37" i="66"/>
  <c r="S36" i="66"/>
  <c r="R36" i="66"/>
  <c r="Q36" i="66"/>
  <c r="S35" i="66"/>
  <c r="R35" i="66"/>
  <c r="Q35" i="66"/>
  <c r="S34" i="66"/>
  <c r="R34" i="66"/>
  <c r="Q34" i="66"/>
  <c r="S33" i="66"/>
  <c r="R33" i="66"/>
  <c r="Q33" i="66"/>
  <c r="S31" i="66"/>
  <c r="R31" i="66"/>
  <c r="Q31" i="66"/>
  <c r="S30" i="66"/>
  <c r="R30" i="66"/>
  <c r="Q30" i="66"/>
  <c r="S29" i="66"/>
  <c r="R29" i="66"/>
  <c r="Q29" i="66"/>
  <c r="S27" i="66"/>
  <c r="R27" i="66"/>
  <c r="Q27" i="66"/>
  <c r="S26" i="66"/>
  <c r="R26" i="66"/>
  <c r="Q26" i="66"/>
  <c r="S25" i="66"/>
  <c r="R25" i="66"/>
  <c r="Q25" i="66"/>
  <c r="S24" i="66"/>
  <c r="R24" i="66"/>
  <c r="Q24" i="66"/>
  <c r="S22" i="66"/>
  <c r="R22" i="66"/>
  <c r="Q22" i="66"/>
  <c r="N37" i="66"/>
  <c r="M37" i="66"/>
  <c r="L37" i="66"/>
  <c r="N36" i="66"/>
  <c r="M36" i="66"/>
  <c r="L36" i="66"/>
  <c r="N35" i="66"/>
  <c r="M35" i="66"/>
  <c r="L35" i="66"/>
  <c r="N34" i="66"/>
  <c r="M34" i="66"/>
  <c r="L34" i="66"/>
  <c r="N33" i="66"/>
  <c r="M33" i="66"/>
  <c r="L33" i="66"/>
  <c r="N32" i="66"/>
  <c r="M32" i="66"/>
  <c r="L32" i="66"/>
  <c r="N31" i="66"/>
  <c r="M31" i="66"/>
  <c r="L31" i="66"/>
  <c r="N30" i="66"/>
  <c r="M30" i="66"/>
  <c r="L30" i="66"/>
  <c r="N29" i="66"/>
  <c r="M29" i="66"/>
  <c r="L29" i="66"/>
  <c r="N28" i="66"/>
  <c r="M28" i="66"/>
  <c r="L28" i="66"/>
  <c r="N27" i="66"/>
  <c r="M27" i="66"/>
  <c r="L27" i="66"/>
  <c r="N26" i="66"/>
  <c r="M26" i="66"/>
  <c r="L26" i="66"/>
  <c r="N25" i="66"/>
  <c r="M25" i="66"/>
  <c r="L25" i="66"/>
  <c r="N24" i="66"/>
  <c r="M24" i="66"/>
  <c r="L24" i="66"/>
  <c r="N22" i="66"/>
  <c r="M22" i="66"/>
  <c r="L22" i="66"/>
  <c r="I37" i="66"/>
  <c r="H37" i="66"/>
  <c r="G37" i="66"/>
  <c r="I36" i="66"/>
  <c r="H36" i="66"/>
  <c r="G36" i="66"/>
  <c r="I35" i="66"/>
  <c r="H35" i="66"/>
  <c r="G35" i="66"/>
  <c r="I34" i="66"/>
  <c r="H34" i="66"/>
  <c r="G34" i="66"/>
  <c r="I33" i="66"/>
  <c r="H33" i="66"/>
  <c r="G33" i="66"/>
  <c r="I32" i="66"/>
  <c r="H32" i="66"/>
  <c r="G32" i="66"/>
  <c r="I31" i="66"/>
  <c r="H31" i="66"/>
  <c r="G31" i="66"/>
  <c r="I30" i="66"/>
  <c r="H30" i="66"/>
  <c r="G30" i="66"/>
  <c r="I29" i="66"/>
  <c r="H29" i="66"/>
  <c r="G29" i="66"/>
  <c r="I28" i="66"/>
  <c r="H28" i="66"/>
  <c r="G28" i="66"/>
  <c r="I27" i="66"/>
  <c r="H27" i="66"/>
  <c r="G27" i="66"/>
  <c r="I26" i="66"/>
  <c r="H26" i="66"/>
  <c r="G26" i="66"/>
  <c r="I25" i="66"/>
  <c r="H25" i="66"/>
  <c r="G25" i="66"/>
  <c r="I24" i="66"/>
  <c r="H24" i="66"/>
  <c r="G24" i="66"/>
  <c r="I22" i="66"/>
  <c r="H22" i="66"/>
  <c r="G22" i="66"/>
  <c r="C37" i="66"/>
  <c r="B37" i="66"/>
  <c r="X47" i="68"/>
  <c r="S51" i="68"/>
  <c r="R51" i="68"/>
  <c r="Q51" i="68"/>
  <c r="S50" i="68"/>
  <c r="R50" i="68"/>
  <c r="Q50" i="68"/>
  <c r="S49" i="68"/>
  <c r="R49" i="68"/>
  <c r="Q49" i="68"/>
  <c r="S48" i="68"/>
  <c r="R48" i="68"/>
  <c r="Q48" i="68"/>
  <c r="S47" i="68"/>
  <c r="R47" i="68"/>
  <c r="Q47" i="68"/>
  <c r="S46" i="68"/>
  <c r="R46" i="68"/>
  <c r="Q46" i="68"/>
  <c r="S45" i="68"/>
  <c r="R45" i="68"/>
  <c r="Q45" i="68"/>
  <c r="S44" i="68"/>
  <c r="R44" i="68"/>
  <c r="Q44" i="68"/>
  <c r="S43" i="68"/>
  <c r="R43" i="68"/>
  <c r="Q43" i="68"/>
  <c r="S42" i="68"/>
  <c r="R42" i="68"/>
  <c r="Q42" i="68"/>
  <c r="S41" i="68"/>
  <c r="R41" i="68"/>
  <c r="Q41" i="68"/>
  <c r="S40" i="68"/>
  <c r="R40" i="68"/>
  <c r="Q40" i="68"/>
  <c r="S39" i="68"/>
  <c r="R39" i="68"/>
  <c r="Q39" i="68"/>
  <c r="S38" i="68"/>
  <c r="R38" i="68"/>
  <c r="Q38" i="68"/>
  <c r="S37" i="68"/>
  <c r="R37" i="68"/>
  <c r="Q37" i="68"/>
  <c r="S36" i="68"/>
  <c r="R36" i="68"/>
  <c r="Q36" i="68"/>
  <c r="S35" i="68"/>
  <c r="R35" i="68"/>
  <c r="Q35" i="68"/>
  <c r="S34" i="68"/>
  <c r="R34" i="68"/>
  <c r="Q34" i="68"/>
  <c r="S33" i="68"/>
  <c r="R33" i="68"/>
  <c r="Q33" i="68"/>
  <c r="S32" i="68"/>
  <c r="R32" i="68"/>
  <c r="Q32" i="68"/>
  <c r="S30" i="68"/>
  <c r="R30" i="68"/>
  <c r="Q30" i="68"/>
  <c r="N52" i="68"/>
  <c r="M52" i="68"/>
  <c r="L52" i="68"/>
  <c r="N51" i="68"/>
  <c r="M51" i="68"/>
  <c r="L51" i="68"/>
  <c r="N50" i="68"/>
  <c r="M50" i="68"/>
  <c r="L50" i="68"/>
  <c r="N49" i="68"/>
  <c r="M49" i="68"/>
  <c r="L49" i="68"/>
  <c r="N48" i="68"/>
  <c r="M48" i="68"/>
  <c r="L48" i="68"/>
  <c r="N47" i="68"/>
  <c r="M47" i="68"/>
  <c r="L47" i="68"/>
  <c r="N46" i="68"/>
  <c r="M46" i="68"/>
  <c r="L46" i="68"/>
  <c r="N45" i="68"/>
  <c r="M45" i="68"/>
  <c r="L45" i="68"/>
  <c r="N44" i="68"/>
  <c r="M44" i="68"/>
  <c r="L44" i="68"/>
  <c r="N43" i="68"/>
  <c r="M43" i="68"/>
  <c r="L43" i="68"/>
  <c r="N42" i="68"/>
  <c r="M42" i="68"/>
  <c r="L42" i="68"/>
  <c r="N41" i="68"/>
  <c r="M41" i="68"/>
  <c r="L41" i="68"/>
  <c r="N40" i="68"/>
  <c r="M40" i="68"/>
  <c r="L40" i="68"/>
  <c r="N39" i="68"/>
  <c r="M39" i="68"/>
  <c r="L39" i="68"/>
  <c r="N38" i="68"/>
  <c r="M38" i="68"/>
  <c r="L38" i="68"/>
  <c r="N37" i="68"/>
  <c r="M37" i="68"/>
  <c r="L37" i="68"/>
  <c r="N36" i="68"/>
  <c r="M36" i="68"/>
  <c r="L36" i="68"/>
  <c r="N35" i="68"/>
  <c r="M35" i="68"/>
  <c r="L35" i="68"/>
  <c r="N34" i="68"/>
  <c r="M34" i="68"/>
  <c r="L34" i="68"/>
  <c r="N33" i="68"/>
  <c r="M33" i="68"/>
  <c r="L33" i="68"/>
  <c r="N32" i="68"/>
  <c r="M32" i="68"/>
  <c r="L32" i="68"/>
  <c r="N30" i="68"/>
  <c r="M30" i="68"/>
  <c r="L30" i="68"/>
  <c r="I51" i="68"/>
  <c r="H51" i="68"/>
  <c r="G51" i="68"/>
  <c r="I50" i="68"/>
  <c r="H50" i="68"/>
  <c r="G50" i="68"/>
  <c r="I49" i="68"/>
  <c r="H49" i="68"/>
  <c r="G49" i="68"/>
  <c r="I48" i="68"/>
  <c r="H48" i="68"/>
  <c r="G48" i="68"/>
  <c r="I47" i="68"/>
  <c r="H47" i="68"/>
  <c r="G47" i="68"/>
  <c r="I46" i="68"/>
  <c r="H46" i="68"/>
  <c r="G46" i="68"/>
  <c r="I45" i="68"/>
  <c r="H45" i="68"/>
  <c r="G45" i="68"/>
  <c r="I44" i="68"/>
  <c r="H44" i="68"/>
  <c r="G44" i="68"/>
  <c r="I43" i="68"/>
  <c r="H43" i="68"/>
  <c r="G43" i="68"/>
  <c r="I42" i="68"/>
  <c r="H42" i="68"/>
  <c r="G42" i="68"/>
  <c r="I41" i="68"/>
  <c r="H41" i="68"/>
  <c r="G41" i="68"/>
  <c r="I40" i="68"/>
  <c r="H40" i="68"/>
  <c r="G40" i="68"/>
  <c r="I39" i="68"/>
  <c r="H39" i="68"/>
  <c r="G39" i="68"/>
  <c r="I38" i="68"/>
  <c r="H38" i="68"/>
  <c r="G38" i="68"/>
  <c r="I37" i="68"/>
  <c r="H37" i="68"/>
  <c r="G37" i="68"/>
  <c r="I36" i="68"/>
  <c r="H36" i="68"/>
  <c r="G36" i="68"/>
  <c r="I35" i="68"/>
  <c r="H35" i="68"/>
  <c r="G35" i="68"/>
  <c r="I34" i="68"/>
  <c r="H34" i="68"/>
  <c r="G34" i="68"/>
  <c r="I33" i="68"/>
  <c r="H33" i="68"/>
  <c r="G33" i="68"/>
  <c r="I32" i="68"/>
  <c r="H32" i="68"/>
  <c r="G32" i="68"/>
  <c r="I30" i="68"/>
  <c r="H30" i="68"/>
  <c r="G30" i="68"/>
  <c r="D51" i="68"/>
  <c r="C51" i="68"/>
  <c r="B51" i="68"/>
  <c r="D50" i="68"/>
  <c r="C50" i="68"/>
  <c r="B50" i="68"/>
  <c r="D49" i="68"/>
  <c r="C49" i="68"/>
  <c r="B49" i="68"/>
  <c r="D48" i="68"/>
  <c r="C48" i="68"/>
  <c r="B48" i="68"/>
  <c r="D47" i="68"/>
  <c r="C47" i="68"/>
  <c r="B47" i="68"/>
  <c r="D46" i="68"/>
  <c r="C46" i="68"/>
  <c r="B46" i="68"/>
  <c r="D45" i="68"/>
  <c r="C45" i="68"/>
  <c r="B45" i="68"/>
  <c r="D44" i="68"/>
  <c r="C44" i="68"/>
  <c r="B44" i="68"/>
  <c r="D43" i="68"/>
  <c r="C43" i="68"/>
  <c r="B43" i="68"/>
  <c r="D42" i="68"/>
  <c r="C42" i="68"/>
  <c r="B42" i="68"/>
  <c r="D41" i="68"/>
  <c r="C41" i="68"/>
  <c r="B41" i="68"/>
  <c r="D40" i="68"/>
  <c r="C40" i="68"/>
  <c r="B40" i="68"/>
  <c r="D39" i="68"/>
  <c r="C39" i="68"/>
  <c r="B39" i="68"/>
  <c r="D38" i="68"/>
  <c r="C38" i="68"/>
  <c r="B38" i="68"/>
  <c r="D37" i="68"/>
  <c r="C37" i="68"/>
  <c r="B37" i="68"/>
  <c r="D36" i="68"/>
  <c r="C36" i="68"/>
  <c r="B36" i="68"/>
  <c r="D35" i="68"/>
  <c r="C35" i="68"/>
  <c r="B35" i="68"/>
  <c r="D34" i="68"/>
  <c r="C34" i="68"/>
  <c r="B34" i="68"/>
  <c r="D33" i="68"/>
  <c r="C33" i="68"/>
  <c r="B33" i="68"/>
  <c r="D32" i="68"/>
  <c r="C32" i="68"/>
  <c r="B32" i="68"/>
  <c r="D30" i="68"/>
  <c r="C30" i="68"/>
  <c r="B30" i="68"/>
  <c r="V14" i="69"/>
  <c r="S21" i="69"/>
  <c r="R21" i="69"/>
  <c r="Q21" i="69"/>
  <c r="S20" i="69"/>
  <c r="R20" i="69"/>
  <c r="Q20" i="69"/>
  <c r="S19" i="69"/>
  <c r="R19" i="69"/>
  <c r="Q19" i="69"/>
  <c r="S18" i="69"/>
  <c r="R18" i="69"/>
  <c r="Q18" i="69"/>
  <c r="S17" i="69"/>
  <c r="R17" i="69"/>
  <c r="Q17" i="69"/>
  <c r="S16" i="69"/>
  <c r="R16" i="69"/>
  <c r="Q16" i="69"/>
  <c r="S14" i="69"/>
  <c r="R14" i="69"/>
  <c r="Q14" i="69"/>
  <c r="D21" i="69"/>
  <c r="C21" i="69"/>
  <c r="B21" i="69"/>
  <c r="N21" i="69"/>
  <c r="M21" i="69"/>
  <c r="L21" i="69"/>
  <c r="N19" i="69"/>
  <c r="M19" i="69"/>
  <c r="L19" i="69"/>
  <c r="N17" i="69"/>
  <c r="M17" i="69"/>
  <c r="L17" i="69"/>
  <c r="N20" i="69"/>
  <c r="M20" i="69"/>
  <c r="L20" i="69"/>
  <c r="N18" i="69"/>
  <c r="M18" i="69"/>
  <c r="L18" i="69"/>
  <c r="N16" i="69"/>
  <c r="M16" i="69"/>
  <c r="L16" i="69"/>
  <c r="N14" i="69"/>
  <c r="M14" i="69"/>
  <c r="L14" i="69"/>
  <c r="I14" i="69"/>
  <c r="H14" i="69"/>
  <c r="G14" i="69"/>
  <c r="G17" i="69"/>
  <c r="H17" i="69"/>
  <c r="I17" i="69"/>
  <c r="G18" i="69"/>
  <c r="H18" i="69"/>
  <c r="I18" i="69"/>
  <c r="G19" i="69"/>
  <c r="H19" i="69"/>
  <c r="I19" i="69"/>
  <c r="G20" i="69"/>
  <c r="H20" i="69"/>
  <c r="I20" i="69"/>
  <c r="G21" i="69"/>
  <c r="H21" i="69"/>
  <c r="I21" i="69"/>
  <c r="I16" i="69"/>
  <c r="H16" i="69"/>
  <c r="G16" i="69"/>
  <c r="D14" i="69"/>
  <c r="C14" i="69"/>
  <c r="B14" i="69"/>
  <c r="V8" i="70"/>
  <c r="Q19" i="70"/>
  <c r="R19" i="70"/>
  <c r="S19" i="70"/>
  <c r="Q20" i="70"/>
  <c r="R20" i="70"/>
  <c r="S20" i="70"/>
  <c r="Q21" i="70"/>
  <c r="R21" i="70"/>
  <c r="S21" i="70"/>
  <c r="Q22" i="70"/>
  <c r="R22" i="70"/>
  <c r="S22" i="70"/>
  <c r="Q23" i="70"/>
  <c r="R23" i="70"/>
  <c r="S23" i="70"/>
  <c r="Q24" i="70"/>
  <c r="R24" i="70"/>
  <c r="S24" i="70"/>
  <c r="Q25" i="70"/>
  <c r="R25" i="70"/>
  <c r="S25" i="70"/>
  <c r="S16" i="70"/>
  <c r="R16" i="70"/>
  <c r="Q16" i="70"/>
  <c r="L19" i="70"/>
  <c r="M19" i="70"/>
  <c r="N19" i="70"/>
  <c r="L20" i="70"/>
  <c r="M20" i="70"/>
  <c r="N20" i="70"/>
  <c r="L21" i="70"/>
  <c r="M21" i="70"/>
  <c r="N21" i="70"/>
  <c r="L22" i="70"/>
  <c r="M22" i="70"/>
  <c r="N22" i="70"/>
  <c r="L23" i="70"/>
  <c r="M23" i="70"/>
  <c r="N23" i="70"/>
  <c r="L24" i="70"/>
  <c r="M24" i="70"/>
  <c r="N24" i="70"/>
  <c r="L25" i="70"/>
  <c r="M25" i="70"/>
  <c r="N25" i="70"/>
  <c r="N16" i="70"/>
  <c r="M16" i="70"/>
  <c r="L16" i="70"/>
  <c r="G19" i="70"/>
  <c r="H19" i="70"/>
  <c r="I19" i="70"/>
  <c r="G20" i="70"/>
  <c r="H20" i="70"/>
  <c r="I20" i="70"/>
  <c r="G21" i="70"/>
  <c r="H21" i="70"/>
  <c r="I21" i="70"/>
  <c r="G22" i="70"/>
  <c r="H22" i="70"/>
  <c r="I22" i="70"/>
  <c r="G23" i="70"/>
  <c r="H23" i="70"/>
  <c r="I23" i="70"/>
  <c r="G24" i="70"/>
  <c r="H24" i="70"/>
  <c r="I24" i="70"/>
  <c r="G25" i="70"/>
  <c r="H25" i="70"/>
  <c r="I25" i="70"/>
  <c r="I16" i="70"/>
  <c r="H16" i="70"/>
  <c r="G16" i="70"/>
  <c r="D16" i="70"/>
  <c r="C16" i="70"/>
  <c r="B16" i="70"/>
  <c r="V19" i="70"/>
  <c r="V19" i="71"/>
  <c r="W19" i="71"/>
  <c r="X19" i="71"/>
  <c r="I37" i="71"/>
  <c r="H37" i="71"/>
  <c r="G37" i="71"/>
  <c r="I36" i="71"/>
  <c r="H36" i="71"/>
  <c r="G36" i="71"/>
  <c r="I35" i="71"/>
  <c r="H35" i="71"/>
  <c r="G35" i="71"/>
  <c r="I34" i="71"/>
  <c r="H34" i="71"/>
  <c r="G34" i="71"/>
  <c r="I33" i="71"/>
  <c r="H33" i="71"/>
  <c r="G33" i="71"/>
  <c r="I32" i="71"/>
  <c r="H32" i="71"/>
  <c r="G32" i="71"/>
  <c r="I31" i="71"/>
  <c r="H31" i="71"/>
  <c r="G31" i="71"/>
  <c r="I30" i="71"/>
  <c r="H30" i="71"/>
  <c r="G30" i="71"/>
  <c r="I29" i="71"/>
  <c r="H29" i="71"/>
  <c r="G29" i="71"/>
  <c r="I28" i="71"/>
  <c r="H28" i="71"/>
  <c r="G28" i="71"/>
  <c r="I27" i="71"/>
  <c r="H27" i="71"/>
  <c r="G27" i="71"/>
  <c r="I26" i="71"/>
  <c r="H26" i="71"/>
  <c r="G26" i="71"/>
  <c r="I25" i="71"/>
  <c r="H25" i="71"/>
  <c r="G25" i="71"/>
  <c r="I24" i="71"/>
  <c r="H24" i="71"/>
  <c r="G24" i="71"/>
  <c r="N37" i="71"/>
  <c r="M37" i="71"/>
  <c r="L37" i="71"/>
  <c r="N36" i="71"/>
  <c r="M36" i="71"/>
  <c r="L36" i="71"/>
  <c r="N35" i="71"/>
  <c r="M35" i="71"/>
  <c r="L35" i="71"/>
  <c r="N34" i="71"/>
  <c r="M34" i="71"/>
  <c r="L34" i="71"/>
  <c r="N33" i="71"/>
  <c r="M33" i="71"/>
  <c r="L33" i="71"/>
  <c r="N31" i="71"/>
  <c r="M31" i="71"/>
  <c r="L31" i="71"/>
  <c r="N30" i="71"/>
  <c r="M30" i="71"/>
  <c r="L30" i="71"/>
  <c r="N29" i="71"/>
  <c r="M29" i="71"/>
  <c r="L29" i="71"/>
  <c r="N27" i="71"/>
  <c r="M27" i="71"/>
  <c r="L27" i="71"/>
  <c r="N26" i="71"/>
  <c r="M26" i="71"/>
  <c r="L26" i="71"/>
  <c r="N25" i="71"/>
  <c r="M25" i="71"/>
  <c r="L25" i="71"/>
  <c r="N24" i="71"/>
  <c r="M24" i="71"/>
  <c r="L24" i="71"/>
  <c r="X14" i="71"/>
  <c r="V14" i="71"/>
  <c r="W14" i="71"/>
  <c r="S22" i="71"/>
  <c r="R22" i="71"/>
  <c r="Q22" i="71"/>
  <c r="N22" i="71"/>
  <c r="M22" i="71"/>
  <c r="L22" i="71"/>
  <c r="I22" i="71"/>
  <c r="H22" i="71"/>
  <c r="G22" i="71"/>
  <c r="W38" i="67"/>
  <c r="S24" i="67"/>
  <c r="R24" i="67"/>
  <c r="Q24" i="67"/>
  <c r="S40" i="67"/>
  <c r="R40" i="67"/>
  <c r="Q40" i="67"/>
  <c r="S38" i="67"/>
  <c r="R38" i="67"/>
  <c r="Q38" i="67"/>
  <c r="S36" i="67"/>
  <c r="R36" i="67"/>
  <c r="Q36" i="67"/>
  <c r="S34" i="67"/>
  <c r="R34" i="67"/>
  <c r="Q34" i="67"/>
  <c r="S32" i="67"/>
  <c r="R32" i="67"/>
  <c r="Q32" i="67"/>
  <c r="S31" i="67"/>
  <c r="R31" i="67"/>
  <c r="Q31" i="67"/>
  <c r="S30" i="67"/>
  <c r="R30" i="67"/>
  <c r="Q30" i="67"/>
  <c r="S28" i="67"/>
  <c r="R28" i="67"/>
  <c r="Q28" i="67"/>
  <c r="S27" i="67"/>
  <c r="R27" i="67"/>
  <c r="Q27" i="67"/>
  <c r="N24" i="67"/>
  <c r="M24" i="67"/>
  <c r="L24" i="67"/>
  <c r="N40" i="67"/>
  <c r="M40" i="67"/>
  <c r="L40" i="67"/>
  <c r="N38" i="67"/>
  <c r="M38" i="67"/>
  <c r="L38" i="67"/>
  <c r="N36" i="67"/>
  <c r="M36" i="67"/>
  <c r="L36" i="67"/>
  <c r="N34" i="67"/>
  <c r="M34" i="67"/>
  <c r="L34" i="67"/>
  <c r="N32" i="67"/>
  <c r="M32" i="67"/>
  <c r="L32" i="67"/>
  <c r="N31" i="67"/>
  <c r="M31" i="67"/>
  <c r="L31" i="67"/>
  <c r="N30" i="67"/>
  <c r="M30" i="67"/>
  <c r="L30" i="67"/>
  <c r="N28" i="67"/>
  <c r="M28" i="67"/>
  <c r="L28" i="67"/>
  <c r="N27" i="67"/>
  <c r="M27" i="67"/>
  <c r="I24" i="67"/>
  <c r="H24" i="67"/>
  <c r="G24" i="67"/>
  <c r="L27" i="67"/>
  <c r="I40" i="67"/>
  <c r="H40" i="67"/>
  <c r="G40" i="67"/>
  <c r="I38" i="67"/>
  <c r="H38" i="67"/>
  <c r="G38" i="67"/>
  <c r="I36" i="67"/>
  <c r="H36" i="67"/>
  <c r="G36" i="67"/>
  <c r="I34" i="67"/>
  <c r="H34" i="67"/>
  <c r="G34" i="67"/>
  <c r="G32" i="67"/>
  <c r="H32" i="67"/>
  <c r="I32" i="67"/>
  <c r="I31" i="67"/>
  <c r="H31" i="67"/>
  <c r="G31" i="67"/>
  <c r="I30" i="67"/>
  <c r="H30" i="67"/>
  <c r="G30" i="67"/>
  <c r="G28" i="67"/>
  <c r="H28" i="67"/>
  <c r="I28" i="67"/>
  <c r="I27" i="67"/>
  <c r="H27" i="67"/>
  <c r="G27" i="67"/>
  <c r="D27" i="67"/>
  <c r="C27" i="67"/>
  <c r="B27" i="67"/>
  <c r="L21" i="65"/>
  <c r="G20" i="65"/>
  <c r="H20" i="65"/>
  <c r="I20" i="65"/>
  <c r="G21" i="65"/>
  <c r="H21" i="65"/>
  <c r="I21" i="65"/>
  <c r="G22" i="65"/>
  <c r="H22" i="65"/>
  <c r="I22" i="65"/>
  <c r="G23" i="65"/>
  <c r="H23" i="65"/>
  <c r="I23" i="65"/>
  <c r="G24" i="65"/>
  <c r="H24" i="65"/>
  <c r="I24" i="65"/>
  <c r="G25" i="65"/>
  <c r="H25" i="65"/>
  <c r="I25" i="65"/>
  <c r="G26" i="65"/>
  <c r="H26" i="65"/>
  <c r="I26" i="65"/>
  <c r="G27" i="65"/>
  <c r="H27" i="65"/>
  <c r="I27" i="65"/>
  <c r="W14" i="66"/>
  <c r="V14" i="66"/>
  <c r="X20" i="66"/>
  <c r="W20" i="66"/>
  <c r="V20" i="66"/>
  <c r="V37" i="66" s="1"/>
  <c r="X18" i="66"/>
  <c r="W18" i="66"/>
  <c r="V18" i="66"/>
  <c r="X17" i="66"/>
  <c r="W17" i="66"/>
  <c r="V17" i="66"/>
  <c r="X16" i="66"/>
  <c r="W16" i="66"/>
  <c r="V16" i="66"/>
  <c r="X13" i="66"/>
  <c r="X30" i="66" s="1"/>
  <c r="W13" i="66"/>
  <c r="V13" i="66"/>
  <c r="X12" i="66"/>
  <c r="W12" i="66"/>
  <c r="V12" i="66"/>
  <c r="X10" i="66"/>
  <c r="X27" i="66" s="1"/>
  <c r="W10" i="66"/>
  <c r="V10" i="66"/>
  <c r="X9" i="66"/>
  <c r="W9" i="66"/>
  <c r="W26" i="66" s="1"/>
  <c r="V9" i="66"/>
  <c r="V26" i="66" s="1"/>
  <c r="X8" i="66"/>
  <c r="W8" i="66"/>
  <c r="V8" i="66"/>
  <c r="V25" i="66" s="1"/>
  <c r="X7" i="66"/>
  <c r="W7" i="66"/>
  <c r="V7" i="66"/>
  <c r="X5" i="66"/>
  <c r="X36" i="66" s="1"/>
  <c r="W5" i="66"/>
  <c r="W36" i="66" s="1"/>
  <c r="V5" i="66"/>
  <c r="V36" i="66" s="1"/>
  <c r="S15" i="66"/>
  <c r="X15" i="66" s="1"/>
  <c r="R15" i="66"/>
  <c r="R32" i="66" s="1"/>
  <c r="Q15" i="66"/>
  <c r="Q32" i="66" s="1"/>
  <c r="S11" i="66"/>
  <c r="S28" i="66" s="1"/>
  <c r="R11" i="66"/>
  <c r="R28" i="66" s="1"/>
  <c r="Q11" i="66"/>
  <c r="Q28" i="66" s="1"/>
  <c r="X21" i="67"/>
  <c r="W21" i="67"/>
  <c r="V21" i="67"/>
  <c r="X19" i="67"/>
  <c r="W19" i="67"/>
  <c r="V19" i="67"/>
  <c r="X17" i="67"/>
  <c r="W17" i="67"/>
  <c r="W36" i="67" s="1"/>
  <c r="V17" i="67"/>
  <c r="V36" i="67" s="1"/>
  <c r="X15" i="67"/>
  <c r="W15" i="67"/>
  <c r="V15" i="67"/>
  <c r="V34" i="67" s="1"/>
  <c r="X13" i="67"/>
  <c r="X32" i="67" s="1"/>
  <c r="W13" i="67"/>
  <c r="V13" i="67"/>
  <c r="X12" i="67"/>
  <c r="W12" i="67"/>
  <c r="W31" i="67" s="1"/>
  <c r="V12" i="67"/>
  <c r="X11" i="67"/>
  <c r="W11" i="67"/>
  <c r="W30" i="67" s="1"/>
  <c r="V11" i="67"/>
  <c r="V30" i="67" s="1"/>
  <c r="X9" i="67"/>
  <c r="W9" i="67"/>
  <c r="W28" i="67" s="1"/>
  <c r="V9" i="67"/>
  <c r="V28" i="67" s="1"/>
  <c r="X8" i="67"/>
  <c r="W8" i="67"/>
  <c r="W27" i="67" s="1"/>
  <c r="V8" i="67"/>
  <c r="X5" i="67"/>
  <c r="X24" i="67" s="1"/>
  <c r="W5" i="67"/>
  <c r="W24" i="67" s="1"/>
  <c r="V5" i="67"/>
  <c r="V24" i="67" s="1"/>
  <c r="X26" i="68"/>
  <c r="W26" i="68"/>
  <c r="V26" i="68"/>
  <c r="V51" i="68" s="1"/>
  <c r="X25" i="68"/>
  <c r="W25" i="68"/>
  <c r="W50" i="68" s="1"/>
  <c r="V25" i="68"/>
  <c r="V50" i="68" s="1"/>
  <c r="X24" i="68"/>
  <c r="W24" i="68"/>
  <c r="V24" i="68"/>
  <c r="X23" i="68"/>
  <c r="W23" i="68"/>
  <c r="V23" i="68"/>
  <c r="X22" i="68"/>
  <c r="W22" i="68"/>
  <c r="W47" i="68" s="1"/>
  <c r="V22" i="68"/>
  <c r="X21" i="68"/>
  <c r="W21" i="68"/>
  <c r="V21" i="68"/>
  <c r="V46" i="68" s="1"/>
  <c r="X20" i="68"/>
  <c r="X45" i="68" s="1"/>
  <c r="W20" i="68"/>
  <c r="V20" i="68"/>
  <c r="X19" i="68"/>
  <c r="X44" i="68" s="1"/>
  <c r="W19" i="68"/>
  <c r="V19" i="68"/>
  <c r="X18" i="68"/>
  <c r="W18" i="68"/>
  <c r="V18" i="68"/>
  <c r="V43" i="68" s="1"/>
  <c r="X17" i="68"/>
  <c r="W17" i="68"/>
  <c r="W42" i="68" s="1"/>
  <c r="V17" i="68"/>
  <c r="V42" i="68" s="1"/>
  <c r="X16" i="68"/>
  <c r="W16" i="68"/>
  <c r="V16" i="68"/>
  <c r="X15" i="68"/>
  <c r="W15" i="68"/>
  <c r="V15" i="68"/>
  <c r="X14" i="68"/>
  <c r="X39" i="68" s="1"/>
  <c r="W14" i="68"/>
  <c r="W39" i="68" s="1"/>
  <c r="V14" i="68"/>
  <c r="X13" i="68"/>
  <c r="W13" i="68"/>
  <c r="V13" i="68"/>
  <c r="V38" i="68" s="1"/>
  <c r="X12" i="68"/>
  <c r="X37" i="68" s="1"/>
  <c r="W12" i="68"/>
  <c r="V12" i="68"/>
  <c r="X11" i="68"/>
  <c r="X36" i="68" s="1"/>
  <c r="W11" i="68"/>
  <c r="V11" i="68"/>
  <c r="X10" i="68"/>
  <c r="W10" i="68"/>
  <c r="V10" i="68"/>
  <c r="V35" i="68" s="1"/>
  <c r="X9" i="68"/>
  <c r="W9" i="68"/>
  <c r="W34" i="68" s="1"/>
  <c r="V9" i="68"/>
  <c r="V34" i="68" s="1"/>
  <c r="V7" i="68"/>
  <c r="X7" i="68"/>
  <c r="W7" i="68"/>
  <c r="X5" i="68"/>
  <c r="X33" i="68" s="1"/>
  <c r="W5" i="68"/>
  <c r="W33" i="68" s="1"/>
  <c r="V5" i="68"/>
  <c r="V37" i="68" s="1"/>
  <c r="W8" i="70"/>
  <c r="X8" i="70"/>
  <c r="X19" i="70" s="1"/>
  <c r="V9" i="70"/>
  <c r="W9" i="70"/>
  <c r="X9" i="70"/>
  <c r="V10" i="70"/>
  <c r="V21" i="70" s="1"/>
  <c r="W10" i="70"/>
  <c r="X10" i="70"/>
  <c r="X21" i="70" s="1"/>
  <c r="V11" i="70"/>
  <c r="W11" i="70"/>
  <c r="W22" i="70" s="1"/>
  <c r="X11" i="70"/>
  <c r="V12" i="70"/>
  <c r="W12" i="70"/>
  <c r="X12" i="70"/>
  <c r="X23" i="70" s="1"/>
  <c r="V13" i="70"/>
  <c r="V24" i="70" s="1"/>
  <c r="W13" i="70"/>
  <c r="W24" i="70" s="1"/>
  <c r="X13" i="70"/>
  <c r="V14" i="70"/>
  <c r="V25" i="70" s="1"/>
  <c r="W14" i="70"/>
  <c r="X14" i="70"/>
  <c r="X7" i="70"/>
  <c r="X18" i="70" s="1"/>
  <c r="W7" i="70"/>
  <c r="W18" i="70" s="1"/>
  <c r="V7" i="70"/>
  <c r="V8" i="69"/>
  <c r="V17" i="69" s="1"/>
  <c r="W8" i="69"/>
  <c r="X8" i="69"/>
  <c r="V9" i="69"/>
  <c r="W9" i="69"/>
  <c r="X9" i="69"/>
  <c r="V10" i="69"/>
  <c r="V19" i="69" s="1"/>
  <c r="W10" i="69"/>
  <c r="W19" i="69" s="1"/>
  <c r="X10" i="69"/>
  <c r="V11" i="69"/>
  <c r="W11" i="69"/>
  <c r="W20" i="69" s="1"/>
  <c r="X11" i="69"/>
  <c r="V12" i="69"/>
  <c r="V21" i="69" s="1"/>
  <c r="W12" i="69"/>
  <c r="W21" i="69" s="1"/>
  <c r="X12" i="69"/>
  <c r="X7" i="69"/>
  <c r="W7" i="69"/>
  <c r="W16" i="69" s="1"/>
  <c r="V7" i="69"/>
  <c r="X5" i="69"/>
  <c r="X14" i="69" s="1"/>
  <c r="W5" i="69"/>
  <c r="W14" i="69" s="1"/>
  <c r="V5" i="70"/>
  <c r="V16" i="70" s="1"/>
  <c r="W5" i="70"/>
  <c r="W16" i="70" s="1"/>
  <c r="X5" i="70"/>
  <c r="X16" i="70" s="1"/>
  <c r="X25" i="70"/>
  <c r="W25" i="70"/>
  <c r="X24" i="70"/>
  <c r="W23" i="70"/>
  <c r="V23" i="70"/>
  <c r="X22" i="70"/>
  <c r="V22" i="70"/>
  <c r="W21" i="70"/>
  <c r="X20" i="70"/>
  <c r="W20" i="70"/>
  <c r="V20" i="70"/>
  <c r="W19" i="70"/>
  <c r="V18" i="70"/>
  <c r="S18" i="70"/>
  <c r="R18" i="70"/>
  <c r="Q18" i="70"/>
  <c r="V10" i="71"/>
  <c r="W10" i="71"/>
  <c r="X10" i="71"/>
  <c r="V12" i="71"/>
  <c r="W12" i="71"/>
  <c r="X12" i="71"/>
  <c r="V13" i="71"/>
  <c r="W13" i="71"/>
  <c r="X13" i="71"/>
  <c r="V16" i="71"/>
  <c r="W16" i="71"/>
  <c r="X16" i="71"/>
  <c r="V17" i="71"/>
  <c r="W17" i="71"/>
  <c r="X17" i="71"/>
  <c r="V18" i="71"/>
  <c r="W18" i="71"/>
  <c r="X18" i="71"/>
  <c r="V20" i="71"/>
  <c r="W20" i="71"/>
  <c r="X20" i="71"/>
  <c r="V8" i="71"/>
  <c r="W8" i="71"/>
  <c r="X8" i="71"/>
  <c r="V9" i="71"/>
  <c r="W9" i="71"/>
  <c r="X9" i="71"/>
  <c r="X7" i="71"/>
  <c r="W7" i="71"/>
  <c r="V7" i="71"/>
  <c r="W7" i="65"/>
  <c r="X7" i="65"/>
  <c r="W8" i="65"/>
  <c r="X8" i="65"/>
  <c r="W9" i="65"/>
  <c r="X9" i="65"/>
  <c r="W10" i="65"/>
  <c r="X10" i="65"/>
  <c r="W11" i="65"/>
  <c r="X11" i="65"/>
  <c r="W12" i="65"/>
  <c r="X12" i="65"/>
  <c r="W13" i="65"/>
  <c r="X13" i="65"/>
  <c r="W14" i="65"/>
  <c r="X14" i="65"/>
  <c r="V7" i="65"/>
  <c r="V8" i="65"/>
  <c r="V9" i="65"/>
  <c r="V10" i="65"/>
  <c r="V11" i="65"/>
  <c r="V12" i="65"/>
  <c r="V13" i="65"/>
  <c r="V14" i="65"/>
  <c r="S27" i="65"/>
  <c r="R27" i="65"/>
  <c r="Q27" i="65"/>
  <c r="S26" i="65"/>
  <c r="R26" i="65"/>
  <c r="Q26" i="65"/>
  <c r="S25" i="65"/>
  <c r="R25" i="65"/>
  <c r="Q25" i="65"/>
  <c r="S24" i="65"/>
  <c r="R24" i="65"/>
  <c r="Q24" i="65"/>
  <c r="S23" i="65"/>
  <c r="R23" i="65"/>
  <c r="Q23" i="65"/>
  <c r="S22" i="65"/>
  <c r="R22" i="65"/>
  <c r="Q22" i="65"/>
  <c r="S21" i="65"/>
  <c r="R21" i="65"/>
  <c r="Q21" i="65"/>
  <c r="S20" i="65"/>
  <c r="R20" i="65"/>
  <c r="Q20" i="65"/>
  <c r="S19" i="65"/>
  <c r="R19" i="65"/>
  <c r="D5" i="71"/>
  <c r="D35" i="71" s="1"/>
  <c r="B11" i="71"/>
  <c r="C11" i="71"/>
  <c r="W11" i="71" s="1"/>
  <c r="D11" i="71"/>
  <c r="D28" i="71" s="1"/>
  <c r="L11" i="71"/>
  <c r="L28" i="71" s="1"/>
  <c r="M11" i="71"/>
  <c r="M28" i="71" s="1"/>
  <c r="N11" i="71"/>
  <c r="N28" i="71" s="1"/>
  <c r="B15" i="71"/>
  <c r="B5" i="71" s="1"/>
  <c r="C15" i="71"/>
  <c r="D15" i="71"/>
  <c r="L15" i="71"/>
  <c r="L32" i="71" s="1"/>
  <c r="M15" i="71"/>
  <c r="M32" i="71" s="1"/>
  <c r="N15" i="71"/>
  <c r="N32" i="71" s="1"/>
  <c r="B18" i="70"/>
  <c r="C18" i="70"/>
  <c r="D18" i="70"/>
  <c r="G18" i="70"/>
  <c r="H18" i="70"/>
  <c r="I18" i="70"/>
  <c r="L18" i="70"/>
  <c r="M18" i="70"/>
  <c r="N18" i="70"/>
  <c r="B19" i="70"/>
  <c r="C19" i="70"/>
  <c r="D19" i="70"/>
  <c r="B20" i="70"/>
  <c r="C20" i="70"/>
  <c r="D20" i="70"/>
  <c r="B21" i="70"/>
  <c r="C21" i="70"/>
  <c r="D21" i="70"/>
  <c r="B22" i="70"/>
  <c r="C22" i="70"/>
  <c r="D22" i="70"/>
  <c r="B23" i="70"/>
  <c r="C23" i="70"/>
  <c r="D23" i="70"/>
  <c r="B24" i="70"/>
  <c r="C24" i="70"/>
  <c r="D24" i="70"/>
  <c r="B25" i="70"/>
  <c r="C25" i="70"/>
  <c r="D25" i="70"/>
  <c r="B16" i="69"/>
  <c r="C16" i="69"/>
  <c r="D16" i="69"/>
  <c r="B17" i="69"/>
  <c r="C17" i="69"/>
  <c r="D17" i="69"/>
  <c r="B18" i="69"/>
  <c r="C18" i="69"/>
  <c r="D18" i="69"/>
  <c r="B19" i="69"/>
  <c r="C19" i="69"/>
  <c r="D19" i="69"/>
  <c r="B20" i="69"/>
  <c r="C20" i="69"/>
  <c r="D20" i="69"/>
  <c r="B24" i="67"/>
  <c r="C24" i="67"/>
  <c r="D24" i="67"/>
  <c r="B28" i="67"/>
  <c r="C28" i="67"/>
  <c r="D28" i="67"/>
  <c r="B30" i="67"/>
  <c r="C30" i="67"/>
  <c r="D30" i="67"/>
  <c r="B31" i="67"/>
  <c r="C31" i="67"/>
  <c r="D31" i="67"/>
  <c r="B32" i="67"/>
  <c r="C32" i="67"/>
  <c r="D32" i="67"/>
  <c r="B34" i="67"/>
  <c r="C34" i="67"/>
  <c r="D34" i="67"/>
  <c r="B36" i="67"/>
  <c r="C36" i="67"/>
  <c r="D36" i="67"/>
  <c r="B38" i="67"/>
  <c r="C38" i="67"/>
  <c r="D38" i="67"/>
  <c r="B40" i="67"/>
  <c r="C40" i="67"/>
  <c r="D40" i="67"/>
  <c r="B22" i="66"/>
  <c r="C22" i="66"/>
  <c r="D22" i="66"/>
  <c r="B24" i="66"/>
  <c r="C24" i="66"/>
  <c r="D24" i="66"/>
  <c r="B25" i="66"/>
  <c r="C25" i="66"/>
  <c r="D25" i="66"/>
  <c r="B26" i="66"/>
  <c r="C26" i="66"/>
  <c r="D26" i="66"/>
  <c r="B27" i="66"/>
  <c r="C27" i="66"/>
  <c r="D27" i="66"/>
  <c r="B28" i="66"/>
  <c r="C28" i="66"/>
  <c r="D28" i="66"/>
  <c r="B29" i="66"/>
  <c r="C29" i="66"/>
  <c r="D29" i="66"/>
  <c r="B30" i="66"/>
  <c r="C30" i="66"/>
  <c r="D30" i="66"/>
  <c r="B31" i="66"/>
  <c r="C31" i="66"/>
  <c r="D31" i="66"/>
  <c r="B32" i="66"/>
  <c r="C32" i="66"/>
  <c r="D32" i="66"/>
  <c r="B33" i="66"/>
  <c r="C33" i="66"/>
  <c r="D33" i="66"/>
  <c r="B34" i="66"/>
  <c r="C34" i="66"/>
  <c r="D34" i="66"/>
  <c r="B35" i="66"/>
  <c r="C35" i="66"/>
  <c r="D35" i="66"/>
  <c r="D37" i="66"/>
  <c r="L6" i="65"/>
  <c r="L5" i="65" s="1"/>
  <c r="V5" i="65" s="1"/>
  <c r="M6" i="65"/>
  <c r="W6" i="65" s="1"/>
  <c r="N6" i="65"/>
  <c r="N5" i="65" s="1"/>
  <c r="X5" i="65" s="1"/>
  <c r="B19" i="65"/>
  <c r="C19" i="65"/>
  <c r="D19" i="65"/>
  <c r="G19" i="65"/>
  <c r="H19" i="65"/>
  <c r="I19" i="65"/>
  <c r="B20" i="65"/>
  <c r="C20" i="65"/>
  <c r="B21" i="65"/>
  <c r="C21" i="65"/>
  <c r="D21" i="65"/>
  <c r="B22" i="65"/>
  <c r="C22" i="65"/>
  <c r="D22" i="65"/>
  <c r="B23" i="65"/>
  <c r="C23" i="65"/>
  <c r="D23" i="65"/>
  <c r="B24" i="65"/>
  <c r="C24" i="65"/>
  <c r="D24" i="65"/>
  <c r="B25" i="65"/>
  <c r="C25" i="65"/>
  <c r="B26" i="65"/>
  <c r="D26" i="65"/>
  <c r="B27" i="65"/>
  <c r="C27" i="65"/>
  <c r="D27" i="65"/>
  <c r="D32" i="71" l="1"/>
  <c r="V11" i="71"/>
  <c r="W17" i="69"/>
  <c r="V27" i="67"/>
  <c r="X30" i="67"/>
  <c r="W34" i="67"/>
  <c r="V40" i="67"/>
  <c r="X32" i="66"/>
  <c r="W25" i="66"/>
  <c r="V11" i="66"/>
  <c r="V28" i="66" s="1"/>
  <c r="V15" i="66"/>
  <c r="V32" i="66" s="1"/>
  <c r="W35" i="66"/>
  <c r="C5" i="71"/>
  <c r="X19" i="69"/>
  <c r="X34" i="68"/>
  <c r="W37" i="68"/>
  <c r="V40" i="68"/>
  <c r="X42" i="68"/>
  <c r="W45" i="68"/>
  <c r="V48" i="68"/>
  <c r="X50" i="68"/>
  <c r="V31" i="67"/>
  <c r="X34" i="67"/>
  <c r="W40" i="67"/>
  <c r="X25" i="66"/>
  <c r="W11" i="66"/>
  <c r="W28" i="66" s="1"/>
  <c r="V33" i="66"/>
  <c r="X35" i="66"/>
  <c r="X16" i="69"/>
  <c r="W40" i="68"/>
  <c r="W48" i="68"/>
  <c r="X27" i="67"/>
  <c r="X40" i="67"/>
  <c r="W33" i="66"/>
  <c r="X21" i="69"/>
  <c r="W35" i="68"/>
  <c r="X40" i="68"/>
  <c r="W43" i="68"/>
  <c r="X48" i="68"/>
  <c r="W51" i="68"/>
  <c r="X31" i="67"/>
  <c r="W29" i="66"/>
  <c r="X33" i="66"/>
  <c r="W37" i="66"/>
  <c r="X30" i="68"/>
  <c r="X20" i="65"/>
  <c r="V27" i="65"/>
  <c r="X27" i="65"/>
  <c r="X23" i="65"/>
  <c r="S26" i="71"/>
  <c r="X18" i="69"/>
  <c r="W32" i="68"/>
  <c r="X35" i="68"/>
  <c r="W38" i="68"/>
  <c r="V41" i="68"/>
  <c r="X43" i="68"/>
  <c r="W46" i="68"/>
  <c r="V49" i="68"/>
  <c r="X51" i="68"/>
  <c r="V32" i="67"/>
  <c r="X36" i="67"/>
  <c r="V24" i="66"/>
  <c r="X26" i="66"/>
  <c r="X29" i="66"/>
  <c r="V34" i="66"/>
  <c r="D36" i="71"/>
  <c r="X17" i="69"/>
  <c r="X24" i="65"/>
  <c r="W18" i="69"/>
  <c r="X32" i="68"/>
  <c r="V36" i="68"/>
  <c r="X38" i="68"/>
  <c r="W41" i="68"/>
  <c r="V44" i="68"/>
  <c r="X46" i="68"/>
  <c r="W49" i="68"/>
  <c r="X28" i="67"/>
  <c r="W32" i="67"/>
  <c r="V38" i="67"/>
  <c r="W24" i="66"/>
  <c r="V27" i="66"/>
  <c r="V30" i="66"/>
  <c r="W34" i="66"/>
  <c r="X22" i="66"/>
  <c r="X38" i="67"/>
  <c r="X11" i="71"/>
  <c r="X26" i="65"/>
  <c r="X22" i="65"/>
  <c r="X20" i="69"/>
  <c r="V32" i="68"/>
  <c r="W36" i="68"/>
  <c r="V39" i="68"/>
  <c r="X41" i="68"/>
  <c r="W44" i="68"/>
  <c r="V47" i="68"/>
  <c r="X49" i="68"/>
  <c r="X24" i="66"/>
  <c r="W27" i="66"/>
  <c r="W30" i="66"/>
  <c r="X34" i="66"/>
  <c r="W31" i="66"/>
  <c r="B33" i="71"/>
  <c r="B25" i="71"/>
  <c r="Q32" i="71"/>
  <c r="Q24" i="71"/>
  <c r="B30" i="71"/>
  <c r="Q28" i="71"/>
  <c r="B35" i="71"/>
  <c r="B27" i="71"/>
  <c r="Q36" i="71"/>
  <c r="Q34" i="71"/>
  <c r="Q25" i="71"/>
  <c r="B26" i="71"/>
  <c r="B22" i="71"/>
  <c r="B24" i="71"/>
  <c r="V5" i="71"/>
  <c r="V24" i="71" s="1"/>
  <c r="Q30" i="71"/>
  <c r="B34" i="71"/>
  <c r="B37" i="71"/>
  <c r="B29" i="71"/>
  <c r="Q27" i="71"/>
  <c r="B31" i="71"/>
  <c r="Q29" i="71"/>
  <c r="Q37" i="71"/>
  <c r="B36" i="71"/>
  <c r="Q35" i="71"/>
  <c r="Q26" i="71"/>
  <c r="Q33" i="71"/>
  <c r="W34" i="71"/>
  <c r="V45" i="68"/>
  <c r="V21" i="65"/>
  <c r="S28" i="71"/>
  <c r="R32" i="71"/>
  <c r="L23" i="65"/>
  <c r="C25" i="71"/>
  <c r="B28" i="71"/>
  <c r="D30" i="71"/>
  <c r="C33" i="71"/>
  <c r="V30" i="68"/>
  <c r="S32" i="66"/>
  <c r="V22" i="66"/>
  <c r="X31" i="66"/>
  <c r="V29" i="66"/>
  <c r="V20" i="65"/>
  <c r="R26" i="71"/>
  <c r="S32" i="71"/>
  <c r="R35" i="71"/>
  <c r="V31" i="66"/>
  <c r="N21" i="65"/>
  <c r="D25" i="71"/>
  <c r="C28" i="71"/>
  <c r="D33" i="71"/>
  <c r="C36" i="71"/>
  <c r="W30" i="68"/>
  <c r="W22" i="66"/>
  <c r="V35" i="66"/>
  <c r="V26" i="65"/>
  <c r="R24" i="71"/>
  <c r="S29" i="71"/>
  <c r="R33" i="71"/>
  <c r="R37" i="71"/>
  <c r="X11" i="66"/>
  <c r="X28" i="66" s="1"/>
  <c r="W15" i="66"/>
  <c r="W32" i="66" s="1"/>
  <c r="N27" i="65"/>
  <c r="C22" i="71"/>
  <c r="C26" i="71"/>
  <c r="D31" i="71"/>
  <c r="C34" i="71"/>
  <c r="V20" i="69"/>
  <c r="V25" i="65"/>
  <c r="S24" i="71"/>
  <c r="R27" i="71"/>
  <c r="S33" i="71"/>
  <c r="X15" i="71"/>
  <c r="L27" i="65"/>
  <c r="D22" i="71"/>
  <c r="R36" i="71"/>
  <c r="D26" i="71"/>
  <c r="C29" i="71"/>
  <c r="B32" i="71"/>
  <c r="D34" i="71"/>
  <c r="C37" i="71"/>
  <c r="V24" i="65"/>
  <c r="S27" i="71"/>
  <c r="R30" i="71"/>
  <c r="W5" i="71"/>
  <c r="W29" i="71" s="1"/>
  <c r="W15" i="71"/>
  <c r="W32" i="71" s="1"/>
  <c r="N25" i="65"/>
  <c r="C24" i="71"/>
  <c r="D29" i="71"/>
  <c r="C32" i="71"/>
  <c r="D37" i="71"/>
  <c r="V23" i="65"/>
  <c r="X25" i="65"/>
  <c r="X21" i="65"/>
  <c r="R25" i="71"/>
  <c r="S30" i="71"/>
  <c r="R34" i="71"/>
  <c r="X5" i="71"/>
  <c r="X30" i="71" s="1"/>
  <c r="V15" i="71"/>
  <c r="L25" i="65"/>
  <c r="S36" i="71"/>
  <c r="D24" i="71"/>
  <c r="C27" i="71"/>
  <c r="C35" i="71"/>
  <c r="S35" i="71"/>
  <c r="V33" i="68"/>
  <c r="V22" i="65"/>
  <c r="S25" i="71"/>
  <c r="R28" i="71"/>
  <c r="S34" i="71"/>
  <c r="N23" i="65"/>
  <c r="S37" i="71"/>
  <c r="D27" i="71"/>
  <c r="N26" i="65"/>
  <c r="L26" i="65"/>
  <c r="N24" i="65"/>
  <c r="L24" i="65"/>
  <c r="N22" i="65"/>
  <c r="L22" i="65"/>
  <c r="N20" i="65"/>
  <c r="L20" i="65"/>
  <c r="V16" i="69"/>
  <c r="V18" i="69"/>
  <c r="M5" i="65"/>
  <c r="X6" i="65"/>
  <c r="X19" i="65" s="1"/>
  <c r="V6" i="65"/>
  <c r="V19" i="65" s="1"/>
  <c r="N19" i="65"/>
  <c r="L19" i="65"/>
  <c r="V32" i="71" l="1"/>
  <c r="V35" i="71"/>
  <c r="V37" i="71"/>
  <c r="V27" i="71"/>
  <c r="W24" i="71"/>
  <c r="V31" i="71"/>
  <c r="C30" i="71"/>
  <c r="R29" i="71"/>
  <c r="C31" i="71"/>
  <c r="W26" i="71"/>
  <c r="X26" i="71"/>
  <c r="V36" i="71"/>
  <c r="X37" i="71"/>
  <c r="W35" i="71"/>
  <c r="X35" i="71"/>
  <c r="W22" i="71"/>
  <c r="W31" i="71"/>
  <c r="W36" i="71"/>
  <c r="X31" i="71"/>
  <c r="V29" i="71"/>
  <c r="W28" i="71"/>
  <c r="X33" i="71"/>
  <c r="V25" i="71"/>
  <c r="W37" i="71"/>
  <c r="V30" i="71"/>
  <c r="X36" i="71"/>
  <c r="X22" i="71"/>
  <c r="W30" i="71"/>
  <c r="X24" i="71"/>
  <c r="X34" i="71"/>
  <c r="X32" i="71"/>
  <c r="W27" i="71"/>
  <c r="V22" i="71"/>
  <c r="V26" i="71"/>
  <c r="V34" i="71"/>
  <c r="X27" i="71"/>
  <c r="V28" i="71"/>
  <c r="W25" i="71"/>
  <c r="X25" i="71"/>
  <c r="V33" i="71"/>
  <c r="W33" i="71"/>
  <c r="X28" i="71"/>
  <c r="X29" i="71"/>
  <c r="M21" i="65"/>
  <c r="M23" i="65"/>
  <c r="M25" i="65"/>
  <c r="M27" i="65"/>
  <c r="M20" i="65"/>
  <c r="M22" i="65"/>
  <c r="M24" i="65"/>
  <c r="M26" i="65"/>
  <c r="W5" i="65"/>
  <c r="M19" i="65"/>
  <c r="W27" i="65" l="1"/>
  <c r="W25" i="65"/>
  <c r="W23" i="65"/>
  <c r="W21" i="65"/>
  <c r="W19" i="65"/>
  <c r="W26" i="65"/>
  <c r="W24" i="65"/>
  <c r="W22" i="65"/>
  <c r="W20" i="65"/>
</calcChain>
</file>

<file path=xl/sharedStrings.xml><?xml version="1.0" encoding="utf-8"?>
<sst xmlns="http://schemas.openxmlformats.org/spreadsheetml/2006/main" count="2355" uniqueCount="198">
  <si>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</si>
  <si>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</si>
  <si>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</si>
  <si>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</si>
  <si>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</si>
  <si>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</si>
  <si>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</si>
  <si>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</si>
  <si>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</si>
  <si>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</si>
  <si>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</si>
  <si>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</si>
  <si>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</si>
  <si>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</si>
  <si>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</si>
  <si>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</si>
  <si>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</si>
  <si>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</si>
  <si>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</si>
  <si>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</si>
  <si>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</si>
  <si>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</si>
  <si>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</si>
  <si>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</si>
  <si>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</si>
  <si>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</si>
  <si>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</si>
  <si>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</si>
  <si>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</si>
  <si>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</si>
  <si>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</si>
  <si>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</si>
  <si>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</si>
  <si>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</si>
  <si>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</si>
  <si>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</si>
  <si>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</si>
  <si>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</si>
  <si>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</si>
  <si>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</si>
  <si>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</si>
  <si>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</si>
  <si>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</si>
  <si>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</si>
  <si>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</si>
  <si>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</si>
  <si>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</si>
  <si>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</si>
  <si>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</si>
  <si>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</si>
  <si>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</si>
  <si>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</si>
  <si>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</si>
  <si>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</si>
  <si>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</si>
  <si>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</si>
  <si>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</si>
  <si>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</si>
  <si>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</si>
  <si>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</si>
  <si>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</si>
  <si>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</si>
  <si>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</si>
  <si>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</si>
  <si>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</si>
  <si>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</si>
  <si>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</si>
  <si>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</si>
  <si>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</si>
  <si>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</si>
  <si>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</si>
  <si>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</si>
  <si>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</si>
  <si>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</si>
  <si>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</si>
  <si>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</si>
  <si>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</si>
  <si>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</si>
  <si>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</si>
  <si>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</si>
  <si>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</si>
  <si>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</si>
  <si>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</si>
  <si>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</si>
  <si>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</si>
  <si>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</si>
  <si>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</si>
  <si>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</si>
  <si>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</si>
  <si>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</si>
  <si>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</si>
  <si>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</si>
  <si>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</si>
  <si>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</si>
  <si>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</si>
  <si>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</si>
  <si>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</si>
  <si>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</si>
  <si>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</si>
  <si>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</si>
  <si>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</si>
  <si>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</si>
  <si>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</si>
  <si>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</si>
  <si>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</si>
  <si>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</si>
  <si>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</si>
  <si>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ไตรมาส 1 พ.ศ.2562</t>
  </si>
  <si>
    <t>เฉลี่ยปีพ.ศ.2562</t>
  </si>
  <si>
    <t>ไตรมาส 4 พ.ศ.2562</t>
  </si>
  <si>
    <t>ไตรมาส 3 พ.ศ.2562</t>
  </si>
  <si>
    <t>ไตรมาส 2 พ.ศ.2562</t>
  </si>
  <si>
    <t>ตารางที่ 7  จำนวนและร้อยละของผู้มีงานทำ  จำแนกตาม</t>
  </si>
  <si>
    <t>ระดับการศึกษาที่สำเร็จและเพศ เฉลี่ยปีพ.ศ.2562</t>
  </si>
  <si>
    <r>
      <rPr>
        <sz val="14"/>
        <rFont val="TH SarabunPSK"/>
        <family val="2"/>
      </rPr>
      <t>7. การขายส่ง การขายปลีก</t>
    </r>
    <r>
      <rPr>
        <sz val="8"/>
        <rFont val="TH SarabunPSK"/>
        <family val="2"/>
      </rPr>
      <t xml:space="preserve"> การซ่อมแซมยานยนต์  รถจักรยานยนต์  ของใช้ส่วนบุคคล และของใช้ในครัวเรือน</t>
    </r>
  </si>
  <si>
    <t>'=(B5+G5+L5+Q5)/4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</si>
  <si>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</si>
  <si>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</si>
  <si>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</si>
  <si>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</si>
  <si>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</si>
  <si>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</si>
  <si>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</si>
  <si>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</si>
  <si>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</si>
  <si>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</si>
  <si>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</si>
  <si>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</si>
  <si>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</si>
  <si>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</si>
  <si>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</si>
  <si>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</si>
  <si>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</si>
  <si>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</si>
  <si>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>จำนวนประชากร ณ วันที่ 1 มกราคม 2562  จำแนกตามเพศ หมวดอายุ ทั่วราชอาณาจักร เขตการปกครอง และภาค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</si>
  <si>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</si>
  <si>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</si>
  <si>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</si>
  <si>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>จำนวนประชากร ณ วันที่ 1 กุมภาพันธ์ 2562 จำแนกตามเพศ หมวดอายุ ทั่วราชอาณาจักร เขตการปกครอง และภาค</t>
  </si>
  <si>
    <t>จำนวนประชากร ณ วันที่ 1 มีนาคม 2562  จำแนกตามเพศ หมวดอายุ ทั่วราชอาณาจักร เขตการปกครอง และภาค</t>
  </si>
  <si>
    <t>จำนวนประชากร ณ วันที่ 1 เมษายน 2562 จำแนกตามเพศ หมวดอายุ ทั่วราชอาณาจักร เขตการปกครอง และภาค</t>
  </si>
  <si>
    <t>จำนวนประชากร ณ วันที่ 1 พฤษภาคม 2562 จำแนกตามเพศ หมวดอายุ ทั่วราชอาณาจักร เขตการปกครอง และภาค</t>
  </si>
  <si>
    <t>จำนวนประชากร ณ วันที่ 1 มิถุนายน 2562 จำแนกตามเพศ หมวดอายุ ทั่วราชอาณาจักร เขตการปกครอง และภาค</t>
  </si>
  <si>
    <t>จำนวนประชากร ณ วันที่ 1 กรกฎาคม 2562 จำแนกตามเพศ หมวดอายุ ทั่วราชอาณาจักร เขตการปกครอง และภาค</t>
  </si>
  <si>
    <t>จำนวนประชากร ณ วันที่ 1 สิงหาคม 2562 จำแนกตามเพศ หมวดอายุ ทั่วราชอาณาจักร เขตการปกครอง และภาค</t>
  </si>
  <si>
    <t>จำนวนประชากร ณ วันที่ 1 กันยายน 2562 จำแนกตามเพศ หมวดอายุ ทั่วราชอาณาจักร เขตการปกครอง และภาค</t>
  </si>
  <si>
    <t>จำนวนประชากร ณ วันที่ 1 ตุลาคม 2562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</si>
  <si>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2562 จำแนกตามเพศ หมวดอายุ ทั่วราชอาณาจักร เขตการปกครอง และภาค</t>
  </si>
  <si>
    <t>จำนวนประชากร ณ วันที่ 1 ธันวาคม 2562 จำแนกตามเพศ หมวดอายุ ทั่วราชอาณาจักร เขตการปกครอง และภาค</t>
  </si>
  <si>
    <t xml:space="preserve">              -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</si>
  <si>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</si>
  <si>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</si>
  <si>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</si>
  <si>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</si>
  <si>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</si>
  <si>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</si>
  <si>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</si>
  <si>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</si>
  <si>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</si>
  <si>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</si>
  <si>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</si>
  <si>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</si>
  <si>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</si>
  <si>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</si>
  <si>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พ.ศ.2555</t>
  </si>
  <si>
    <t>พ.ศ.2553</t>
  </si>
  <si>
    <t xml:space="preserve"> </t>
  </si>
  <si>
    <t xml:space="preserve">                                       </t>
  </si>
  <si>
    <r>
      <t>ไตรมาสที่ 3</t>
    </r>
    <r>
      <rPr>
        <sz val="10"/>
        <rFont val="Arial"/>
        <charset val="222"/>
      </rPr>
      <t/>
    </r>
  </si>
  <si>
    <t>ตาราง ค  จำนวนและร้อยละของผู้มีงานทำ  จำแนกตามอาชีพ เป็นรายไตรมาส จังหวัดนครราชสีมา พ.ศ. 2553 - 2562</t>
  </si>
  <si>
    <t xml:space="preserve">                  - </t>
  </si>
  <si>
    <t xml:space="preserve">     รวมทั้งการประกันสังคมภาคบังคับ</t>
  </si>
  <si>
    <t xml:space="preserve">15. การบริหารราชการ และการป้องกันประเทศ </t>
  </si>
  <si>
    <t xml:space="preserve">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</si>
  <si>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</si>
  <si>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1. เกษตรกรรม การล่าสัตว์และการป่าไม้และการประมง</t>
  </si>
  <si>
    <t>12. กิจการด้านอสังหาริมทรัพย์ การให้เช่า และกิจกรรมทางธุรกิจ</t>
  </si>
  <si>
    <t xml:space="preserve">   ของใช้ส่วนบุคคล และของใช้ในครัวเรือน</t>
  </si>
  <si>
    <t>7. การขายส่ง การขายปลีก การซ่อมแซมยานยนต์ รถจักรยานยนต์</t>
  </si>
  <si>
    <r>
      <t>ไตรมาสที่ 3</t>
    </r>
    <r>
      <rPr>
        <sz val="10"/>
        <rFont val="Arial"/>
        <family val="2"/>
      </rPr>
      <t/>
    </r>
  </si>
  <si>
    <t>พ.ศ.2556</t>
  </si>
  <si>
    <t xml:space="preserve">ตาราง ง  จำนวนและร้อยละของผู้มีงานทำ  จำแนกตามอุตสาหกรรม </t>
  </si>
  <si>
    <t>พ.ศ. 2554</t>
  </si>
  <si>
    <t>ตาราง จ  จำนวนและร้อยละของผู้มีงานทำ  จำแนกตามสถานภาพการทำงาน</t>
  </si>
  <si>
    <t xml:space="preserve"> 1/   ผู้ไม่ได้ทำงานในสัปดาห์การสำรวจ  แต่มีงานประจำ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</si>
  <si>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</si>
  <si>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</si>
  <si>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ชั่วโมงการทำงาน</t>
  </si>
  <si>
    <t>ตาราง ฉ จำนวนและร้อยละของผู้มีงานทำ  จำแนกตามชั่วโมงการทำงานต่อสัปดาห์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</si>
  <si>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</si>
  <si>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</si>
  <si>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</si>
  <si>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ตาราง ก  จำนวนและร้อยละของประชากร  จำแนกตามสถานภาพแรงงาน</t>
  </si>
  <si>
    <t>จำนวนประชากร ณ วันที่ 1 กุมภาพันธ์ 2561  จำแนกตามเพศ หมวดอายุ ทั่วราชอาณาจักร เขตการปกครอง และภาค</t>
  </si>
  <si>
    <t>จำนวนประชากร ณ วันที่ 1 พฤษภาคม 2561  จำแนกตามเพศ หมวดอายุ ทั่วราชอาณาจักร เขตการปกครอง และภาค</t>
  </si>
  <si>
    <t>จำนวนประชากร ณ วันที่ 1 สิงหาคม 2561 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</si>
  <si>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2561  จำแนกตามเพศ หมวดอายุ ทั่วราชอาณาจักร เขตการปกครอง และภาค</t>
  </si>
  <si>
    <t>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</si>
</sst>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00_-;\-* #,##0.000_-;_-* \-??_-;_-@_-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-* #,##0.0_-;\-* #,##0.0_-;_-* &quot;-&quot;?_-;_-@_-"/>
    <numFmt numFmtId="204" formatCode="_(&quot;$&quot;* #,##0.00_);_(&quot;$&quot;* \(#,##0.00\);_(&quot;$&quot;* &quot;-&quot;??_);_(@_)"/>
  </numFmts>
  <fonts count="7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8"/>
      <name val="TH SarabunPSK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"/>
      <name val="TH SarabunPSK"/>
      <family val="2"/>
    </font>
    <font>
      <sz val="15"/>
      <name val="Calibri"/>
      <family val="2"/>
    </font>
    <font>
      <b/>
      <sz val="1"/>
      <name val="TH SarabunPSK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6"/>
      <name val="TH SarabunPSK"/>
      <family val="2"/>
    </font>
    <font>
      <sz val="14"/>
      <name val="Calibri"/>
      <family val="2"/>
    </font>
    <font>
      <sz val="5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charset val="222"/>
    </font>
    <font>
      <sz val="8"/>
      <name val="Arial"/>
    </font>
    <font>
      <sz val="8"/>
      <name val="Arial"/>
      <family val="2"/>
    </font>
    <font>
      <sz val="8"/>
      <name val="Arial "/>
    </font>
    <font>
      <b/>
      <sz val="8"/>
      <name val="Arial"/>
      <family val="2"/>
    </font>
    <font>
      <b/>
      <sz val="8"/>
      <name val="Arial "/>
    </font>
    <font>
      <b/>
      <sz val="12.5"/>
      <name val="TH SarabunPSK"/>
      <family val="2"/>
    </font>
    <font>
      <sz val="10"/>
      <name val="Arial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2.5"/>
      <name val="TH SarabunPSK"/>
      <family val="2"/>
    </font>
    <font>
      <b/>
      <sz val="13.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/>
    <xf numFmtId="0" fontId="14" fillId="0" borderId="0"/>
    <xf numFmtId="0" fontId="1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5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87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8" fillId="0" borderId="0"/>
    <xf numFmtId="0" fontId="6" fillId="0" borderId="0"/>
    <xf numFmtId="0" fontId="4" fillId="0" borderId="0"/>
    <xf numFmtId="0" fontId="4" fillId="0" borderId="0"/>
    <xf numFmtId="0" fontId="28" fillId="0" borderId="0"/>
    <xf numFmtId="9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6" fillId="0" borderId="13" applyNumberFormat="0" applyFill="0" applyAlignment="0" applyProtection="0"/>
    <xf numFmtId="41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6" fillId="0" borderId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8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8" fillId="0" borderId="0"/>
    <xf numFmtId="0" fontId="30" fillId="0" borderId="0"/>
    <xf numFmtId="0" fontId="31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28" fillId="0" borderId="0"/>
    <xf numFmtId="9" fontId="28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8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8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0" fontId="4" fillId="0" borderId="0"/>
    <xf numFmtId="0" fontId="32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2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8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8" fillId="0" borderId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2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2" fillId="0" borderId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4" fontId="6" fillId="0" borderId="0" applyFill="0" applyBorder="0" applyAlignment="0" applyProtection="0"/>
    <xf numFmtId="0" fontId="18" fillId="0" borderId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2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4" fontId="6" fillId="0" borderId="0" applyFill="0" applyBorder="0" applyAlignment="0" applyProtection="0"/>
    <xf numFmtId="0" fontId="18" fillId="0" borderId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4" fillId="0" borderId="0"/>
    <xf numFmtId="0" fontId="24" fillId="0" borderId="0"/>
    <xf numFmtId="0" fontId="3" fillId="0" borderId="0"/>
    <xf numFmtId="0" fontId="31" fillId="0" borderId="0"/>
    <xf numFmtId="43" fontId="3" fillId="0" borderId="0" applyFont="0" applyFill="0" applyBorder="0" applyAlignment="0" applyProtection="0"/>
    <xf numFmtId="0" fontId="24" fillId="0" borderId="0"/>
    <xf numFmtId="43" fontId="33" fillId="0" borderId="0" applyFont="0" applyFill="0" applyBorder="0" applyAlignment="0" applyProtection="0"/>
    <xf numFmtId="0" fontId="33" fillId="0" borderId="0"/>
    <xf numFmtId="0" fontId="28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50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4" fontId="6" fillId="0" borderId="0" applyFill="0" applyBorder="0" applyAlignment="0" applyProtection="0"/>
    <xf numFmtId="43" fontId="50" fillId="0" borderId="0" applyFont="0" applyFill="0" applyBorder="0" applyAlignment="0" applyProtection="0"/>
    <xf numFmtId="204" fontId="6" fillId="0" borderId="0" applyFill="0" applyBorder="0" applyAlignment="0" applyProtection="0"/>
    <xf numFmtId="0" fontId="50" fillId="0" borderId="0"/>
    <xf numFmtId="0" fontId="66" fillId="0" borderId="0"/>
    <xf numFmtId="187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50" fillId="0" borderId="0"/>
    <xf numFmtId="0" fontId="1" fillId="0" borderId="0"/>
    <xf numFmtId="0" fontId="1" fillId="3" borderId="0" applyNumberFormat="0" applyBorder="0" applyAlignment="0" applyProtection="0"/>
    <xf numFmtId="43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57" fillId="0" borderId="0"/>
    <xf numFmtId="0" fontId="57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</cellStyleXfs>
  <cellXfs count="676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3" fillId="0" borderId="0" xfId="0" applyFont="1"/>
    <xf numFmtId="195" fontId="22" fillId="0" borderId="0" xfId="23" applyNumberFormat="1" applyFont="1" applyFill="1" applyBorder="1" applyAlignment="1" applyProtection="1">
      <alignment horizontal="right" vertical="center"/>
    </xf>
    <xf numFmtId="0" fontId="12" fillId="0" borderId="0" xfId="0" applyFont="1" applyAlignment="1"/>
    <xf numFmtId="0" fontId="11" fillId="0" borderId="0" xfId="0" applyFont="1"/>
    <xf numFmtId="0" fontId="7" fillId="0" borderId="0" xfId="0" applyFont="1" applyAlignment="1"/>
    <xf numFmtId="0" fontId="34" fillId="0" borderId="0" xfId="27" applyFont="1"/>
    <xf numFmtId="3" fontId="34" fillId="0" borderId="0" xfId="27" applyNumberFormat="1" applyFont="1"/>
    <xf numFmtId="0" fontId="21" fillId="0" borderId="0" xfId="27" applyFont="1"/>
    <xf numFmtId="0" fontId="9" fillId="0" borderId="0" xfId="27" quotePrefix="1" applyFont="1"/>
    <xf numFmtId="190" fontId="21" fillId="0" borderId="1" xfId="27" applyNumberFormat="1" applyFont="1" applyBorder="1" applyAlignment="1">
      <alignment horizontal="right" vertical="center"/>
    </xf>
    <xf numFmtId="0" fontId="22" fillId="0" borderId="1" xfId="27" applyFont="1" applyBorder="1" applyAlignment="1">
      <alignment vertical="center"/>
    </xf>
    <xf numFmtId="190" fontId="21" fillId="0" borderId="0" xfId="27" applyNumberFormat="1" applyFont="1" applyAlignment="1">
      <alignment horizontal="right"/>
    </xf>
    <xf numFmtId="190" fontId="21" fillId="0" borderId="0" xfId="27" applyNumberFormat="1" applyFont="1" applyBorder="1" applyAlignment="1">
      <alignment horizontal="right" vertical="center"/>
    </xf>
    <xf numFmtId="0" fontId="21" fillId="0" borderId="0" xfId="27" applyFont="1" applyBorder="1" applyAlignment="1">
      <alignment vertical="center"/>
    </xf>
    <xf numFmtId="0" fontId="21" fillId="0" borderId="0" xfId="27" applyFont="1" applyAlignment="1">
      <alignment vertical="center"/>
    </xf>
    <xf numFmtId="2" fontId="21" fillId="0" borderId="0" xfId="27" applyNumberFormat="1" applyFont="1" applyBorder="1" applyAlignment="1">
      <alignment horizontal="right" vertical="center"/>
    </xf>
    <xf numFmtId="0" fontId="22" fillId="0" borderId="0" xfId="27" applyFont="1" applyAlignment="1">
      <alignment vertical="center"/>
    </xf>
    <xf numFmtId="2" fontId="35" fillId="0" borderId="0" xfId="27" applyNumberFormat="1" applyFont="1" applyAlignment="1">
      <alignment horizontal="right"/>
    </xf>
    <xf numFmtId="190" fontId="35" fillId="0" borderId="0" xfId="27" applyNumberFormat="1" applyFont="1" applyBorder="1" applyAlignment="1">
      <alignment horizontal="right" vertical="center"/>
    </xf>
    <xf numFmtId="0" fontId="22" fillId="0" borderId="0" xfId="27" applyFont="1" applyBorder="1" applyAlignment="1">
      <alignment vertical="center"/>
    </xf>
    <xf numFmtId="0" fontId="35" fillId="0" borderId="0" xfId="27" applyFont="1" applyAlignment="1">
      <alignment vertical="center"/>
    </xf>
    <xf numFmtId="0" fontId="35" fillId="0" borderId="0" xfId="27" applyFont="1" applyBorder="1" applyAlignment="1">
      <alignment horizontal="center" vertical="center"/>
    </xf>
    <xf numFmtId="0" fontId="35" fillId="0" borderId="0" xfId="27" applyFont="1" applyBorder="1" applyAlignment="1">
      <alignment vertical="center"/>
    </xf>
    <xf numFmtId="0" fontId="34" fillId="0" borderId="0" xfId="27" applyFont="1" applyAlignment="1">
      <alignment vertical="center"/>
    </xf>
    <xf numFmtId="0" fontId="21" fillId="0" borderId="0" xfId="0" applyFont="1" applyAlignment="1">
      <alignment horizontal="right"/>
    </xf>
    <xf numFmtId="0" fontId="35" fillId="0" borderId="0" xfId="27" applyFont="1" applyBorder="1"/>
    <xf numFmtId="0" fontId="35" fillId="0" borderId="0" xfId="27" applyFont="1" applyBorder="1" applyAlignment="1">
      <alignment horizontal="right"/>
    </xf>
    <xf numFmtId="188" fontId="22" fillId="0" borderId="0" xfId="168" applyNumberFormat="1" applyFont="1" applyBorder="1"/>
    <xf numFmtId="0" fontId="6" fillId="0" borderId="0" xfId="27"/>
    <xf numFmtId="188" fontId="22" fillId="0" borderId="0" xfId="25" applyNumberFormat="1" applyFont="1" applyBorder="1"/>
    <xf numFmtId="3" fontId="21" fillId="0" borderId="0" xfId="0" applyNumberFormat="1" applyFont="1"/>
    <xf numFmtId="195" fontId="9" fillId="0" borderId="0" xfId="25" applyNumberFormat="1" applyFont="1" applyAlignment="1">
      <alignment horizontal="right"/>
    </xf>
    <xf numFmtId="195" fontId="9" fillId="0" borderId="0" xfId="25" applyNumberFormat="1" applyFont="1"/>
    <xf numFmtId="195" fontId="9" fillId="0" borderId="0" xfId="25" applyNumberFormat="1" applyFont="1" applyBorder="1" applyAlignment="1">
      <alignment horizontal="right" vertical="center"/>
    </xf>
    <xf numFmtId="3" fontId="22" fillId="0" borderId="0" xfId="0" applyNumberFormat="1" applyFont="1"/>
    <xf numFmtId="195" fontId="7" fillId="0" borderId="0" xfId="25" applyNumberFormat="1" applyFont="1" applyAlignment="1">
      <alignment horizontal="right"/>
    </xf>
    <xf numFmtId="195" fontId="7" fillId="0" borderId="0" xfId="25" applyNumberFormat="1" applyFont="1"/>
    <xf numFmtId="0" fontId="35" fillId="0" borderId="0" xfId="27" applyFont="1"/>
    <xf numFmtId="0" fontId="35" fillId="0" borderId="10" xfId="27" applyFont="1" applyBorder="1" applyAlignment="1">
      <alignment horizontal="right" vertical="center"/>
    </xf>
    <xf numFmtId="0" fontId="35" fillId="0" borderId="10" xfId="27" applyFont="1" applyBorder="1" applyAlignment="1">
      <alignment horizontal="center" vertical="center"/>
    </xf>
    <xf numFmtId="0" fontId="35" fillId="0" borderId="0" xfId="27" applyFont="1" applyAlignment="1">
      <alignment horizontal="center"/>
    </xf>
    <xf numFmtId="0" fontId="9" fillId="0" borderId="0" xfId="28" quotePrefix="1" applyFont="1" applyBorder="1"/>
    <xf numFmtId="192" fontId="21" fillId="0" borderId="0" xfId="1" applyNumberFormat="1" applyFont="1" applyAlignment="1">
      <alignment horizontal="right"/>
    </xf>
    <xf numFmtId="192" fontId="22" fillId="0" borderId="0" xfId="1" applyNumberFormat="1" applyFont="1" applyAlignment="1">
      <alignment horizontal="right"/>
    </xf>
    <xf numFmtId="0" fontId="35" fillId="0" borderId="0" xfId="30" applyFont="1" applyAlignment="1"/>
    <xf numFmtId="0" fontId="34" fillId="0" borderId="0" xfId="30" applyFont="1" applyAlignment="1"/>
    <xf numFmtId="0" fontId="21" fillId="0" borderId="0" xfId="28" applyFont="1" applyAlignment="1">
      <alignment vertical="center"/>
    </xf>
    <xf numFmtId="0" fontId="21" fillId="0" borderId="14" xfId="28" applyFont="1" applyBorder="1" applyAlignment="1">
      <alignment vertical="center"/>
    </xf>
    <xf numFmtId="196" fontId="21" fillId="0" borderId="0" xfId="28" applyNumberFormat="1" applyFont="1" applyAlignment="1">
      <alignment horizontal="right"/>
    </xf>
    <xf numFmtId="0" fontId="21" fillId="0" borderId="0" xfId="28" applyFont="1" applyBorder="1" applyAlignment="1" applyProtection="1">
      <alignment horizontal="left" vertical="center"/>
    </xf>
    <xf numFmtId="198" fontId="21" fillId="0" borderId="0" xfId="28" applyNumberFormat="1" applyFont="1" applyAlignment="1">
      <alignment horizontal="right"/>
    </xf>
    <xf numFmtId="194" fontId="21" fillId="0" borderId="0" xfId="28" applyNumberFormat="1" applyFont="1" applyAlignment="1">
      <alignment horizontal="right"/>
    </xf>
    <xf numFmtId="196" fontId="21" fillId="0" borderId="0" xfId="164" applyNumberFormat="1" applyFont="1" applyFill="1" applyBorder="1" applyAlignment="1" applyProtection="1">
      <alignment horizontal="right" vertical="center"/>
    </xf>
    <xf numFmtId="0" fontId="21" fillId="0" borderId="0" xfId="28" applyFont="1" applyAlignment="1" applyProtection="1">
      <alignment horizontal="left" vertical="center"/>
    </xf>
    <xf numFmtId="196" fontId="21" fillId="0" borderId="0" xfId="164" applyNumberFormat="1" applyFont="1" applyFill="1" applyBorder="1" applyAlignment="1" applyProtection="1">
      <alignment vertical="center"/>
    </xf>
    <xf numFmtId="0" fontId="21" fillId="0" borderId="0" xfId="28" applyFont="1" applyAlignment="1" applyProtection="1">
      <alignment vertical="center"/>
    </xf>
    <xf numFmtId="0" fontId="22" fillId="0" borderId="0" xfId="28" applyFont="1" applyAlignment="1">
      <alignment vertical="center"/>
    </xf>
    <xf numFmtId="196" fontId="21" fillId="0" borderId="0" xfId="28" applyNumberFormat="1" applyFont="1" applyAlignment="1">
      <alignment vertical="center"/>
    </xf>
    <xf numFmtId="194" fontId="21" fillId="0" borderId="0" xfId="28" applyNumberFormat="1" applyFont="1" applyAlignment="1">
      <alignment vertical="center"/>
    </xf>
    <xf numFmtId="0" fontId="21" fillId="0" borderId="0" xfId="0" applyFont="1"/>
    <xf numFmtId="196" fontId="22" fillId="0" borderId="0" xfId="28" applyNumberFormat="1" applyFont="1" applyAlignment="1">
      <alignment horizontal="right" vertical="center"/>
    </xf>
    <xf numFmtId="2" fontId="22" fillId="0" borderId="0" xfId="28" applyNumberFormat="1" applyFont="1" applyAlignment="1">
      <alignment horizontal="center" vertical="center"/>
    </xf>
    <xf numFmtId="194" fontId="22" fillId="0" borderId="0" xfId="28" applyNumberFormat="1" applyFont="1" applyAlignment="1">
      <alignment horizontal="right" vertical="center"/>
    </xf>
    <xf numFmtId="196" fontId="22" fillId="0" borderId="0" xfId="164" applyNumberFormat="1" applyFont="1" applyFill="1" applyBorder="1" applyAlignment="1" applyProtection="1">
      <alignment horizontal="right" vertical="center"/>
    </xf>
    <xf numFmtId="0" fontId="22" fillId="0" borderId="0" xfId="28" applyFont="1" applyAlignment="1">
      <alignment horizontal="center" vertical="center"/>
    </xf>
    <xf numFmtId="194" fontId="22" fillId="0" borderId="0" xfId="21" applyNumberFormat="1" applyFont="1" applyFill="1" applyBorder="1" applyAlignment="1" applyProtection="1">
      <alignment horizontal="right" vertical="center"/>
    </xf>
    <xf numFmtId="0" fontId="37" fillId="0" borderId="0" xfId="0" applyFont="1"/>
    <xf numFmtId="0" fontId="21" fillId="0" borderId="0" xfId="28" applyFont="1" applyBorder="1" applyAlignment="1" applyProtection="1">
      <alignment horizontal="left"/>
    </xf>
    <xf numFmtId="0" fontId="21" fillId="0" borderId="0" xfId="0" applyFont="1" applyAlignment="1"/>
    <xf numFmtId="0" fontId="21" fillId="0" borderId="0" xfId="28" applyFont="1" applyAlignment="1">
      <alignment horizontal="right"/>
    </xf>
    <xf numFmtId="3" fontId="21" fillId="0" borderId="0" xfId="0" applyNumberFormat="1" applyFont="1" applyAlignment="1">
      <alignment horizontal="right"/>
    </xf>
    <xf numFmtId="0" fontId="21" fillId="0" borderId="0" xfId="28" applyFont="1" applyAlignment="1" applyProtection="1">
      <alignment horizontal="left"/>
    </xf>
    <xf numFmtId="3" fontId="21" fillId="0" borderId="0" xfId="28" applyNumberFormat="1" applyFont="1" applyAlignment="1">
      <alignment horizontal="right"/>
    </xf>
    <xf numFmtId="3" fontId="38" fillId="0" borderId="0" xfId="0" applyNumberFormat="1" applyFont="1" applyAlignment="1"/>
    <xf numFmtId="0" fontId="10" fillId="0" borderId="0" xfId="0" applyFont="1" applyAlignment="1">
      <alignment horizontal="right"/>
    </xf>
    <xf numFmtId="0" fontId="37" fillId="0" borderId="0" xfId="0" applyFont="1" applyAlignment="1"/>
    <xf numFmtId="0" fontId="39" fillId="0" borderId="0" xfId="28" applyFont="1" applyAlignment="1">
      <alignment horizontal="right"/>
    </xf>
    <xf numFmtId="0" fontId="21" fillId="0" borderId="0" xfId="28" applyFont="1" applyAlignment="1"/>
    <xf numFmtId="193" fontId="21" fillId="0" borderId="0" xfId="1" applyNumberFormat="1" applyFont="1" applyAlignment="1">
      <alignment vertical="center"/>
    </xf>
    <xf numFmtId="0" fontId="21" fillId="0" borderId="0" xfId="28" applyFont="1" applyAlignment="1" applyProtection="1"/>
    <xf numFmtId="3" fontId="40" fillId="0" borderId="0" xfId="0" applyNumberFormat="1" applyFont="1" applyAlignment="1"/>
    <xf numFmtId="193" fontId="22" fillId="0" borderId="0" xfId="1" applyNumberFormat="1" applyFont="1" applyAlignment="1">
      <alignment vertical="center"/>
    </xf>
    <xf numFmtId="3" fontId="38" fillId="0" borderId="0" xfId="28" applyNumberFormat="1" applyFont="1" applyAlignment="1"/>
    <xf numFmtId="3" fontId="21" fillId="0" borderId="0" xfId="28" applyNumberFormat="1" applyFont="1" applyAlignment="1">
      <alignment vertical="center"/>
    </xf>
    <xf numFmtId="0" fontId="22" fillId="0" borderId="0" xfId="28" applyFont="1" applyAlignment="1">
      <alignment horizontal="center"/>
    </xf>
    <xf numFmtId="3" fontId="22" fillId="0" borderId="0" xfId="28" applyNumberFormat="1" applyFont="1" applyAlignment="1">
      <alignment horizontal="right"/>
    </xf>
    <xf numFmtId="0" fontId="22" fillId="0" borderId="16" xfId="28" applyFont="1" applyBorder="1" applyAlignment="1">
      <alignment horizontal="right" vertical="center"/>
    </xf>
    <xf numFmtId="0" fontId="22" fillId="0" borderId="16" xfId="28" applyFont="1" applyBorder="1" applyAlignment="1">
      <alignment horizontal="center" vertical="center"/>
    </xf>
    <xf numFmtId="0" fontId="22" fillId="0" borderId="0" xfId="28" applyFont="1" applyAlignment="1"/>
    <xf numFmtId="0" fontId="21" fillId="0" borderId="0" xfId="28" applyFont="1" applyBorder="1" applyAlignment="1">
      <alignment vertical="center"/>
    </xf>
    <xf numFmtId="41" fontId="21" fillId="0" borderId="14" xfId="28" applyNumberFormat="1" applyFont="1" applyBorder="1" applyAlignment="1">
      <alignment vertical="center"/>
    </xf>
    <xf numFmtId="41" fontId="21" fillId="0" borderId="14" xfId="27" applyNumberFormat="1" applyFont="1" applyBorder="1" applyAlignment="1">
      <alignment vertical="center"/>
    </xf>
    <xf numFmtId="0" fontId="21" fillId="0" borderId="14" xfId="27" applyFont="1" applyBorder="1" applyAlignment="1">
      <alignment vertical="center"/>
    </xf>
    <xf numFmtId="196" fontId="21" fillId="0" borderId="0" xfId="1" applyNumberFormat="1" applyFont="1" applyAlignment="1">
      <alignment horizontal="right"/>
    </xf>
    <xf numFmtId="0" fontId="41" fillId="0" borderId="0" xfId="27" applyFont="1" applyAlignment="1">
      <alignment vertical="center"/>
    </xf>
    <xf numFmtId="196" fontId="21" fillId="0" borderId="0" xfId="650" applyNumberFormat="1" applyFont="1" applyFill="1" applyBorder="1" applyAlignment="1" applyProtection="1">
      <alignment horizontal="right" vertical="center"/>
    </xf>
    <xf numFmtId="0" fontId="41" fillId="0" borderId="0" xfId="27" applyFont="1" applyBorder="1" applyAlignment="1">
      <alignment vertical="center"/>
    </xf>
    <xf numFmtId="0" fontId="41" fillId="0" borderId="0" xfId="27" applyFont="1" applyAlignment="1" applyProtection="1">
      <alignment horizontal="left" vertical="center"/>
    </xf>
    <xf numFmtId="0" fontId="41" fillId="0" borderId="0" xfId="27" applyFont="1" applyBorder="1" applyAlignment="1" applyProtection="1">
      <alignment horizontal="left" vertical="center"/>
    </xf>
    <xf numFmtId="0" fontId="22" fillId="0" borderId="0" xfId="27" applyFont="1" applyBorder="1" applyAlignment="1">
      <alignment horizontal="center" vertical="center"/>
    </xf>
    <xf numFmtId="41" fontId="22" fillId="0" borderId="0" xfId="28" applyNumberFormat="1" applyFont="1" applyBorder="1" applyAlignment="1">
      <alignment horizontal="right" vertical="center"/>
    </xf>
    <xf numFmtId="195" fontId="22" fillId="0" borderId="0" xfId="27" applyNumberFormat="1" applyFont="1" applyAlignment="1">
      <alignment horizontal="center" vertical="center"/>
    </xf>
    <xf numFmtId="192" fontId="21" fillId="0" borderId="0" xfId="1" applyNumberFormat="1" applyFont="1" applyAlignment="1">
      <alignment horizontal="right" vertical="center"/>
    </xf>
    <xf numFmtId="192" fontId="37" fillId="0" borderId="0" xfId="1" applyNumberFormat="1" applyFont="1"/>
    <xf numFmtId="0" fontId="22" fillId="0" borderId="0" xfId="27" applyFont="1" applyAlignment="1">
      <alignment horizontal="center" vertical="center"/>
    </xf>
    <xf numFmtId="3" fontId="22" fillId="0" borderId="16" xfId="650" applyNumberFormat="1" applyFont="1" applyFill="1" applyBorder="1" applyAlignment="1" applyProtection="1">
      <alignment horizontal="right" vertical="center"/>
    </xf>
    <xf numFmtId="195" fontId="22" fillId="0" borderId="16" xfId="650" applyNumberFormat="1" applyFont="1" applyFill="1" applyBorder="1" applyAlignment="1" applyProtection="1">
      <alignment horizontal="right" vertical="center"/>
    </xf>
    <xf numFmtId="0" fontId="22" fillId="0" borderId="16" xfId="27" applyFont="1" applyBorder="1" applyAlignment="1">
      <alignment horizontal="center" vertical="center"/>
    </xf>
    <xf numFmtId="0" fontId="35" fillId="0" borderId="0" xfId="28" applyFont="1" applyAlignment="1">
      <alignment vertical="center"/>
    </xf>
    <xf numFmtId="0" fontId="35" fillId="0" borderId="0" xfId="28" applyFont="1" applyAlignment="1"/>
    <xf numFmtId="196" fontId="22" fillId="0" borderId="0" xfId="554" applyNumberFormat="1" applyFont="1" applyFill="1" applyBorder="1" applyAlignment="1" applyProtection="1">
      <alignment horizontal="right"/>
    </xf>
    <xf numFmtId="196" fontId="22" fillId="0" borderId="0" xfId="158" applyNumberFormat="1" applyFont="1" applyFill="1" applyBorder="1" applyAlignment="1" applyProtection="1">
      <alignment horizontal="right"/>
    </xf>
    <xf numFmtId="196" fontId="22" fillId="0" borderId="0" xfId="343" applyNumberFormat="1" applyFont="1" applyFill="1" applyBorder="1" applyAlignment="1" applyProtection="1">
      <alignment horizontal="right"/>
    </xf>
    <xf numFmtId="192" fontId="37" fillId="0" borderId="0" xfId="1" applyNumberFormat="1" applyFont="1" applyAlignment="1">
      <alignment horizontal="right"/>
    </xf>
    <xf numFmtId="0" fontId="22" fillId="0" borderId="0" xfId="28" applyFont="1" applyBorder="1" applyAlignment="1">
      <alignment horizontal="center"/>
    </xf>
    <xf numFmtId="188" fontId="22" fillId="0" borderId="0" xfId="26" applyNumberFormat="1" applyFont="1" applyBorder="1"/>
    <xf numFmtId="190" fontId="21" fillId="0" borderId="0" xfId="27" applyNumberFormat="1" applyFont="1" applyAlignment="1">
      <alignment vertical="center"/>
    </xf>
    <xf numFmtId="0" fontId="22" fillId="0" borderId="0" xfId="28" applyFont="1" applyBorder="1" applyAlignment="1">
      <alignment horizontal="center"/>
    </xf>
    <xf numFmtId="196" fontId="22" fillId="0" borderId="0" xfId="14" applyNumberFormat="1" applyFont="1" applyFill="1" applyBorder="1" applyAlignment="1" applyProtection="1">
      <alignment horizontal="right"/>
    </xf>
    <xf numFmtId="196" fontId="21" fillId="0" borderId="0" xfId="14" applyNumberFormat="1" applyFont="1" applyFill="1" applyBorder="1" applyAlignment="1" applyProtection="1">
      <alignment horizontal="right"/>
    </xf>
    <xf numFmtId="0" fontId="35" fillId="0" borderId="0" xfId="28" applyFont="1" applyAlignment="1">
      <alignment horizontal="left"/>
    </xf>
    <xf numFmtId="0" fontId="35" fillId="0" borderId="0" xfId="27" applyFont="1" applyAlignment="1">
      <alignment horizontal="left"/>
    </xf>
    <xf numFmtId="0" fontId="22" fillId="0" borderId="0" xfId="28" applyFont="1" applyAlignment="1">
      <alignment horizontal="left"/>
    </xf>
    <xf numFmtId="0" fontId="21" fillId="0" borderId="0" xfId="28" applyFont="1" applyAlignment="1">
      <alignment horizontal="left"/>
    </xf>
    <xf numFmtId="0" fontId="21" fillId="0" borderId="14" xfId="28" applyFont="1" applyBorder="1" applyAlignment="1">
      <alignment horizontal="left"/>
    </xf>
    <xf numFmtId="0" fontId="9" fillId="0" borderId="0" xfId="28" quotePrefix="1" applyFont="1" applyBorder="1" applyAlignment="1">
      <alignment horizontal="left"/>
    </xf>
    <xf numFmtId="196" fontId="22" fillId="0" borderId="0" xfId="113" applyNumberFormat="1" applyFont="1" applyFill="1" applyBorder="1" applyAlignment="1" applyProtection="1">
      <alignment horizontal="right"/>
    </xf>
    <xf numFmtId="0" fontId="34" fillId="0" borderId="0" xfId="28" applyFont="1" applyAlignment="1"/>
    <xf numFmtId="0" fontId="35" fillId="0" borderId="0" xfId="27" applyFont="1" applyAlignment="1"/>
    <xf numFmtId="0" fontId="22" fillId="0" borderId="16" xfId="28" applyFont="1" applyBorder="1" applyAlignment="1">
      <alignment horizontal="center"/>
    </xf>
    <xf numFmtId="0" fontId="22" fillId="0" borderId="16" xfId="28" applyFont="1" applyBorder="1" applyAlignment="1">
      <alignment horizontal="right"/>
    </xf>
    <xf numFmtId="195" fontId="22" fillId="0" borderId="0" xfId="158" applyNumberFormat="1" applyFont="1" applyFill="1" applyBorder="1" applyAlignment="1" applyProtection="1">
      <alignment horizontal="right"/>
    </xf>
    <xf numFmtId="3" fontId="22" fillId="0" borderId="0" xfId="0" applyNumberFormat="1" applyFont="1" applyAlignment="1">
      <alignment horizontal="right"/>
    </xf>
    <xf numFmtId="3" fontId="22" fillId="0" borderId="0" xfId="0" applyNumberFormat="1" applyFont="1" applyAlignment="1"/>
    <xf numFmtId="195" fontId="22" fillId="0" borderId="0" xfId="28" applyNumberFormat="1" applyFont="1" applyAlignment="1">
      <alignment horizontal="center"/>
    </xf>
    <xf numFmtId="195" fontId="21" fillId="0" borderId="0" xfId="158" applyNumberFormat="1" applyFont="1" applyFill="1" applyBorder="1" applyAlignment="1" applyProtection="1">
      <alignment horizontal="right"/>
    </xf>
    <xf numFmtId="195" fontId="22" fillId="0" borderId="0" xfId="158" applyNumberFormat="1" applyFont="1" applyFill="1" applyBorder="1" applyAlignment="1" applyProtection="1"/>
    <xf numFmtId="0" fontId="39" fillId="0" borderId="0" xfId="0" applyFont="1" applyAlignment="1">
      <alignment horizontal="right"/>
    </xf>
    <xf numFmtId="17" fontId="21" fillId="0" borderId="0" xfId="28" applyNumberFormat="1" applyFont="1" applyAlignment="1">
      <alignment horizontal="left"/>
    </xf>
    <xf numFmtId="0" fontId="21" fillId="0" borderId="0" xfId="28" applyFont="1" applyBorder="1" applyAlignment="1">
      <alignment horizontal="left"/>
    </xf>
    <xf numFmtId="196" fontId="21" fillId="0" borderId="0" xfId="158" applyNumberFormat="1" applyFont="1" applyFill="1" applyBorder="1" applyAlignment="1" applyProtection="1">
      <alignment horizontal="right"/>
    </xf>
    <xf numFmtId="196" fontId="21" fillId="0" borderId="0" xfId="113" applyNumberFormat="1" applyFont="1" applyFill="1" applyBorder="1" applyAlignment="1" applyProtection="1">
      <alignment horizontal="right"/>
    </xf>
    <xf numFmtId="0" fontId="21" fillId="0" borderId="14" xfId="28" applyFont="1" applyBorder="1" applyAlignment="1"/>
    <xf numFmtId="3" fontId="21" fillId="0" borderId="0" xfId="28" applyNumberFormat="1" applyFont="1" applyAlignment="1"/>
    <xf numFmtId="0" fontId="9" fillId="0" borderId="0" xfId="28" quotePrefix="1" applyFont="1" applyBorder="1" applyAlignment="1"/>
    <xf numFmtId="196" fontId="21" fillId="0" borderId="0" xfId="28" applyNumberFormat="1" applyFont="1" applyAlignment="1"/>
    <xf numFmtId="3" fontId="21" fillId="0" borderId="0" xfId="0" applyNumberFormat="1" applyFont="1" applyAlignment="1"/>
    <xf numFmtId="0" fontId="22" fillId="0" borderId="16" xfId="28" applyFont="1" applyBorder="1" applyAlignment="1">
      <alignment horizontal="left"/>
    </xf>
    <xf numFmtId="0" fontId="22" fillId="0" borderId="0" xfId="28" applyFont="1" applyBorder="1" applyAlignment="1">
      <alignment horizontal="left"/>
    </xf>
    <xf numFmtId="196" fontId="22" fillId="0" borderId="0" xfId="17" applyNumberFormat="1" applyFont="1" applyFill="1" applyBorder="1" applyAlignment="1" applyProtection="1">
      <alignment horizontal="right"/>
    </xf>
    <xf numFmtId="3" fontId="22" fillId="0" borderId="0" xfId="28" applyNumberFormat="1" applyFont="1" applyAlignment="1"/>
    <xf numFmtId="3" fontId="37" fillId="0" borderId="0" xfId="28" applyNumberFormat="1" applyFont="1" applyAlignment="1"/>
    <xf numFmtId="192" fontId="37" fillId="0" borderId="0" xfId="1" applyNumberFormat="1" applyFont="1" applyAlignment="1"/>
    <xf numFmtId="0" fontId="36" fillId="0" borderId="0" xfId="28" applyFont="1" applyAlignment="1"/>
    <xf numFmtId="0" fontId="36" fillId="0" borderId="0" xfId="28" applyFont="1" applyBorder="1" applyAlignment="1"/>
    <xf numFmtId="196" fontId="21" fillId="0" borderId="0" xfId="554" applyNumberFormat="1" applyFont="1" applyFill="1" applyBorder="1" applyAlignment="1" applyProtection="1">
      <alignment horizontal="right"/>
    </xf>
    <xf numFmtId="0" fontId="36" fillId="0" borderId="14" xfId="28" applyFont="1" applyBorder="1" applyAlignment="1"/>
    <xf numFmtId="190" fontId="21" fillId="0" borderId="14" xfId="28" applyNumberFormat="1" applyFont="1" applyBorder="1" applyAlignment="1">
      <alignment horizontal="right"/>
    </xf>
    <xf numFmtId="196" fontId="21" fillId="0" borderId="14" xfId="28" applyNumberFormat="1" applyFont="1" applyBorder="1" applyAlignment="1">
      <alignment horizontal="right"/>
    </xf>
    <xf numFmtId="195" fontId="22" fillId="0" borderId="16" xfId="19" applyNumberFormat="1" applyFont="1" applyFill="1" applyBorder="1" applyAlignment="1" applyProtection="1">
      <alignment horizontal="right" vertical="center"/>
    </xf>
    <xf numFmtId="3" fontId="22" fillId="0" borderId="16" xfId="19" applyNumberFormat="1" applyFont="1" applyFill="1" applyBorder="1" applyAlignment="1" applyProtection="1">
      <alignment horizontal="right" vertical="center"/>
    </xf>
    <xf numFmtId="41" fontId="21" fillId="0" borderId="0" xfId="0" applyNumberFormat="1" applyFont="1" applyAlignment="1">
      <alignment horizontal="right"/>
    </xf>
    <xf numFmtId="196" fontId="21" fillId="0" borderId="0" xfId="22" applyNumberFormat="1" applyFont="1" applyFill="1" applyBorder="1" applyAlignment="1" applyProtection="1">
      <alignment horizontal="right"/>
    </xf>
    <xf numFmtId="196" fontId="21" fillId="0" borderId="0" xfId="22" applyNumberFormat="1" applyFont="1" applyFill="1" applyBorder="1" applyAlignment="1" applyProtection="1"/>
    <xf numFmtId="196" fontId="21" fillId="0" borderId="1" xfId="0" applyNumberFormat="1" applyFont="1" applyBorder="1" applyAlignment="1">
      <alignment horizontal="right"/>
    </xf>
    <xf numFmtId="0" fontId="22" fillId="0" borderId="16" xfId="30" applyFont="1" applyBorder="1" applyAlignment="1">
      <alignment horizontal="center"/>
    </xf>
    <xf numFmtId="0" fontId="22" fillId="0" borderId="16" xfId="30" applyFont="1" applyBorder="1" applyAlignment="1">
      <alignment horizontal="right"/>
    </xf>
    <xf numFmtId="0" fontId="22" fillId="0" borderId="0" xfId="30" applyFont="1" applyAlignment="1"/>
    <xf numFmtId="0" fontId="22" fillId="0" borderId="0" xfId="30" applyFont="1" applyAlignment="1">
      <alignment horizontal="center"/>
    </xf>
    <xf numFmtId="195" fontId="22" fillId="0" borderId="0" xfId="589" applyNumberFormat="1" applyFont="1" applyFill="1" applyBorder="1" applyAlignment="1" applyProtection="1">
      <alignment horizontal="right"/>
    </xf>
    <xf numFmtId="0" fontId="21" fillId="0" borderId="0" xfId="30" applyFont="1" applyAlignment="1"/>
    <xf numFmtId="192" fontId="22" fillId="0" borderId="0" xfId="1" applyNumberFormat="1" applyFont="1" applyFill="1" applyBorder="1" applyAlignment="1" applyProtection="1">
      <alignment horizontal="right"/>
    </xf>
    <xf numFmtId="192" fontId="21" fillId="0" borderId="0" xfId="1" applyNumberFormat="1" applyFont="1" applyFill="1" applyBorder="1" applyAlignment="1" applyProtection="1">
      <alignment horizontal="right"/>
    </xf>
    <xf numFmtId="0" fontId="36" fillId="0" borderId="0" xfId="30" applyFont="1" applyBorder="1" applyAlignment="1"/>
    <xf numFmtId="0" fontId="21" fillId="0" borderId="0" xfId="30" applyFont="1" applyAlignment="1" applyProtection="1">
      <alignment horizontal="left"/>
    </xf>
    <xf numFmtId="0" fontId="21" fillId="0" borderId="0" xfId="30" applyFont="1" applyBorder="1" applyAlignment="1" applyProtection="1">
      <alignment horizontal="left"/>
    </xf>
    <xf numFmtId="197" fontId="21" fillId="0" borderId="0" xfId="30" applyNumberFormat="1" applyFont="1" applyBorder="1" applyAlignment="1" applyProtection="1">
      <alignment horizontal="left"/>
    </xf>
    <xf numFmtId="192" fontId="9" fillId="0" borderId="0" xfId="1" applyNumberFormat="1" applyFont="1" applyBorder="1" applyAlignment="1">
      <alignment horizontal="right"/>
    </xf>
    <xf numFmtId="0" fontId="22" fillId="0" borderId="0" xfId="30" applyFont="1" applyBorder="1" applyAlignment="1">
      <alignment horizontal="center"/>
    </xf>
    <xf numFmtId="196" fontId="22" fillId="0" borderId="0" xfId="589" applyNumberFormat="1" applyFont="1" applyFill="1" applyBorder="1" applyAlignment="1" applyProtection="1">
      <alignment horizontal="right"/>
    </xf>
    <xf numFmtId="196" fontId="22" fillId="0" borderId="0" xfId="24" applyNumberFormat="1" applyFont="1" applyFill="1" applyBorder="1" applyAlignment="1" applyProtection="1">
      <alignment horizontal="right"/>
    </xf>
    <xf numFmtId="196" fontId="21" fillId="0" borderId="0" xfId="589" applyNumberFormat="1" applyFont="1" applyFill="1" applyBorder="1" applyAlignment="1" applyProtection="1">
      <alignment horizontal="right"/>
    </xf>
    <xf numFmtId="196" fontId="21" fillId="0" borderId="0" xfId="24" applyNumberFormat="1" applyFont="1" applyFill="1" applyBorder="1" applyAlignment="1" applyProtection="1">
      <alignment horizontal="right"/>
    </xf>
    <xf numFmtId="196" fontId="9" fillId="0" borderId="0" xfId="30" applyNumberFormat="1" applyFont="1" applyBorder="1" applyAlignment="1">
      <alignment horizontal="right"/>
    </xf>
    <xf numFmtId="0" fontId="21" fillId="0" borderId="14" xfId="30" applyFont="1" applyBorder="1" applyAlignment="1"/>
    <xf numFmtId="196" fontId="9" fillId="0" borderId="1" xfId="30" applyNumberFormat="1" applyFont="1" applyBorder="1" applyAlignment="1">
      <alignment horizontal="right"/>
    </xf>
    <xf numFmtId="0" fontId="9" fillId="0" borderId="0" xfId="28" quotePrefix="1" applyFont="1" applyAlignment="1"/>
    <xf numFmtId="196" fontId="21" fillId="0" borderId="0" xfId="21" applyNumberFormat="1" applyFont="1" applyFill="1" applyBorder="1" applyAlignment="1" applyProtection="1">
      <alignment horizontal="right" vertical="center"/>
    </xf>
    <xf numFmtId="196" fontId="21" fillId="0" borderId="0" xfId="21" applyNumberFormat="1" applyFont="1" applyFill="1" applyBorder="1" applyAlignment="1" applyProtection="1">
      <alignment vertical="center"/>
    </xf>
    <xf numFmtId="196" fontId="22" fillId="0" borderId="0" xfId="22" applyNumberFormat="1" applyFont="1" applyFill="1" applyBorder="1" applyAlignment="1" applyProtection="1">
      <alignment horizontal="right"/>
    </xf>
    <xf numFmtId="195" fontId="22" fillId="0" borderId="0" xfId="343" applyNumberFormat="1" applyFont="1" applyFill="1" applyBorder="1" applyAlignment="1" applyProtection="1">
      <alignment horizontal="right"/>
    </xf>
    <xf numFmtId="194" fontId="22" fillId="0" borderId="0" xfId="343" applyNumberFormat="1" applyFont="1" applyFill="1" applyBorder="1" applyAlignment="1" applyProtection="1">
      <alignment horizontal="right"/>
    </xf>
    <xf numFmtId="194" fontId="21" fillId="0" borderId="0" xfId="343" applyNumberFormat="1" applyFont="1" applyFill="1" applyBorder="1" applyAlignment="1" applyProtection="1">
      <alignment horizontal="right"/>
    </xf>
    <xf numFmtId="193" fontId="22" fillId="0" borderId="0" xfId="28" applyNumberFormat="1" applyFont="1" applyAlignment="1">
      <alignment horizontal="center"/>
    </xf>
    <xf numFmtId="193" fontId="22" fillId="0" borderId="0" xfId="28" applyNumberFormat="1" applyFont="1" applyAlignment="1">
      <alignment horizontal="left"/>
    </xf>
    <xf numFmtId="195" fontId="21" fillId="0" borderId="0" xfId="343" applyNumberFormat="1" applyFont="1" applyFill="1" applyBorder="1" applyAlignment="1" applyProtection="1">
      <alignment horizontal="right"/>
    </xf>
    <xf numFmtId="0" fontId="36" fillId="0" borderId="0" xfId="28" applyFont="1" applyBorder="1" applyAlignment="1">
      <alignment horizontal="left"/>
    </xf>
    <xf numFmtId="192" fontId="21" fillId="0" borderId="0" xfId="1" applyNumberFormat="1" applyFont="1" applyAlignment="1"/>
    <xf numFmtId="197" fontId="21" fillId="0" borderId="0" xfId="28" applyNumberFormat="1" applyFont="1" applyBorder="1" applyAlignment="1" applyProtection="1">
      <alignment horizontal="left"/>
    </xf>
    <xf numFmtId="196" fontId="22" fillId="0" borderId="0" xfId="21" applyNumberFormat="1" applyFont="1" applyFill="1" applyBorder="1" applyAlignment="1" applyProtection="1">
      <alignment horizontal="right"/>
    </xf>
    <xf numFmtId="196" fontId="22" fillId="0" borderId="0" xfId="164" applyNumberFormat="1" applyFont="1" applyFill="1" applyBorder="1" applyAlignment="1" applyProtection="1">
      <alignment horizontal="right"/>
    </xf>
    <xf numFmtId="196" fontId="21" fillId="0" borderId="0" xfId="21" applyNumberFormat="1" applyFont="1" applyFill="1" applyBorder="1" applyAlignment="1" applyProtection="1">
      <alignment horizontal="right"/>
    </xf>
    <xf numFmtId="196" fontId="21" fillId="0" borderId="0" xfId="164" applyNumberFormat="1" applyFont="1" applyFill="1" applyBorder="1" applyAlignment="1" applyProtection="1">
      <alignment horizontal="right"/>
    </xf>
    <xf numFmtId="0" fontId="22" fillId="0" borderId="0" xfId="28" applyFont="1" applyBorder="1" applyAlignment="1">
      <alignment horizontal="center" vertical="center"/>
    </xf>
    <xf numFmtId="0" fontId="22" fillId="0" borderId="0" xfId="28" applyFont="1" applyBorder="1" applyAlignment="1">
      <alignment horizontal="center"/>
    </xf>
    <xf numFmtId="0" fontId="13" fillId="0" borderId="16" xfId="28" applyFont="1" applyBorder="1" applyAlignment="1">
      <alignment horizontal="center"/>
    </xf>
    <xf numFmtId="0" fontId="13" fillId="0" borderId="16" xfId="28" applyFont="1" applyBorder="1" applyAlignment="1">
      <alignment horizontal="right"/>
    </xf>
    <xf numFmtId="0" fontId="13" fillId="0" borderId="0" xfId="28" applyFont="1" applyAlignment="1"/>
    <xf numFmtId="0" fontId="22" fillId="0" borderId="0" xfId="28" applyFont="1" applyBorder="1" applyAlignment="1">
      <alignment horizontal="center" vertical="center"/>
    </xf>
    <xf numFmtId="195" fontId="20" fillId="0" borderId="0" xfId="28" applyNumberFormat="1" applyFont="1" applyAlignment="1">
      <alignment horizontal="center" vertical="center"/>
    </xf>
    <xf numFmtId="0" fontId="7" fillId="0" borderId="0" xfId="28" applyFont="1" applyAlignment="1">
      <alignment vertical="center"/>
    </xf>
    <xf numFmtId="0" fontId="45" fillId="0" borderId="0" xfId="28" applyFont="1" applyAlignment="1" applyProtection="1">
      <alignment horizontal="left"/>
    </xf>
    <xf numFmtId="0" fontId="45" fillId="0" borderId="0" xfId="28" applyFont="1" applyBorder="1" applyAlignment="1" applyProtection="1">
      <alignment horizontal="left"/>
    </xf>
    <xf numFmtId="0" fontId="45" fillId="0" borderId="0" xfId="28" applyFont="1" applyBorder="1" applyAlignment="1"/>
    <xf numFmtId="0" fontId="45" fillId="0" borderId="0" xfId="28" applyFont="1" applyAlignment="1"/>
    <xf numFmtId="0" fontId="19" fillId="0" borderId="0" xfId="27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192" fontId="9" fillId="0" borderId="0" xfId="1" applyNumberFormat="1" applyFont="1" applyAlignment="1">
      <alignment horizontal="right"/>
    </xf>
    <xf numFmtId="41" fontId="9" fillId="0" borderId="0" xfId="0" applyNumberFormat="1" applyFont="1" applyAlignment="1">
      <alignment horizontal="right"/>
    </xf>
    <xf numFmtId="192" fontId="7" fillId="0" borderId="0" xfId="1" applyNumberFormat="1" applyFont="1" applyAlignment="1">
      <alignment horizontal="right"/>
    </xf>
    <xf numFmtId="41" fontId="7" fillId="0" borderId="0" xfId="27" applyNumberFormat="1" applyFont="1" applyBorder="1" applyAlignment="1">
      <alignment horizontal="right" vertical="center"/>
    </xf>
    <xf numFmtId="194" fontId="7" fillId="0" borderId="0" xfId="21" applyNumberFormat="1" applyFont="1" applyFill="1" applyBorder="1" applyAlignment="1" applyProtection="1">
      <alignment horizontal="right" vertical="center"/>
    </xf>
    <xf numFmtId="41" fontId="9" fillId="0" borderId="0" xfId="650" applyNumberFormat="1" applyFont="1" applyFill="1" applyBorder="1" applyAlignment="1" applyProtection="1">
      <alignment vertical="center"/>
    </xf>
    <xf numFmtId="3" fontId="13" fillId="0" borderId="0" xfId="27" applyNumberFormat="1" applyFont="1" applyAlignment="1">
      <alignment horizontal="right" vertical="center"/>
    </xf>
    <xf numFmtId="192" fontId="13" fillId="0" borderId="0" xfId="1" applyNumberFormat="1" applyFont="1" applyAlignment="1">
      <alignment horizontal="right"/>
    </xf>
    <xf numFmtId="3" fontId="9" fillId="0" borderId="0" xfId="28" applyNumberFormat="1" applyFont="1" applyAlignment="1">
      <alignment vertical="center"/>
    </xf>
    <xf numFmtId="0" fontId="7" fillId="0" borderId="0" xfId="27" applyFont="1" applyAlignment="1">
      <alignment horizontal="center"/>
    </xf>
    <xf numFmtId="3" fontId="7" fillId="0" borderId="16" xfId="650" applyNumberFormat="1" applyFont="1" applyFill="1" applyBorder="1" applyAlignment="1" applyProtection="1">
      <alignment horizontal="right" vertical="center"/>
    </xf>
    <xf numFmtId="41" fontId="9" fillId="0" borderId="14" xfId="27" applyNumberFormat="1" applyFont="1" applyBorder="1" applyAlignment="1">
      <alignment vertical="center"/>
    </xf>
    <xf numFmtId="3" fontId="9" fillId="0" borderId="0" xfId="27" applyNumberFormat="1" applyFont="1" applyAlignment="1">
      <alignment vertical="center"/>
    </xf>
    <xf numFmtId="0" fontId="9" fillId="0" borderId="0" xfId="28" applyFont="1" applyAlignment="1">
      <alignment vertical="center"/>
    </xf>
    <xf numFmtId="192" fontId="46" fillId="0" borderId="0" xfId="1" applyNumberFormat="1" applyFont="1"/>
    <xf numFmtId="192" fontId="9" fillId="0" borderId="0" xfId="1" applyNumberFormat="1" applyFont="1" applyAlignment="1">
      <alignment horizontal="right" vertical="center"/>
    </xf>
    <xf numFmtId="41" fontId="7" fillId="0" borderId="0" xfId="28" applyNumberFormat="1" applyFont="1" applyBorder="1" applyAlignment="1">
      <alignment horizontal="right" vertical="center"/>
    </xf>
    <xf numFmtId="196" fontId="7" fillId="0" borderId="0" xfId="164" applyNumberFormat="1" applyFont="1" applyFill="1" applyBorder="1" applyAlignment="1" applyProtection="1">
      <alignment horizontal="right" vertical="center"/>
    </xf>
    <xf numFmtId="196" fontId="9" fillId="0" borderId="0" xfId="1" applyNumberFormat="1" applyFont="1" applyAlignment="1">
      <alignment horizontal="right"/>
    </xf>
    <xf numFmtId="199" fontId="7" fillId="0" borderId="0" xfId="28" applyNumberFormat="1" applyFont="1" applyBorder="1" applyAlignment="1">
      <alignment horizontal="right" vertical="center"/>
    </xf>
    <xf numFmtId="41" fontId="9" fillId="0" borderId="14" xfId="28" applyNumberFormat="1" applyFont="1" applyBorder="1" applyAlignment="1">
      <alignment vertical="center"/>
    </xf>
    <xf numFmtId="196" fontId="9" fillId="0" borderId="0" xfId="28" applyNumberFormat="1" applyFont="1" applyAlignment="1">
      <alignment vertical="center"/>
    </xf>
    <xf numFmtId="196" fontId="7" fillId="0" borderId="0" xfId="22" applyNumberFormat="1" applyFont="1" applyFill="1" applyBorder="1" applyAlignment="1" applyProtection="1">
      <alignment horizontal="right"/>
    </xf>
    <xf numFmtId="3" fontId="7" fillId="0" borderId="0" xfId="0" applyNumberFormat="1" applyFont="1" applyAlignment="1"/>
    <xf numFmtId="192" fontId="46" fillId="0" borderId="0" xfId="1" applyNumberFormat="1" applyFont="1" applyAlignment="1"/>
    <xf numFmtId="3" fontId="9" fillId="0" borderId="0" xfId="0" applyNumberFormat="1" applyFont="1" applyAlignment="1"/>
    <xf numFmtId="196" fontId="7" fillId="0" borderId="0" xfId="21" applyNumberFormat="1" applyFont="1" applyFill="1" applyBorder="1" applyAlignment="1" applyProtection="1">
      <alignment horizontal="right" vertical="center"/>
    </xf>
    <xf numFmtId="200" fontId="9" fillId="0" borderId="0" xfId="0" applyNumberFormat="1" applyFont="1" applyAlignment="1">
      <alignment horizontal="right"/>
    </xf>
    <xf numFmtId="196" fontId="22" fillId="0" borderId="0" xfId="21" applyNumberFormat="1" applyFont="1" applyFill="1" applyBorder="1" applyAlignment="1" applyProtection="1">
      <alignment horizontal="right" vertical="center"/>
    </xf>
    <xf numFmtId="0" fontId="35" fillId="0" borderId="0" xfId="27" applyFont="1" applyAlignment="1">
      <alignment horizontal="right"/>
    </xf>
    <xf numFmtId="0" fontId="13" fillId="0" borderId="7" xfId="0" applyFont="1" applyBorder="1" applyAlignment="1">
      <alignment horizontal="center"/>
    </xf>
    <xf numFmtId="3" fontId="22" fillId="0" borderId="0" xfId="0" quotePrefix="1" applyNumberFormat="1" applyFont="1" applyAlignment="1"/>
    <xf numFmtId="188" fontId="9" fillId="0" borderId="0" xfId="1" applyNumberFormat="1" applyFont="1"/>
    <xf numFmtId="3" fontId="9" fillId="0" borderId="0" xfId="0" applyNumberFormat="1" applyFont="1" applyAlignment="1">
      <alignment horizontal="center"/>
    </xf>
    <xf numFmtId="3" fontId="13" fillId="0" borderId="0" xfId="0" applyNumberFormat="1" applyFont="1" applyFill="1" applyAlignment="1">
      <alignment horizontal="left"/>
    </xf>
    <xf numFmtId="3" fontId="13" fillId="0" borderId="0" xfId="0" applyNumberFormat="1" applyFont="1" applyAlignment="1">
      <alignment horizontal="left"/>
    </xf>
    <xf numFmtId="3" fontId="13" fillId="0" borderId="0" xfId="0" quotePrefix="1" applyNumberFormat="1" applyFont="1" applyAlignment="1">
      <alignment horizontal="left"/>
    </xf>
    <xf numFmtId="188" fontId="9" fillId="0" borderId="0" xfId="1" applyNumberFormat="1" applyFont="1" applyBorder="1"/>
    <xf numFmtId="201" fontId="9" fillId="0" borderId="0" xfId="0" applyNumberFormat="1" applyFont="1" applyBorder="1" applyAlignment="1" applyProtection="1">
      <alignment horizontal="center"/>
    </xf>
    <xf numFmtId="188" fontId="9" fillId="0" borderId="2" xfId="1" applyNumberFormat="1" applyFont="1" applyBorder="1"/>
    <xf numFmtId="188" fontId="9" fillId="0" borderId="3" xfId="1" applyNumberFormat="1" applyFont="1" applyBorder="1"/>
    <xf numFmtId="201" fontId="9" fillId="0" borderId="0" xfId="0" applyNumberFormat="1" applyFont="1" applyAlignment="1" applyProtection="1">
      <alignment horizontal="center"/>
    </xf>
    <xf numFmtId="202" fontId="9" fillId="0" borderId="0" xfId="0" quotePrefix="1" applyNumberFormat="1" applyFont="1" applyAlignment="1" applyProtection="1">
      <alignment horizontal="center"/>
    </xf>
    <xf numFmtId="202" fontId="9" fillId="0" borderId="0" xfId="0" applyNumberFormat="1" applyFont="1" applyAlignment="1" applyProtection="1">
      <alignment horizontal="center"/>
    </xf>
    <xf numFmtId="188" fontId="7" fillId="0" borderId="6" xfId="1" applyNumberFormat="1" applyFont="1" applyBorder="1"/>
    <xf numFmtId="188" fontId="7" fillId="0" borderId="3" xfId="1" applyNumberFormat="1" applyFont="1" applyBorder="1"/>
    <xf numFmtId="188" fontId="7" fillId="0" borderId="10" xfId="1" applyNumberFormat="1" applyFont="1" applyBorder="1" applyAlignment="1">
      <alignment horizontal="center"/>
    </xf>
    <xf numFmtId="188" fontId="7" fillId="0" borderId="11" xfId="1" applyNumberFormat="1" applyFont="1" applyBorder="1" applyAlignment="1">
      <alignment horizontal="center"/>
    </xf>
    <xf numFmtId="188" fontId="7" fillId="0" borderId="17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8" fontId="7" fillId="0" borderId="7" xfId="1" applyNumberFormat="1" applyFont="1" applyBorder="1" applyAlignment="1">
      <alignment horizontal="centerContinuous"/>
    </xf>
    <xf numFmtId="188" fontId="9" fillId="0" borderId="7" xfId="1" applyNumberFormat="1" applyFont="1" applyBorder="1" applyAlignment="1">
      <alignment horizontal="centerContinuous"/>
    </xf>
    <xf numFmtId="188" fontId="7" fillId="0" borderId="9" xfId="1" applyNumberFormat="1" applyFont="1" applyBorder="1" applyAlignment="1">
      <alignment horizontal="centerContinuous"/>
    </xf>
    <xf numFmtId="188" fontId="7" fillId="0" borderId="8" xfId="1" applyNumberFormat="1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47" fillId="0" borderId="0" xfId="0" applyFont="1"/>
    <xf numFmtId="188" fontId="47" fillId="0" borderId="0" xfId="1" applyNumberFormat="1" applyFont="1"/>
    <xf numFmtId="3" fontId="47" fillId="0" borderId="0" xfId="0" applyNumberFormat="1" applyFont="1" applyAlignment="1">
      <alignment horizontal="center"/>
    </xf>
    <xf numFmtId="3" fontId="7" fillId="0" borderId="0" xfId="0" quotePrefix="1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0" xfId="0" quotePrefix="1" applyNumberFormat="1" applyFont="1" applyAlignment="1">
      <alignment horizontal="left"/>
    </xf>
    <xf numFmtId="188" fontId="11" fillId="0" borderId="0" xfId="1" applyNumberFormat="1" applyFont="1"/>
    <xf numFmtId="3" fontId="11" fillId="0" borderId="0" xfId="0" applyNumberFormat="1" applyFont="1" applyAlignment="1">
      <alignment horizontal="center"/>
    </xf>
    <xf numFmtId="188" fontId="11" fillId="0" borderId="0" xfId="1" applyNumberFormat="1" applyFont="1" applyBorder="1"/>
    <xf numFmtId="201" fontId="11" fillId="0" borderId="0" xfId="0" applyNumberFormat="1" applyFont="1" applyBorder="1" applyAlignment="1" applyProtection="1">
      <alignment horizontal="center"/>
    </xf>
    <xf numFmtId="188" fontId="11" fillId="0" borderId="2" xfId="1" applyNumberFormat="1" applyFont="1" applyBorder="1"/>
    <xf numFmtId="188" fontId="11" fillId="0" borderId="3" xfId="1" applyNumberFormat="1" applyFont="1" applyBorder="1"/>
    <xf numFmtId="201" fontId="11" fillId="0" borderId="0" xfId="0" applyNumberFormat="1" applyFont="1" applyAlignment="1" applyProtection="1">
      <alignment horizontal="center"/>
    </xf>
    <xf numFmtId="202" fontId="11" fillId="0" borderId="0" xfId="0" quotePrefix="1" applyNumberFormat="1" applyFont="1" applyAlignment="1" applyProtection="1">
      <alignment horizontal="center"/>
    </xf>
    <xf numFmtId="202" fontId="11" fillId="0" borderId="0" xfId="0" applyNumberFormat="1" applyFont="1" applyAlignment="1" applyProtection="1">
      <alignment horizontal="center"/>
    </xf>
    <xf numFmtId="188" fontId="13" fillId="0" borderId="6" xfId="1" applyNumberFormat="1" applyFont="1" applyBorder="1"/>
    <xf numFmtId="188" fontId="13" fillId="0" borderId="3" xfId="1" applyNumberFormat="1" applyFont="1" applyBorder="1"/>
    <xf numFmtId="0" fontId="13" fillId="0" borderId="0" xfId="0" applyFont="1" applyAlignment="1">
      <alignment horizontal="center"/>
    </xf>
    <xf numFmtId="188" fontId="13" fillId="0" borderId="10" xfId="1" applyNumberFormat="1" applyFont="1" applyBorder="1" applyAlignment="1">
      <alignment horizontal="center"/>
    </xf>
    <xf numFmtId="188" fontId="13" fillId="0" borderId="11" xfId="1" applyNumberFormat="1" applyFont="1" applyBorder="1" applyAlignment="1">
      <alignment horizontal="center"/>
    </xf>
    <xf numFmtId="188" fontId="13" fillId="0" borderId="17" xfId="1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88" fontId="13" fillId="0" borderId="7" xfId="1" applyNumberFormat="1" applyFont="1" applyBorder="1" applyAlignment="1">
      <alignment horizontal="centerContinuous"/>
    </xf>
    <xf numFmtId="188" fontId="11" fillId="0" borderId="7" xfId="1" applyNumberFormat="1" applyFont="1" applyBorder="1" applyAlignment="1">
      <alignment horizontal="centerContinuous"/>
    </xf>
    <xf numFmtId="188" fontId="13" fillId="0" borderId="9" xfId="1" applyNumberFormat="1" applyFont="1" applyBorder="1" applyAlignment="1">
      <alignment horizontal="centerContinuous"/>
    </xf>
    <xf numFmtId="188" fontId="13" fillId="0" borderId="8" xfId="1" applyNumberFormat="1" applyFont="1" applyBorder="1" applyAlignment="1">
      <alignment horizontal="centerContinuous"/>
    </xf>
    <xf numFmtId="3" fontId="13" fillId="0" borderId="0" xfId="0" quotePrefix="1" applyNumberFormat="1" applyFont="1" applyFill="1" applyAlignment="1">
      <alignment horizontal="left"/>
    </xf>
    <xf numFmtId="0" fontId="34" fillId="0" borderId="0" xfId="0" applyFont="1"/>
    <xf numFmtId="188" fontId="34" fillId="0" borderId="0" xfId="1" applyNumberFormat="1" applyFont="1"/>
    <xf numFmtId="3" fontId="34" fillId="0" borderId="0" xfId="0" applyNumberFormat="1" applyFont="1" applyAlignment="1">
      <alignment horizontal="center"/>
    </xf>
    <xf numFmtId="3" fontId="35" fillId="0" borderId="0" xfId="0" applyNumberFormat="1" applyFont="1" applyFill="1" applyAlignment="1">
      <alignment horizontal="left"/>
    </xf>
    <xf numFmtId="3" fontId="35" fillId="0" borderId="0" xfId="0" applyNumberFormat="1" applyFont="1" applyAlignment="1">
      <alignment horizontal="left"/>
    </xf>
    <xf numFmtId="3" fontId="35" fillId="0" borderId="0" xfId="0" quotePrefix="1" applyNumberFormat="1" applyFont="1" applyAlignment="1">
      <alignment horizontal="left"/>
    </xf>
    <xf numFmtId="188" fontId="34" fillId="0" borderId="0" xfId="1" applyNumberFormat="1" applyFont="1" applyBorder="1"/>
    <xf numFmtId="201" fontId="34" fillId="0" borderId="0" xfId="0" applyNumberFormat="1" applyFont="1" applyBorder="1" applyAlignment="1" applyProtection="1">
      <alignment horizontal="center"/>
    </xf>
    <xf numFmtId="188" fontId="34" fillId="0" borderId="2" xfId="1" applyNumberFormat="1" applyFont="1" applyBorder="1"/>
    <xf numFmtId="188" fontId="34" fillId="0" borderId="3" xfId="1" applyNumberFormat="1" applyFont="1" applyBorder="1"/>
    <xf numFmtId="201" fontId="34" fillId="0" borderId="0" xfId="0" applyNumberFormat="1" applyFont="1" applyAlignment="1" applyProtection="1">
      <alignment horizontal="center"/>
    </xf>
    <xf numFmtId="202" fontId="34" fillId="0" borderId="0" xfId="0" quotePrefix="1" applyNumberFormat="1" applyFont="1" applyAlignment="1" applyProtection="1">
      <alignment horizontal="center"/>
    </xf>
    <xf numFmtId="202" fontId="34" fillId="0" borderId="0" xfId="0" applyNumberFormat="1" applyFont="1" applyAlignment="1" applyProtection="1">
      <alignment horizontal="center"/>
    </xf>
    <xf numFmtId="0" fontId="35" fillId="0" borderId="0" xfId="0" applyFont="1"/>
    <xf numFmtId="188" fontId="35" fillId="0" borderId="6" xfId="1" applyNumberFormat="1" applyFont="1" applyBorder="1"/>
    <xf numFmtId="188" fontId="35" fillId="0" borderId="3" xfId="1" applyNumberFormat="1" applyFont="1" applyBorder="1"/>
    <xf numFmtId="0" fontId="35" fillId="0" borderId="0" xfId="0" applyFont="1" applyAlignment="1">
      <alignment horizontal="center"/>
    </xf>
    <xf numFmtId="188" fontId="35" fillId="0" borderId="10" xfId="1" applyNumberFormat="1" applyFont="1" applyBorder="1" applyAlignment="1">
      <alignment horizontal="center"/>
    </xf>
    <xf numFmtId="188" fontId="35" fillId="0" borderId="11" xfId="1" applyNumberFormat="1" applyFont="1" applyBorder="1" applyAlignment="1">
      <alignment horizontal="center"/>
    </xf>
    <xf numFmtId="188" fontId="35" fillId="0" borderId="17" xfId="1" applyNumberFormat="1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188" fontId="35" fillId="0" borderId="7" xfId="1" applyNumberFormat="1" applyFont="1" applyBorder="1" applyAlignment="1">
      <alignment horizontal="centerContinuous"/>
    </xf>
    <xf numFmtId="188" fontId="34" fillId="0" borderId="7" xfId="1" applyNumberFormat="1" applyFont="1" applyBorder="1" applyAlignment="1">
      <alignment horizontal="centerContinuous"/>
    </xf>
    <xf numFmtId="188" fontId="35" fillId="0" borderId="9" xfId="1" applyNumberFormat="1" applyFont="1" applyBorder="1" applyAlignment="1">
      <alignment horizontal="centerContinuous"/>
    </xf>
    <xf numFmtId="188" fontId="35" fillId="0" borderId="8" xfId="1" applyNumberFormat="1" applyFont="1" applyBorder="1" applyAlignment="1">
      <alignment horizontal="centerContinuous"/>
    </xf>
    <xf numFmtId="0" fontId="35" fillId="0" borderId="7" xfId="0" applyFont="1" applyBorder="1" applyAlignment="1">
      <alignment horizontal="center"/>
    </xf>
    <xf numFmtId="3" fontId="35" fillId="0" borderId="0" xfId="0" quotePrefix="1" applyNumberFormat="1" applyFont="1" applyFill="1" applyAlignment="1">
      <alignment horizontal="left"/>
    </xf>
    <xf numFmtId="188" fontId="9" fillId="0" borderId="1" xfId="1" applyNumberFormat="1" applyFont="1" applyBorder="1"/>
    <xf numFmtId="188" fontId="9" fillId="0" borderId="5" xfId="1" applyNumberFormat="1" applyFont="1" applyBorder="1"/>
    <xf numFmtId="188" fontId="9" fillId="0" borderId="4" xfId="1" applyNumberFormat="1" applyFont="1" applyBorder="1"/>
    <xf numFmtId="201" fontId="9" fillId="0" borderId="1" xfId="0" applyNumberFormat="1" applyFont="1" applyBorder="1" applyAlignment="1" applyProtection="1">
      <alignment horizontal="center"/>
    </xf>
    <xf numFmtId="0" fontId="34" fillId="0" borderId="0" xfId="0" applyFont="1" applyAlignment="1"/>
    <xf numFmtId="0" fontId="9" fillId="0" borderId="0" xfId="0" applyFont="1" applyAlignment="1"/>
    <xf numFmtId="0" fontId="35" fillId="0" borderId="0" xfId="0" applyFont="1" applyAlignment="1"/>
    <xf numFmtId="0" fontId="21" fillId="0" borderId="0" xfId="0" applyFont="1" applyAlignment="1">
      <alignment vertical="center"/>
    </xf>
    <xf numFmtId="0" fontId="9" fillId="0" borderId="0" xfId="27" quotePrefix="1" applyFont="1" applyAlignment="1">
      <alignment vertical="center"/>
    </xf>
    <xf numFmtId="0" fontId="21" fillId="0" borderId="14" xfId="0" applyFont="1" applyBorder="1" applyAlignment="1">
      <alignment vertical="center"/>
    </xf>
    <xf numFmtId="0" fontId="34" fillId="0" borderId="1" xfId="0" applyFont="1" applyBorder="1" applyAlignment="1"/>
    <xf numFmtId="196" fontId="9" fillId="0" borderId="14" xfId="23" applyNumberFormat="1" applyFont="1" applyFill="1" applyBorder="1" applyAlignment="1" applyProtection="1">
      <alignment horizontal="right"/>
    </xf>
    <xf numFmtId="0" fontId="34" fillId="0" borderId="14" xfId="0" applyFont="1" applyBorder="1" applyAlignment="1"/>
    <xf numFmtId="196" fontId="12" fillId="0" borderId="0" xfId="23" applyNumberFormat="1" applyFont="1" applyFill="1" applyBorder="1" applyAlignment="1" applyProtection="1">
      <alignment horizontal="right"/>
    </xf>
    <xf numFmtId="195" fontId="12" fillId="0" borderId="0" xfId="23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197" fontId="9" fillId="0" borderId="0" xfId="0" applyNumberFormat="1" applyFont="1" applyBorder="1" applyAlignment="1" applyProtection="1">
      <alignment horizontal="left"/>
    </xf>
    <xf numFmtId="194" fontId="12" fillId="0" borderId="0" xfId="23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48" fillId="0" borderId="0" xfId="0" applyFont="1" applyBorder="1" applyAlignment="1"/>
    <xf numFmtId="196" fontId="22" fillId="0" borderId="0" xfId="23" applyNumberFormat="1" applyFont="1" applyFill="1" applyBorder="1" applyAlignment="1" applyProtection="1">
      <alignment horizontal="right" vertical="center"/>
    </xf>
    <xf numFmtId="190" fontId="8" fillId="0" borderId="0" xfId="0" applyNumberFormat="1" applyFont="1" applyBorder="1" applyAlignment="1">
      <alignment horizontal="right"/>
    </xf>
    <xf numFmtId="196" fontId="8" fillId="0" borderId="0" xfId="2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95" fontId="8" fillId="0" borderId="0" xfId="23" applyNumberFormat="1" applyFont="1" applyFill="1" applyBorder="1" applyAlignment="1" applyProtection="1">
      <alignment horizontal="right"/>
    </xf>
    <xf numFmtId="203" fontId="9" fillId="0" borderId="0" xfId="0" applyNumberFormat="1" applyFont="1" applyAlignment="1"/>
    <xf numFmtId="3" fontId="12" fillId="0" borderId="0" xfId="0" applyNumberFormat="1" applyFont="1" applyAlignment="1">
      <alignment horizontal="right"/>
    </xf>
    <xf numFmtId="195" fontId="12" fillId="0" borderId="0" xfId="23" applyNumberFormat="1" applyFont="1" applyFill="1" applyBorder="1" applyAlignment="1" applyProtection="1"/>
    <xf numFmtId="195" fontId="22" fillId="0" borderId="0" xfId="23" applyNumberFormat="1" applyFont="1" applyFill="1" applyBorder="1" applyAlignment="1" applyProtection="1">
      <alignment vertical="center"/>
    </xf>
    <xf numFmtId="195" fontId="8" fillId="0" borderId="0" xfId="23" applyNumberFormat="1" applyFont="1" applyFill="1" applyBorder="1" applyAlignment="1" applyProtection="1"/>
    <xf numFmtId="195" fontId="49" fillId="0" borderId="0" xfId="23" applyNumberFormat="1" applyFont="1" applyFill="1" applyBorder="1" applyAlignment="1" applyProtection="1"/>
    <xf numFmtId="195" fontId="49" fillId="0" borderId="0" xfId="23" applyNumberFormat="1" applyFont="1" applyFill="1" applyBorder="1" applyAlignment="1" applyProtection="1">
      <alignment horizontal="right"/>
    </xf>
    <xf numFmtId="0" fontId="22" fillId="0" borderId="0" xfId="0" applyFont="1" applyBorder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4" fillId="0" borderId="0" xfId="0" applyFont="1" applyAlignment="1">
      <alignment vertical="top"/>
    </xf>
    <xf numFmtId="0" fontId="34" fillId="0" borderId="0" xfId="0" applyFont="1" applyBorder="1" applyAlignment="1"/>
    <xf numFmtId="0" fontId="35" fillId="0" borderId="14" xfId="0" applyFont="1" applyBorder="1" applyAlignment="1"/>
    <xf numFmtId="0" fontId="9" fillId="0" borderId="0" xfId="3950" applyFont="1" applyAlignment="1"/>
    <xf numFmtId="0" fontId="51" fillId="0" borderId="0" xfId="3950" applyFont="1" applyFill="1" applyBorder="1"/>
    <xf numFmtId="0" fontId="9" fillId="0" borderId="0" xfId="3950" applyFont="1" applyBorder="1" applyAlignment="1"/>
    <xf numFmtId="0" fontId="21" fillId="0" borderId="0" xfId="3950" applyFont="1"/>
    <xf numFmtId="0" fontId="52" fillId="0" borderId="0" xfId="3950" applyFont="1" applyBorder="1" applyAlignment="1">
      <alignment horizontal="right"/>
    </xf>
    <xf numFmtId="3" fontId="52" fillId="0" borderId="0" xfId="3950" applyNumberFormat="1" applyFont="1" applyFill="1" applyBorder="1" applyAlignment="1">
      <alignment horizontal="right" vertical="center"/>
    </xf>
    <xf numFmtId="191" fontId="53" fillId="0" borderId="0" xfId="3950" applyNumberFormat="1" applyFont="1" applyFill="1" applyBorder="1" applyAlignment="1">
      <alignment vertical="center"/>
    </xf>
    <xf numFmtId="3" fontId="52" fillId="0" borderId="1" xfId="3950" applyNumberFormat="1" applyFont="1" applyFill="1" applyBorder="1" applyAlignment="1">
      <alignment horizontal="right" vertical="center"/>
    </xf>
    <xf numFmtId="0" fontId="9" fillId="0" borderId="1" xfId="3950" applyFont="1" applyBorder="1" applyAlignment="1"/>
    <xf numFmtId="0" fontId="21" fillId="0" borderId="14" xfId="3950" applyFont="1" applyBorder="1"/>
    <xf numFmtId="196" fontId="21" fillId="0" borderId="14" xfId="3951" applyNumberFormat="1" applyFont="1" applyFill="1" applyBorder="1" applyAlignment="1" applyProtection="1">
      <alignment horizontal="right"/>
    </xf>
    <xf numFmtId="0" fontId="9" fillId="0" borderId="14" xfId="3950" applyFont="1" applyBorder="1" applyAlignment="1"/>
    <xf numFmtId="196" fontId="12" fillId="0" borderId="0" xfId="3951" applyNumberFormat="1" applyFont="1" applyFill="1" applyBorder="1" applyAlignment="1" applyProtection="1"/>
    <xf numFmtId="196" fontId="12" fillId="0" borderId="0" xfId="3951" applyNumberFormat="1" applyFont="1" applyFill="1" applyBorder="1" applyAlignment="1" applyProtection="1">
      <alignment horizontal="right"/>
    </xf>
    <xf numFmtId="0" fontId="21" fillId="0" borderId="0" xfId="3950" applyFont="1" applyBorder="1" applyAlignment="1" applyProtection="1">
      <alignment horizontal="left" vertical="center"/>
    </xf>
    <xf numFmtId="0" fontId="21" fillId="0" borderId="0" xfId="3950" applyFont="1" applyAlignment="1" applyProtection="1">
      <alignment horizontal="left" vertical="center"/>
    </xf>
    <xf numFmtId="0" fontId="21" fillId="0" borderId="0" xfId="3950" applyFont="1" applyAlignment="1" applyProtection="1">
      <alignment vertical="center"/>
    </xf>
    <xf numFmtId="0" fontId="12" fillId="0" borderId="0" xfId="3950" applyFont="1" applyAlignment="1"/>
    <xf numFmtId="195" fontId="12" fillId="0" borderId="0" xfId="3951" applyNumberFormat="1" applyFont="1" applyFill="1" applyBorder="1" applyAlignment="1" applyProtection="1"/>
    <xf numFmtId="190" fontId="8" fillId="0" borderId="0" xfId="3950" applyNumberFormat="1" applyFont="1" applyAlignment="1">
      <alignment horizontal="right"/>
    </xf>
    <xf numFmtId="0" fontId="7" fillId="0" borderId="0" xfId="3950" applyFont="1" applyAlignment="1">
      <alignment horizontal="center"/>
    </xf>
    <xf numFmtId="196" fontId="8" fillId="0" borderId="0" xfId="3951" applyNumberFormat="1" applyFont="1" applyFill="1" applyBorder="1" applyAlignment="1" applyProtection="1">
      <alignment horizontal="right"/>
    </xf>
    <xf numFmtId="0" fontId="7" fillId="0" borderId="0" xfId="3950" applyFont="1" applyAlignment="1"/>
    <xf numFmtId="3" fontId="54" fillId="0" borderId="0" xfId="3950" applyNumberFormat="1" applyFont="1" applyFill="1" applyBorder="1" applyAlignment="1">
      <alignment horizontal="right" vertical="center"/>
    </xf>
    <xf numFmtId="191" fontId="55" fillId="0" borderId="0" xfId="3950" applyNumberFormat="1" applyFont="1" applyFill="1" applyBorder="1" applyAlignment="1">
      <alignment horizontal="center" vertical="center"/>
    </xf>
    <xf numFmtId="0" fontId="22" fillId="0" borderId="0" xfId="3950" applyFont="1" applyBorder="1" applyAlignment="1"/>
    <xf numFmtId="195" fontId="12" fillId="0" borderId="0" xfId="3951" applyNumberFormat="1" applyFont="1" applyFill="1" applyBorder="1" applyAlignment="1" applyProtection="1">
      <alignment horizontal="right"/>
    </xf>
    <xf numFmtId="3" fontId="21" fillId="0" borderId="0" xfId="3950" applyNumberFormat="1" applyFont="1" applyAlignment="1">
      <alignment horizontal="right"/>
    </xf>
    <xf numFmtId="3" fontId="9" fillId="0" borderId="0" xfId="3950" applyNumberFormat="1" applyFont="1" applyAlignment="1"/>
    <xf numFmtId="0" fontId="39" fillId="0" borderId="0" xfId="3950" applyFont="1" applyAlignment="1">
      <alignment horizontal="right"/>
    </xf>
    <xf numFmtId="0" fontId="12" fillId="0" borderId="0" xfId="3950" applyFont="1" applyAlignment="1">
      <alignment horizontal="right"/>
    </xf>
    <xf numFmtId="195" fontId="8" fillId="0" borderId="0" xfId="3951" applyNumberFormat="1" applyFont="1" applyFill="1" applyBorder="1" applyAlignment="1" applyProtection="1"/>
    <xf numFmtId="195" fontId="8" fillId="0" borderId="0" xfId="3951" applyNumberFormat="1" applyFont="1" applyFill="1" applyBorder="1" applyAlignment="1" applyProtection="1">
      <alignment horizontal="right"/>
    </xf>
    <xf numFmtId="195" fontId="8" fillId="0" borderId="0" xfId="3951" applyNumberFormat="1" applyFont="1" applyFill="1" applyBorder="1" applyAlignment="1" applyProtection="1">
      <alignment horizontal="left"/>
    </xf>
    <xf numFmtId="0" fontId="35" fillId="0" borderId="0" xfId="3950" applyFont="1" applyAlignment="1">
      <alignment horizontal="center"/>
    </xf>
    <xf numFmtId="191" fontId="55" fillId="4" borderId="0" xfId="3950" applyNumberFormat="1" applyFont="1" applyFill="1" applyBorder="1" applyAlignment="1">
      <alignment horizontal="center" vertical="center"/>
    </xf>
    <xf numFmtId="191" fontId="51" fillId="4" borderId="0" xfId="3950" applyNumberFormat="1" applyFont="1" applyFill="1" applyBorder="1" applyAlignment="1">
      <alignment horizontal="center" vertical="center"/>
    </xf>
    <xf numFmtId="0" fontId="7" fillId="0" borderId="0" xfId="3950" applyFont="1" applyBorder="1" applyAlignment="1"/>
    <xf numFmtId="0" fontId="22" fillId="0" borderId="0" xfId="3950" applyFont="1" applyBorder="1" applyAlignment="1">
      <alignment horizontal="center" vertical="center"/>
    </xf>
    <xf numFmtId="0" fontId="56" fillId="0" borderId="14" xfId="3950" applyFont="1" applyBorder="1" applyAlignment="1">
      <alignment horizontal="center"/>
    </xf>
    <xf numFmtId="0" fontId="56" fillId="0" borderId="14" xfId="3950" applyFont="1" applyBorder="1" applyAlignment="1">
      <alignment horizontal="right"/>
    </xf>
    <xf numFmtId="0" fontId="56" fillId="0" borderId="14" xfId="3950" applyFont="1" applyBorder="1" applyAlignment="1">
      <alignment horizontal="left"/>
    </xf>
    <xf numFmtId="0" fontId="56" fillId="0" borderId="16" xfId="3950" applyFont="1" applyBorder="1" applyAlignment="1">
      <alignment horizontal="right"/>
    </xf>
    <xf numFmtId="0" fontId="9" fillId="0" borderId="16" xfId="3950" applyFont="1" applyBorder="1" applyAlignment="1"/>
    <xf numFmtId="191" fontId="51" fillId="4" borderId="0" xfId="3950" applyNumberFormat="1" applyFont="1" applyFill="1" applyBorder="1"/>
    <xf numFmtId="191" fontId="54" fillId="4" borderId="0" xfId="3950" applyNumberFormat="1" applyFont="1" applyFill="1" applyBorder="1"/>
    <xf numFmtId="0" fontId="21" fillId="0" borderId="0" xfId="3950" applyFont="1" applyAlignment="1">
      <alignment vertical="top"/>
    </xf>
    <xf numFmtId="0" fontId="13" fillId="0" borderId="0" xfId="3950" applyFont="1" applyAlignment="1"/>
    <xf numFmtId="0" fontId="13" fillId="0" borderId="0" xfId="3950" applyFont="1" applyBorder="1" applyAlignment="1"/>
    <xf numFmtId="0" fontId="13" fillId="0" borderId="0" xfId="3950" applyFont="1" applyAlignment="1">
      <alignment horizontal="center"/>
    </xf>
    <xf numFmtId="0" fontId="58" fillId="0" borderId="0" xfId="3950" applyFont="1" applyAlignment="1"/>
    <xf numFmtId="0" fontId="58" fillId="0" borderId="0" xfId="3950" applyFont="1" applyBorder="1" applyAlignment="1"/>
    <xf numFmtId="0" fontId="35" fillId="0" borderId="0" xfId="3950" applyFont="1"/>
    <xf numFmtId="0" fontId="59" fillId="0" borderId="0" xfId="3950" applyFont="1" applyAlignment="1"/>
    <xf numFmtId="0" fontId="9" fillId="0" borderId="0" xfId="73" applyFont="1" applyAlignment="1"/>
    <xf numFmtId="0" fontId="21" fillId="0" borderId="0" xfId="73" applyFont="1" applyAlignment="1">
      <alignment vertical="center"/>
    </xf>
    <xf numFmtId="0" fontId="21" fillId="0" borderId="0" xfId="73" applyFont="1" applyAlignment="1"/>
    <xf numFmtId="196" fontId="21" fillId="0" borderId="0" xfId="73" applyNumberFormat="1" applyFont="1" applyAlignment="1"/>
    <xf numFmtId="196" fontId="21" fillId="0" borderId="0" xfId="73" applyNumberFormat="1" applyFont="1" applyAlignment="1">
      <alignment vertical="center"/>
    </xf>
    <xf numFmtId="196" fontId="60" fillId="0" borderId="0" xfId="3952" applyNumberFormat="1" applyFont="1" applyFill="1" applyBorder="1" applyAlignment="1" applyProtection="1">
      <alignment horizontal="right"/>
    </xf>
    <xf numFmtId="190" fontId="9" fillId="0" borderId="0" xfId="73" applyNumberFormat="1" applyFont="1" applyAlignment="1"/>
    <xf numFmtId="0" fontId="21" fillId="0" borderId="0" xfId="73" applyFont="1" applyBorder="1" applyAlignment="1"/>
    <xf numFmtId="196" fontId="60" fillId="0" borderId="1" xfId="3952" applyNumberFormat="1" applyFont="1" applyFill="1" applyBorder="1" applyAlignment="1" applyProtection="1">
      <alignment horizontal="right"/>
    </xf>
    <xf numFmtId="0" fontId="12" fillId="0" borderId="14" xfId="73" applyFont="1" applyBorder="1" applyAlignment="1"/>
    <xf numFmtId="0" fontId="12" fillId="0" borderId="0" xfId="73" applyFont="1" applyAlignment="1"/>
    <xf numFmtId="3" fontId="56" fillId="0" borderId="0" xfId="3952" applyNumberFormat="1" applyFont="1" applyFill="1" applyBorder="1" applyAlignment="1" applyProtection="1">
      <alignment horizontal="right"/>
    </xf>
    <xf numFmtId="0" fontId="12" fillId="0" borderId="0" xfId="73" applyFont="1" applyBorder="1" applyAlignment="1"/>
    <xf numFmtId="196" fontId="56" fillId="0" borderId="0" xfId="3952" applyNumberFormat="1" applyFont="1" applyFill="1" applyBorder="1" applyAlignment="1" applyProtection="1">
      <alignment horizontal="right"/>
    </xf>
    <xf numFmtId="0" fontId="12" fillId="0" borderId="0" xfId="73" applyFont="1" applyBorder="1" applyAlignment="1" applyProtection="1">
      <alignment horizontal="left"/>
    </xf>
    <xf numFmtId="0" fontId="12" fillId="0" borderId="0" xfId="73" applyFont="1" applyAlignment="1" applyProtection="1"/>
    <xf numFmtId="0" fontId="12" fillId="0" borderId="0" xfId="73" applyFont="1" applyAlignment="1" applyProtection="1">
      <alignment horizontal="left"/>
    </xf>
    <xf numFmtId="0" fontId="56" fillId="0" borderId="0" xfId="73" applyFont="1" applyAlignment="1"/>
    <xf numFmtId="0" fontId="8" fillId="0" borderId="0" xfId="73" applyFont="1" applyAlignment="1">
      <alignment horizontal="center"/>
    </xf>
    <xf numFmtId="197" fontId="56" fillId="0" borderId="0" xfId="73" applyNumberFormat="1" applyFont="1" applyAlignment="1">
      <alignment horizontal="right"/>
    </xf>
    <xf numFmtId="0" fontId="7" fillId="0" borderId="0" xfId="73" applyFont="1" applyAlignment="1"/>
    <xf numFmtId="0" fontId="54" fillId="0" borderId="0" xfId="76" applyFont="1" applyFill="1" applyBorder="1"/>
    <xf numFmtId="3" fontId="56" fillId="0" borderId="0" xfId="73" applyNumberFormat="1" applyFont="1" applyAlignment="1"/>
    <xf numFmtId="0" fontId="9" fillId="0" borderId="0" xfId="73" applyFont="1" applyAlignment="1">
      <alignment horizontal="right"/>
    </xf>
    <xf numFmtId="195" fontId="11" fillId="0" borderId="0" xfId="3952" applyNumberFormat="1" applyFont="1" applyFill="1" applyBorder="1" applyAlignment="1" applyProtection="1">
      <alignment horizontal="right"/>
    </xf>
    <xf numFmtId="195" fontId="11" fillId="0" borderId="0" xfId="3952" applyNumberFormat="1" applyFont="1" applyAlignment="1"/>
    <xf numFmtId="195" fontId="11" fillId="0" borderId="0" xfId="3952" applyNumberFormat="1" applyFont="1" applyAlignment="1">
      <alignment horizontal="right" vertical="center"/>
    </xf>
    <xf numFmtId="195" fontId="11" fillId="0" borderId="0" xfId="3952" applyNumberFormat="1" applyFont="1" applyAlignment="1">
      <alignment horizontal="right"/>
    </xf>
    <xf numFmtId="195" fontId="11" fillId="0" borderId="0" xfId="3952" applyNumberFormat="1" applyFont="1" applyFill="1" applyBorder="1" applyAlignment="1" applyProtection="1"/>
    <xf numFmtId="0" fontId="7" fillId="0" borderId="0" xfId="73" applyFont="1" applyAlignment="1">
      <alignment horizontal="center"/>
    </xf>
    <xf numFmtId="195" fontId="13" fillId="0" borderId="0" xfId="3952" applyNumberFormat="1" applyFont="1" applyAlignment="1"/>
    <xf numFmtId="195" fontId="13" fillId="0" borderId="0" xfId="3952" applyNumberFormat="1" applyFont="1" applyFill="1" applyBorder="1" applyAlignment="1" applyProtection="1">
      <alignment horizontal="right"/>
    </xf>
    <xf numFmtId="0" fontId="22" fillId="0" borderId="0" xfId="73" applyFont="1" applyBorder="1" applyAlignment="1">
      <alignment horizontal="center"/>
    </xf>
    <xf numFmtId="0" fontId="7" fillId="0" borderId="14" xfId="73" applyFont="1" applyBorder="1" applyAlignment="1">
      <alignment horizontal="right" vertical="center"/>
    </xf>
    <xf numFmtId="0" fontId="61" fillId="0" borderId="14" xfId="73" applyFont="1" applyBorder="1" applyAlignment="1">
      <alignment horizontal="right"/>
    </xf>
    <xf numFmtId="0" fontId="61" fillId="0" borderId="16" xfId="73" applyFont="1" applyBorder="1" applyAlignment="1">
      <alignment horizontal="right"/>
    </xf>
    <xf numFmtId="0" fontId="21" fillId="0" borderId="0" xfId="73" applyFont="1" applyAlignment="1">
      <alignment vertical="top"/>
    </xf>
    <xf numFmtId="0" fontId="62" fillId="0" borderId="0" xfId="73" applyFont="1" applyAlignment="1"/>
    <xf numFmtId="0" fontId="35" fillId="0" borderId="0" xfId="73" applyFont="1" applyAlignment="1"/>
    <xf numFmtId="0" fontId="63" fillId="0" borderId="0" xfId="73" applyFont="1" applyAlignment="1"/>
    <xf numFmtId="0" fontId="34" fillId="0" borderId="0" xfId="3950" applyFont="1" applyAlignment="1"/>
    <xf numFmtId="196" fontId="21" fillId="0" borderId="0" xfId="3950" applyNumberFormat="1" applyFont="1"/>
    <xf numFmtId="0" fontId="34" fillId="0" borderId="14" xfId="3950" applyFont="1" applyBorder="1" applyAlignment="1"/>
    <xf numFmtId="0" fontId="36" fillId="0" borderId="14" xfId="3950" applyFont="1" applyBorder="1" applyAlignment="1"/>
    <xf numFmtId="196" fontId="12" fillId="0" borderId="0" xfId="3953" applyNumberFormat="1" applyFont="1" applyFill="1" applyBorder="1" applyAlignment="1" applyProtection="1">
      <alignment horizontal="right"/>
    </xf>
    <xf numFmtId="0" fontId="36" fillId="0" borderId="0" xfId="3950" applyFont="1" applyBorder="1" applyAlignment="1"/>
    <xf numFmtId="0" fontId="36" fillId="0" borderId="0" xfId="3950" applyFont="1" applyAlignment="1"/>
    <xf numFmtId="0" fontId="35" fillId="0" borderId="0" xfId="3950" applyFont="1" applyAlignment="1"/>
    <xf numFmtId="196" fontId="8" fillId="0" borderId="0" xfId="3953" applyNumberFormat="1" applyFont="1" applyFill="1" applyBorder="1" applyAlignment="1" applyProtection="1">
      <alignment horizontal="right"/>
    </xf>
    <xf numFmtId="195" fontId="8" fillId="0" borderId="0" xfId="3953" applyNumberFormat="1" applyFont="1" applyFill="1" applyBorder="1" applyAlignment="1" applyProtection="1">
      <alignment horizontal="right"/>
    </xf>
    <xf numFmtId="0" fontId="22" fillId="0" borderId="0" xfId="3950" applyFont="1" applyAlignment="1">
      <alignment horizontal="center"/>
    </xf>
    <xf numFmtId="196" fontId="9" fillId="0" borderId="0" xfId="3950" applyNumberFormat="1" applyFont="1" applyAlignment="1"/>
    <xf numFmtId="192" fontId="64" fillId="0" borderId="0" xfId="3954" applyNumberFormat="1" applyFont="1" applyBorder="1" applyAlignment="1">
      <alignment horizontal="right"/>
    </xf>
    <xf numFmtId="192" fontId="64" fillId="0" borderId="0" xfId="3954" applyNumberFormat="1" applyFont="1" applyBorder="1"/>
    <xf numFmtId="195" fontId="12" fillId="0" borderId="0" xfId="3953" applyNumberFormat="1" applyFont="1" applyFill="1" applyBorder="1" applyAlignment="1" applyProtection="1">
      <alignment horizontal="right"/>
    </xf>
    <xf numFmtId="195" fontId="12" fillId="0" borderId="0" xfId="3953" applyNumberFormat="1" applyFont="1" applyFill="1" applyBorder="1" applyAlignment="1" applyProtection="1"/>
    <xf numFmtId="0" fontId="35" fillId="0" borderId="0" xfId="3950" applyFont="1" applyBorder="1" applyAlignment="1"/>
    <xf numFmtId="195" fontId="8" fillId="0" borderId="0" xfId="3953" applyNumberFormat="1" applyFont="1" applyFill="1" applyBorder="1" applyAlignment="1" applyProtection="1"/>
    <xf numFmtId="0" fontId="8" fillId="0" borderId="0" xfId="3950" applyFont="1" applyAlignment="1"/>
    <xf numFmtId="192" fontId="65" fillId="0" borderId="0" xfId="3954" applyNumberFormat="1" applyFont="1" applyBorder="1"/>
    <xf numFmtId="0" fontId="8" fillId="0" borderId="14" xfId="3950" applyFont="1" applyBorder="1" applyAlignment="1">
      <alignment horizontal="center"/>
    </xf>
    <xf numFmtId="0" fontId="8" fillId="0" borderId="14" xfId="3950" applyFont="1" applyBorder="1" applyAlignment="1">
      <alignment horizontal="right"/>
    </xf>
    <xf numFmtId="0" fontId="8" fillId="0" borderId="16" xfId="3950" applyFont="1" applyBorder="1" applyAlignment="1">
      <alignment horizontal="center"/>
    </xf>
    <xf numFmtId="0" fontId="34" fillId="0" borderId="0" xfId="3950" applyFont="1" applyAlignment="1">
      <alignment vertical="top"/>
    </xf>
    <xf numFmtId="0" fontId="9" fillId="0" borderId="0" xfId="3950" applyFont="1"/>
    <xf numFmtId="0" fontId="11" fillId="0" borderId="0" xfId="3950" applyFont="1"/>
    <xf numFmtId="0" fontId="34" fillId="0" borderId="1" xfId="3950" applyFont="1" applyBorder="1" applyAlignment="1"/>
    <xf numFmtId="0" fontId="21" fillId="0" borderId="0" xfId="3950" applyFont="1" applyAlignment="1"/>
    <xf numFmtId="196" fontId="9" fillId="0" borderId="0" xfId="3955" applyNumberFormat="1" applyFont="1" applyFill="1" applyBorder="1" applyAlignment="1" applyProtection="1">
      <alignment horizontal="right"/>
    </xf>
    <xf numFmtId="195" fontId="9" fillId="0" borderId="0" xfId="3955" applyNumberFormat="1" applyFont="1" applyFill="1" applyBorder="1" applyAlignment="1" applyProtection="1">
      <alignment horizontal="right"/>
    </xf>
    <xf numFmtId="0" fontId="21" fillId="0" borderId="0" xfId="3950" applyFont="1" applyBorder="1" applyAlignment="1">
      <alignment horizontal="left"/>
    </xf>
    <xf numFmtId="0" fontId="21" fillId="0" borderId="0" xfId="3950" applyFont="1" applyAlignment="1">
      <alignment horizontal="left"/>
    </xf>
    <xf numFmtId="17" fontId="21" fillId="0" borderId="0" xfId="3950" applyNumberFormat="1" applyFont="1" applyAlignment="1">
      <alignment horizontal="left"/>
    </xf>
    <xf numFmtId="0" fontId="21" fillId="0" borderId="0" xfId="3950" applyFont="1" applyAlignment="1">
      <alignment horizontal="left" vertical="center"/>
    </xf>
    <xf numFmtId="0" fontId="22" fillId="0" borderId="0" xfId="3950" applyFont="1" applyAlignment="1"/>
    <xf numFmtId="190" fontId="21" fillId="0" borderId="0" xfId="3950" applyNumberFormat="1" applyFont="1" applyAlignment="1"/>
    <xf numFmtId="190" fontId="7" fillId="0" borderId="0" xfId="3950" applyNumberFormat="1" applyFont="1" applyAlignment="1">
      <alignment horizontal="right"/>
    </xf>
    <xf numFmtId="196" fontId="7" fillId="0" borderId="0" xfId="3955" applyNumberFormat="1" applyFont="1" applyFill="1" applyBorder="1" applyAlignment="1" applyProtection="1">
      <alignment horizontal="right"/>
    </xf>
    <xf numFmtId="195" fontId="7" fillId="0" borderId="0" xfId="3955" applyNumberFormat="1" applyFont="1" applyFill="1" applyBorder="1" applyAlignment="1" applyProtection="1">
      <alignment horizontal="right"/>
    </xf>
    <xf numFmtId="195" fontId="21" fillId="0" borderId="0" xfId="3955" applyNumberFormat="1" applyFont="1" applyFill="1" applyBorder="1" applyAlignment="1" applyProtection="1">
      <alignment horizontal="right"/>
    </xf>
    <xf numFmtId="195" fontId="21" fillId="0" borderId="0" xfId="3955" applyNumberFormat="1" applyFont="1" applyFill="1" applyBorder="1" applyAlignment="1" applyProtection="1">
      <alignment horizontal="right" vertical="center"/>
    </xf>
    <xf numFmtId="195" fontId="22" fillId="0" borderId="0" xfId="3955" applyNumberFormat="1" applyFont="1" applyFill="1" applyBorder="1" applyAlignment="1" applyProtection="1">
      <alignment horizontal="right"/>
    </xf>
    <xf numFmtId="3" fontId="7" fillId="0" borderId="0" xfId="3950" applyNumberFormat="1" applyFont="1" applyAlignment="1"/>
    <xf numFmtId="0" fontId="7" fillId="0" borderId="14" xfId="3950" applyFont="1" applyBorder="1" applyAlignment="1">
      <alignment horizontal="right" vertical="center"/>
    </xf>
    <xf numFmtId="0" fontId="7" fillId="0" borderId="14" xfId="3950" applyFont="1" applyBorder="1" applyAlignment="1">
      <alignment horizontal="right"/>
    </xf>
    <xf numFmtId="0" fontId="7" fillId="0" borderId="1" xfId="3950" applyFont="1" applyBorder="1" applyAlignment="1">
      <alignment horizontal="center"/>
    </xf>
    <xf numFmtId="0" fontId="34" fillId="0" borderId="0" xfId="3950" applyFont="1" applyBorder="1" applyAlignment="1"/>
    <xf numFmtId="0" fontId="63" fillId="0" borderId="0" xfId="3950" applyFont="1" applyAlignment="1"/>
    <xf numFmtId="0" fontId="9" fillId="0" borderId="0" xfId="3956" applyFont="1" applyAlignment="1"/>
    <xf numFmtId="0" fontId="21" fillId="0" borderId="0" xfId="3956" applyFont="1"/>
    <xf numFmtId="0" fontId="9" fillId="0" borderId="0" xfId="28" quotePrefix="1" applyFont="1"/>
    <xf numFmtId="190" fontId="34" fillId="0" borderId="1" xfId="3956" applyNumberFormat="1" applyFont="1" applyBorder="1" applyAlignment="1">
      <alignment horizontal="right"/>
    </xf>
    <xf numFmtId="190" fontId="35" fillId="0" borderId="1" xfId="3956" applyNumberFormat="1" applyFont="1" applyBorder="1" applyAlignment="1">
      <alignment horizontal="right"/>
    </xf>
    <xf numFmtId="192" fontId="35" fillId="0" borderId="1" xfId="12" applyNumberFormat="1" applyFont="1" applyBorder="1" applyAlignment="1">
      <alignment vertical="center"/>
    </xf>
    <xf numFmtId="0" fontId="22" fillId="0" borderId="1" xfId="28" applyFont="1" applyBorder="1" applyAlignment="1">
      <alignment vertical="center"/>
    </xf>
    <xf numFmtId="190" fontId="34" fillId="0" borderId="0" xfId="3956" applyNumberFormat="1" applyFont="1" applyBorder="1" applyAlignment="1">
      <alignment horizontal="right"/>
    </xf>
    <xf numFmtId="192" fontId="35" fillId="0" borderId="0" xfId="12" applyNumberFormat="1" applyFont="1" applyBorder="1" applyAlignment="1">
      <alignment vertical="center"/>
    </xf>
    <xf numFmtId="190" fontId="35" fillId="0" borderId="0" xfId="3956" applyNumberFormat="1" applyFont="1" applyBorder="1" applyAlignment="1">
      <alignment horizontal="right"/>
    </xf>
    <xf numFmtId="193" fontId="35" fillId="0" borderId="0" xfId="12" applyNumberFormat="1" applyFont="1" applyBorder="1" applyAlignment="1">
      <alignment vertical="center"/>
    </xf>
    <xf numFmtId="190" fontId="35" fillId="0" borderId="0" xfId="3956" applyNumberFormat="1" applyFont="1" applyBorder="1" applyAlignment="1">
      <alignment horizontal="right" vertical="center"/>
    </xf>
    <xf numFmtId="0" fontId="35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53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9" fillId="0" borderId="0" xfId="3956" applyNumberFormat="1" applyFont="1" applyAlignment="1"/>
    <xf numFmtId="0" fontId="35" fillId="0" borderId="0" xfId="3956" applyFont="1" applyBorder="1" applyAlignment="1">
      <alignment vertical="center"/>
    </xf>
    <xf numFmtId="192" fontId="34" fillId="0" borderId="0" xfId="12" applyNumberFormat="1" applyFont="1" applyBorder="1" applyAlignment="1">
      <alignment vertical="center"/>
    </xf>
    <xf numFmtId="3" fontId="21" fillId="0" borderId="0" xfId="3956" applyNumberFormat="1" applyFont="1"/>
    <xf numFmtId="0" fontId="9" fillId="0" borderId="0" xfId="3956" applyFont="1" applyBorder="1" applyAlignment="1"/>
    <xf numFmtId="192" fontId="22" fillId="0" borderId="0" xfId="12" applyNumberFormat="1" applyFont="1" applyBorder="1" applyAlignment="1">
      <alignment vertical="center"/>
    </xf>
    <xf numFmtId="0" fontId="22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2" fillId="0" borderId="0" xfId="3956" applyFont="1" applyAlignment="1">
      <alignment horizontal="center"/>
    </xf>
    <xf numFmtId="0" fontId="9" fillId="0" borderId="14" xfId="3956" applyFont="1" applyBorder="1" applyAlignment="1"/>
    <xf numFmtId="0" fontId="7" fillId="0" borderId="0" xfId="3956" applyFont="1" applyAlignment="1">
      <alignment horizontal="center"/>
    </xf>
    <xf numFmtId="0" fontId="34" fillId="0" borderId="0" xfId="3956" applyFont="1"/>
    <xf numFmtId="0" fontId="35" fillId="0" borderId="0" xfId="3956" applyFont="1" applyAlignment="1"/>
    <xf numFmtId="0" fontId="67" fillId="0" borderId="0" xfId="3957" applyFont="1"/>
    <xf numFmtId="188" fontId="67" fillId="0" borderId="0" xfId="3958" applyNumberFormat="1" applyFont="1"/>
    <xf numFmtId="3" fontId="69" fillId="0" borderId="0" xfId="3957" applyNumberFormat="1" applyFont="1" applyAlignment="1">
      <alignment horizontal="center"/>
    </xf>
    <xf numFmtId="188" fontId="69" fillId="0" borderId="0" xfId="3958" applyNumberFormat="1" applyFont="1"/>
    <xf numFmtId="3" fontId="70" fillId="0" borderId="0" xfId="3957" applyNumberFormat="1" applyFont="1" applyFill="1" applyAlignment="1">
      <alignment horizontal="left"/>
    </xf>
    <xf numFmtId="3" fontId="70" fillId="0" borderId="0" xfId="3957" applyNumberFormat="1" applyFont="1" applyAlignment="1">
      <alignment horizontal="left"/>
    </xf>
    <xf numFmtId="3" fontId="70" fillId="0" borderId="0" xfId="3957" quotePrefix="1" applyNumberFormat="1" applyFont="1" applyAlignment="1">
      <alignment horizontal="left"/>
    </xf>
    <xf numFmtId="188" fontId="67" fillId="0" borderId="0" xfId="3958" applyNumberFormat="1" applyFont="1" applyBorder="1"/>
    <xf numFmtId="201" fontId="69" fillId="0" borderId="0" xfId="3957" applyNumberFormat="1" applyFont="1" applyBorder="1" applyAlignment="1" applyProtection="1">
      <alignment horizontal="center"/>
    </xf>
    <xf numFmtId="188" fontId="67" fillId="0" borderId="1" xfId="3958" applyNumberFormat="1" applyFont="1" applyBorder="1"/>
    <xf numFmtId="188" fontId="67" fillId="0" borderId="5" xfId="3958" applyNumberFormat="1" applyFont="1" applyBorder="1"/>
    <xf numFmtId="188" fontId="67" fillId="0" borderId="4" xfId="3958" applyNumberFormat="1" applyFont="1" applyBorder="1"/>
    <xf numFmtId="201" fontId="69" fillId="0" borderId="1" xfId="3957" applyNumberFormat="1" applyFont="1" applyBorder="1" applyAlignment="1" applyProtection="1">
      <alignment horizontal="center"/>
    </xf>
    <xf numFmtId="188" fontId="67" fillId="0" borderId="2" xfId="3958" applyNumberFormat="1" applyFont="1" applyBorder="1"/>
    <xf numFmtId="188" fontId="67" fillId="0" borderId="3" xfId="3958" applyNumberFormat="1" applyFont="1" applyBorder="1"/>
    <xf numFmtId="201" fontId="69" fillId="0" borderId="0" xfId="3957" applyNumberFormat="1" applyFont="1" applyAlignment="1" applyProtection="1">
      <alignment horizontal="center"/>
    </xf>
    <xf numFmtId="202" fontId="69" fillId="0" borderId="0" xfId="3957" quotePrefix="1" applyNumberFormat="1" applyFont="1" applyAlignment="1" applyProtection="1">
      <alignment horizontal="center"/>
    </xf>
    <xf numFmtId="202" fontId="69" fillId="0" borderId="0" xfId="3957" applyNumberFormat="1" applyFont="1" applyAlignment="1" applyProtection="1">
      <alignment horizontal="center"/>
    </xf>
    <xf numFmtId="0" fontId="71" fillId="0" borderId="0" xfId="3957" applyFont="1"/>
    <xf numFmtId="188" fontId="71" fillId="0" borderId="6" xfId="3958" applyNumberFormat="1" applyFont="1" applyBorder="1"/>
    <xf numFmtId="188" fontId="71" fillId="0" borderId="3" xfId="3958" applyNumberFormat="1" applyFont="1" applyBorder="1"/>
    <xf numFmtId="0" fontId="71" fillId="0" borderId="0" xfId="3957" applyFont="1" applyAlignment="1">
      <alignment horizontal="center"/>
    </xf>
    <xf numFmtId="188" fontId="71" fillId="0" borderId="10" xfId="3958" applyNumberFormat="1" applyFont="1" applyBorder="1" applyAlignment="1">
      <alignment horizontal="center"/>
    </xf>
    <xf numFmtId="188" fontId="71" fillId="0" borderId="11" xfId="3958" applyNumberFormat="1" applyFont="1" applyBorder="1" applyAlignment="1">
      <alignment horizontal="center"/>
    </xf>
    <xf numFmtId="188" fontId="71" fillId="0" borderId="17" xfId="3958" applyNumberFormat="1" applyFont="1" applyBorder="1" applyAlignment="1">
      <alignment horizontal="center"/>
    </xf>
    <xf numFmtId="0" fontId="72" fillId="0" borderId="1" xfId="3957" applyFont="1" applyBorder="1" applyAlignment="1">
      <alignment horizontal="center"/>
    </xf>
    <xf numFmtId="188" fontId="71" fillId="0" borderId="7" xfId="3958" applyNumberFormat="1" applyFont="1" applyBorder="1" applyAlignment="1">
      <alignment horizontal="centerContinuous"/>
    </xf>
    <xf numFmtId="188" fontId="68" fillId="0" borderId="7" xfId="3958" applyNumberFormat="1" applyFont="1" applyBorder="1" applyAlignment="1">
      <alignment horizontal="centerContinuous"/>
    </xf>
    <xf numFmtId="188" fontId="71" fillId="0" borderId="9" xfId="3958" applyNumberFormat="1" applyFont="1" applyBorder="1" applyAlignment="1">
      <alignment horizontal="centerContinuous"/>
    </xf>
    <xf numFmtId="188" fontId="71" fillId="0" borderId="8" xfId="3958" applyNumberFormat="1" applyFont="1" applyBorder="1" applyAlignment="1">
      <alignment horizontal="centerContinuous"/>
    </xf>
    <xf numFmtId="0" fontId="72" fillId="0" borderId="7" xfId="3957" applyFont="1" applyBorder="1" applyAlignment="1">
      <alignment horizontal="center"/>
    </xf>
    <xf numFmtId="0" fontId="73" fillId="0" borderId="0" xfId="3957" applyFont="1"/>
    <xf numFmtId="188" fontId="73" fillId="0" borderId="0" xfId="3958" applyNumberFormat="1" applyFont="1"/>
    <xf numFmtId="3" fontId="73" fillId="0" borderId="0" xfId="3957" applyNumberFormat="1" applyFont="1" applyAlignment="1">
      <alignment horizontal="center"/>
    </xf>
    <xf numFmtId="3" fontId="72" fillId="0" borderId="0" xfId="3957" quotePrefix="1" applyNumberFormat="1" applyFont="1" applyFill="1" applyAlignment="1">
      <alignment horizontal="left"/>
    </xf>
    <xf numFmtId="0" fontId="9" fillId="0" borderId="0" xfId="3957" applyFont="1"/>
    <xf numFmtId="3" fontId="9" fillId="0" borderId="0" xfId="3957" applyNumberFormat="1" applyFont="1"/>
    <xf numFmtId="188" fontId="9" fillId="0" borderId="0" xfId="3958" applyNumberFormat="1" applyFont="1"/>
    <xf numFmtId="3" fontId="9" fillId="0" borderId="0" xfId="3957" applyNumberFormat="1" applyFont="1" applyAlignment="1">
      <alignment horizontal="center"/>
    </xf>
    <xf numFmtId="3" fontId="9" fillId="0" borderId="0" xfId="3957" applyNumberFormat="1" applyFont="1" applyBorder="1"/>
    <xf numFmtId="3" fontId="7" fillId="0" borderId="0" xfId="3957" applyNumberFormat="1" applyFont="1"/>
    <xf numFmtId="3" fontId="13" fillId="0" borderId="0" xfId="3957" applyNumberFormat="1" applyFont="1" applyFill="1" applyAlignment="1">
      <alignment horizontal="left"/>
    </xf>
    <xf numFmtId="3" fontId="13" fillId="0" borderId="0" xfId="3957" applyNumberFormat="1" applyFont="1" applyAlignment="1">
      <alignment horizontal="left"/>
    </xf>
    <xf numFmtId="3" fontId="13" fillId="0" borderId="0" xfId="3957" quotePrefix="1" applyNumberFormat="1" applyFont="1" applyAlignment="1">
      <alignment horizontal="left"/>
    </xf>
    <xf numFmtId="188" fontId="9" fillId="0" borderId="1" xfId="3958" applyNumberFormat="1" applyFont="1" applyBorder="1"/>
    <xf numFmtId="201" fontId="9" fillId="0" borderId="1" xfId="3957" applyNumberFormat="1" applyFont="1" applyBorder="1" applyAlignment="1" applyProtection="1">
      <alignment horizontal="center"/>
    </xf>
    <xf numFmtId="188" fontId="9" fillId="0" borderId="0" xfId="3958" applyNumberFormat="1" applyFont="1" applyBorder="1"/>
    <xf numFmtId="188" fontId="9" fillId="0" borderId="2" xfId="3958" applyNumberFormat="1" applyFont="1" applyBorder="1"/>
    <xf numFmtId="188" fontId="9" fillId="0" borderId="3" xfId="3958" applyNumberFormat="1" applyFont="1" applyBorder="1"/>
    <xf numFmtId="201" fontId="9" fillId="0" borderId="0" xfId="3957" applyNumberFormat="1" applyFont="1" applyBorder="1" applyAlignment="1" applyProtection="1">
      <alignment horizontal="center"/>
    </xf>
    <xf numFmtId="201" fontId="9" fillId="0" borderId="0" xfId="3957" applyNumberFormat="1" applyFont="1" applyAlignment="1" applyProtection="1">
      <alignment horizontal="center"/>
    </xf>
    <xf numFmtId="202" fontId="9" fillId="0" borderId="0" xfId="3957" quotePrefix="1" applyNumberFormat="1" applyFont="1" applyAlignment="1" applyProtection="1">
      <alignment horizontal="center"/>
    </xf>
    <xf numFmtId="202" fontId="9" fillId="0" borderId="0" xfId="3957" applyNumberFormat="1" applyFont="1" applyAlignment="1" applyProtection="1">
      <alignment horizontal="center"/>
    </xf>
    <xf numFmtId="0" fontId="7" fillId="0" borderId="0" xfId="3957" applyFont="1"/>
    <xf numFmtId="188" fontId="7" fillId="0" borderId="6" xfId="3958" applyNumberFormat="1" applyFont="1" applyBorder="1"/>
    <xf numFmtId="188" fontId="7" fillId="0" borderId="3" xfId="3958" applyNumberFormat="1" applyFont="1" applyBorder="1"/>
    <xf numFmtId="0" fontId="7" fillId="0" borderId="0" xfId="3957" applyFont="1" applyAlignment="1">
      <alignment horizontal="center"/>
    </xf>
    <xf numFmtId="188" fontId="7" fillId="0" borderId="0" xfId="3957" applyNumberFormat="1" applyFont="1"/>
    <xf numFmtId="188" fontId="7" fillId="0" borderId="10" xfId="3958" applyNumberFormat="1" applyFont="1" applyBorder="1" applyAlignment="1">
      <alignment horizontal="center"/>
    </xf>
    <xf numFmtId="188" fontId="7" fillId="0" borderId="11" xfId="3958" applyNumberFormat="1" applyFont="1" applyBorder="1" applyAlignment="1">
      <alignment horizontal="center"/>
    </xf>
    <xf numFmtId="188" fontId="7" fillId="0" borderId="17" xfId="3958" applyNumberFormat="1" applyFont="1" applyBorder="1" applyAlignment="1">
      <alignment horizontal="center"/>
    </xf>
    <xf numFmtId="0" fontId="7" fillId="0" borderId="1" xfId="3957" applyFont="1" applyBorder="1" applyAlignment="1">
      <alignment horizontal="center"/>
    </xf>
    <xf numFmtId="188" fontId="7" fillId="0" borderId="7" xfId="3958" applyNumberFormat="1" applyFont="1" applyBorder="1" applyAlignment="1">
      <alignment horizontal="centerContinuous"/>
    </xf>
    <xf numFmtId="188" fontId="9" fillId="0" borderId="7" xfId="3958" applyNumberFormat="1" applyFont="1" applyBorder="1" applyAlignment="1">
      <alignment horizontal="centerContinuous"/>
    </xf>
    <xf numFmtId="188" fontId="7" fillId="0" borderId="9" xfId="3958" applyNumberFormat="1" applyFont="1" applyBorder="1" applyAlignment="1">
      <alignment horizontal="centerContinuous"/>
    </xf>
    <xf numFmtId="188" fontId="7" fillId="0" borderId="8" xfId="3958" applyNumberFormat="1" applyFont="1" applyBorder="1" applyAlignment="1">
      <alignment horizontal="centerContinuous"/>
    </xf>
    <xf numFmtId="0" fontId="7" fillId="0" borderId="7" xfId="3957" applyFont="1" applyBorder="1" applyAlignment="1">
      <alignment horizontal="center"/>
    </xf>
    <xf numFmtId="0" fontId="47" fillId="0" borderId="0" xfId="3957" applyFont="1"/>
    <xf numFmtId="3" fontId="47" fillId="0" borderId="0" xfId="3957" applyNumberFormat="1" applyFont="1"/>
    <xf numFmtId="188" fontId="47" fillId="0" borderId="0" xfId="3958" applyNumberFormat="1" applyFont="1"/>
    <xf numFmtId="3" fontId="47" fillId="0" borderId="0" xfId="3957" applyNumberFormat="1" applyFont="1" applyAlignment="1">
      <alignment horizontal="center"/>
    </xf>
    <xf numFmtId="3" fontId="7" fillId="0" borderId="0" xfId="3957" quotePrefix="1" applyNumberFormat="1" applyFont="1" applyFill="1" applyAlignment="1">
      <alignment horizontal="left"/>
    </xf>
    <xf numFmtId="188" fontId="9" fillId="0" borderId="5" xfId="3958" applyNumberFormat="1" applyFont="1" applyBorder="1"/>
    <xf numFmtId="188" fontId="9" fillId="0" borderId="4" xfId="3958" applyNumberFormat="1" applyFont="1" applyBorder="1"/>
    <xf numFmtId="3" fontId="7" fillId="0" borderId="0" xfId="3957" applyNumberFormat="1" applyFont="1" applyFill="1" applyAlignment="1">
      <alignment horizontal="left"/>
    </xf>
    <xf numFmtId="3" fontId="7" fillId="0" borderId="0" xfId="3957" applyNumberFormat="1" applyFont="1" applyAlignment="1">
      <alignment horizontal="left"/>
    </xf>
    <xf numFmtId="3" fontId="7" fillId="0" borderId="0" xfId="3957" quotePrefix="1" applyNumberFormat="1" applyFont="1" applyAlignment="1">
      <alignment horizontal="left"/>
    </xf>
    <xf numFmtId="0" fontId="21" fillId="0" borderId="0" xfId="27" applyFont="1" applyBorder="1" applyAlignment="1">
      <alignment vertical="center"/>
    </xf>
    <xf numFmtId="0" fontId="21" fillId="0" borderId="0" xfId="27" applyFont="1" applyAlignment="1">
      <alignment vertical="center"/>
    </xf>
    <xf numFmtId="0" fontId="22" fillId="0" borderId="0" xfId="27" applyFont="1" applyAlignment="1">
      <alignment vertical="center"/>
    </xf>
    <xf numFmtId="188" fontId="35" fillId="0" borderId="0" xfId="1" applyNumberFormat="1" applyFont="1" applyBorder="1"/>
    <xf numFmtId="201" fontId="34" fillId="0" borderId="1" xfId="0" applyNumberFormat="1" applyFont="1" applyBorder="1" applyAlignment="1" applyProtection="1">
      <alignment horizontal="center"/>
    </xf>
    <xf numFmtId="188" fontId="34" fillId="0" borderId="4" xfId="1" applyNumberFormat="1" applyFont="1" applyBorder="1"/>
    <xf numFmtId="188" fontId="34" fillId="0" borderId="5" xfId="1" applyNumberFormat="1" applyFont="1" applyBorder="1"/>
    <xf numFmtId="188" fontId="34" fillId="0" borderId="1" xfId="1" applyNumberFormat="1" applyFont="1" applyBorder="1"/>
    <xf numFmtId="201" fontId="11" fillId="0" borderId="1" xfId="0" applyNumberFormat="1" applyFont="1" applyBorder="1" applyAlignment="1" applyProtection="1">
      <alignment horizontal="center"/>
    </xf>
    <xf numFmtId="188" fontId="11" fillId="0" borderId="4" xfId="1" applyNumberFormat="1" applyFont="1" applyBorder="1"/>
    <xf numFmtId="188" fontId="11" fillId="0" borderId="5" xfId="1" applyNumberFormat="1" applyFont="1" applyBorder="1"/>
    <xf numFmtId="188" fontId="11" fillId="0" borderId="1" xfId="1" applyNumberFormat="1" applyFont="1" applyBorder="1"/>
    <xf numFmtId="0" fontId="22" fillId="0" borderId="0" xfId="30" applyFont="1" applyBorder="1" applyAlignment="1"/>
    <xf numFmtId="196" fontId="34" fillId="0" borderId="0" xfId="0" applyNumberFormat="1" applyFont="1" applyAlignment="1"/>
    <xf numFmtId="191" fontId="55" fillId="4" borderId="0" xfId="3950" applyNumberFormat="1" applyFont="1" applyFill="1" applyBorder="1" applyAlignment="1">
      <alignment horizontal="right" vertical="center"/>
    </xf>
    <xf numFmtId="0" fontId="9" fillId="0" borderId="0" xfId="3950" applyFont="1" applyAlignment="1">
      <alignment horizontal="right"/>
    </xf>
    <xf numFmtId="0" fontId="51" fillId="0" borderId="0" xfId="3950" applyFont="1" applyFill="1" applyBorder="1" applyAlignment="1">
      <alignment horizontal="right"/>
    </xf>
    <xf numFmtId="191" fontId="51" fillId="4" borderId="0" xfId="3950" applyNumberFormat="1" applyFont="1" applyFill="1" applyBorder="1" applyAlignment="1">
      <alignment horizontal="center"/>
    </xf>
    <xf numFmtId="0" fontId="35" fillId="0" borderId="15" xfId="3956" applyFont="1" applyBorder="1" applyAlignment="1">
      <alignment horizontal="center"/>
    </xf>
    <xf numFmtId="0" fontId="7" fillId="0" borderId="10" xfId="3956" applyFont="1" applyBorder="1" applyAlignment="1">
      <alignment horizontal="center"/>
    </xf>
    <xf numFmtId="0" fontId="35" fillId="0" borderId="0" xfId="3956" applyFont="1" applyBorder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3950" applyFont="1" applyBorder="1" applyAlignment="1">
      <alignment horizontal="center"/>
    </xf>
    <xf numFmtId="0" fontId="35" fillId="0" borderId="15" xfId="3950" applyFont="1" applyBorder="1" applyAlignment="1">
      <alignment horizontal="center"/>
    </xf>
    <xf numFmtId="0" fontId="35" fillId="0" borderId="0" xfId="3950" applyFont="1" applyBorder="1" applyAlignment="1">
      <alignment horizontal="center"/>
    </xf>
    <xf numFmtId="0" fontId="7" fillId="0" borderId="15" xfId="3950" applyFont="1" applyBorder="1" applyAlignment="1">
      <alignment horizontal="center" vertical="center"/>
    </xf>
    <xf numFmtId="0" fontId="7" fillId="0" borderId="14" xfId="3950" applyFont="1" applyBorder="1" applyAlignment="1">
      <alignment horizontal="center" vertical="center"/>
    </xf>
    <xf numFmtId="0" fontId="7" fillId="0" borderId="16" xfId="3950" applyFont="1" applyBorder="1" applyAlignment="1">
      <alignment horizontal="center"/>
    </xf>
    <xf numFmtId="0" fontId="7" fillId="0" borderId="10" xfId="73" applyFont="1" applyBorder="1" applyAlignment="1">
      <alignment horizontal="center"/>
    </xf>
    <xf numFmtId="0" fontId="35" fillId="0" borderId="15" xfId="73" applyFont="1" applyBorder="1" applyAlignment="1">
      <alignment horizontal="center"/>
    </xf>
    <xf numFmtId="0" fontId="35" fillId="0" borderId="0" xfId="73" applyFont="1" applyBorder="1" applyAlignment="1">
      <alignment horizontal="center"/>
    </xf>
    <xf numFmtId="0" fontId="7" fillId="0" borderId="15" xfId="73" applyFont="1" applyBorder="1" applyAlignment="1">
      <alignment horizontal="center" vertical="center"/>
    </xf>
    <xf numFmtId="0" fontId="7" fillId="0" borderId="14" xfId="73" applyFont="1" applyBorder="1" applyAlignment="1">
      <alignment horizontal="center" vertical="center"/>
    </xf>
    <xf numFmtId="0" fontId="7" fillId="0" borderId="16" xfId="73" applyFont="1" applyBorder="1" applyAlignment="1">
      <alignment horizontal="center"/>
    </xf>
    <xf numFmtId="0" fontId="22" fillId="0" borderId="15" xfId="3950" applyFont="1" applyBorder="1" applyAlignment="1">
      <alignment horizontal="center" vertical="center"/>
    </xf>
    <xf numFmtId="0" fontId="22" fillId="0" borderId="14" xfId="3950" applyFont="1" applyBorder="1" applyAlignment="1">
      <alignment horizontal="center" vertical="center"/>
    </xf>
    <xf numFmtId="0" fontId="22" fillId="0" borderId="15" xfId="30" applyFont="1" applyBorder="1" applyAlignment="1">
      <alignment horizontal="center"/>
    </xf>
    <xf numFmtId="0" fontId="22" fillId="0" borderId="0" xfId="30" applyFont="1" applyBorder="1" applyAlignment="1">
      <alignment horizontal="center"/>
    </xf>
    <xf numFmtId="0" fontId="22" fillId="0" borderId="15" xfId="28" applyFont="1" applyBorder="1" applyAlignment="1">
      <alignment horizontal="center" vertical="center"/>
    </xf>
    <xf numFmtId="0" fontId="22" fillId="0" borderId="0" xfId="28" applyFont="1" applyBorder="1" applyAlignment="1">
      <alignment horizontal="center" vertical="center"/>
    </xf>
    <xf numFmtId="0" fontId="22" fillId="0" borderId="15" xfId="27" applyFont="1" applyBorder="1" applyAlignment="1">
      <alignment horizontal="center" vertical="center"/>
    </xf>
    <xf numFmtId="0" fontId="22" fillId="0" borderId="15" xfId="28" applyFont="1" applyBorder="1" applyAlignment="1">
      <alignment horizontal="center"/>
    </xf>
    <xf numFmtId="0" fontId="22" fillId="0" borderId="0" xfId="28" applyFont="1" applyBorder="1" applyAlignment="1">
      <alignment horizontal="center"/>
    </xf>
    <xf numFmtId="0" fontId="42" fillId="0" borderId="0" xfId="28" applyFont="1" applyBorder="1" applyAlignment="1">
      <alignment horizontal="left"/>
    </xf>
    <xf numFmtId="0" fontId="43" fillId="0" borderId="0" xfId="28" applyFont="1" applyBorder="1" applyAlignment="1">
      <alignment horizontal="left"/>
    </xf>
  </cellXfs>
  <cellStyles count="4906">
    <cellStyle name="20% - Accent3 2" xfId="83"/>
    <cellStyle name="20% - Accent3 2 2" xfId="3997"/>
    <cellStyle name="Comma 2" xfId="3"/>
    <cellStyle name="Comma 2 2" xfId="38"/>
    <cellStyle name="Comma 2 2 2" xfId="84"/>
    <cellStyle name="Comma 2 2 2 2" xfId="3998"/>
    <cellStyle name="Comma 2 2 3" xfId="3971"/>
    <cellStyle name="Comma 2 3" xfId="85"/>
    <cellStyle name="Comma 2 3 2" xfId="3999"/>
    <cellStyle name="Comma 2 4" xfId="86"/>
    <cellStyle name="Comma 2 4 2" xfId="4000"/>
    <cellStyle name="Comma 2 5" xfId="87"/>
    <cellStyle name="Comma 2 5 2" xfId="4001"/>
    <cellStyle name="Comma 2 6" xfId="3928"/>
    <cellStyle name="Comma 2 7" xfId="3961"/>
    <cellStyle name="Comma 3" xfId="39"/>
    <cellStyle name="Comma 3 2" xfId="88"/>
    <cellStyle name="Comma 3 2 2" xfId="4002"/>
    <cellStyle name="Comma 3 3" xfId="89"/>
    <cellStyle name="Comma 3 3 2" xfId="4003"/>
    <cellStyle name="Comma 3 4" xfId="3972"/>
    <cellStyle name="Comma 4" xfId="40"/>
    <cellStyle name="Comma 4 2" xfId="3973"/>
    <cellStyle name="Comma 5" xfId="41"/>
    <cellStyle name="Comma 5 3" xfId="90"/>
    <cellStyle name="Comma 5 3 2" xfId="4004"/>
    <cellStyle name="Comma 7" xfId="4"/>
    <cellStyle name="Comma 7 2" xfId="3962"/>
    <cellStyle name="Hyperlink 2" xfId="42"/>
    <cellStyle name="ǰ݆ŴҸŴႂŴֲŴ" xfId="91"/>
    <cellStyle name="Normal 12 2" xfId="43"/>
    <cellStyle name="Normal 12 2 2" xfId="203"/>
    <cellStyle name="Normal 12 2 2 2" xfId="4054"/>
    <cellStyle name="Normal 12 2 3" xfId="260"/>
    <cellStyle name="Normal 12 2 3 2" xfId="4099"/>
    <cellStyle name="Normal 12 2 4" xfId="305"/>
    <cellStyle name="Normal 12 2 4 2" xfId="4115"/>
    <cellStyle name="Normal 12 2 5" xfId="500"/>
    <cellStyle name="Normal 12 2 5 2" xfId="4186"/>
    <cellStyle name="Normal 12 2 6" xfId="581"/>
    <cellStyle name="Normal 12 2 6 2" xfId="4215"/>
    <cellStyle name="Normal 12 2 7" xfId="876"/>
    <cellStyle name="Normal 12 2 7 2" xfId="4282"/>
    <cellStyle name="Normal 12 2 8" xfId="3974"/>
    <cellStyle name="Normal 2" xfId="5"/>
    <cellStyle name="Normal 2 14" xfId="35"/>
    <cellStyle name="Normal 2 15" xfId="44"/>
    <cellStyle name="Normal 2 2" xfId="6"/>
    <cellStyle name="Normal 2 2 2" xfId="92"/>
    <cellStyle name="Normal 2 2 2 2" xfId="4005"/>
    <cellStyle name="Normal 2 2 3" xfId="93"/>
    <cellStyle name="Normal 2 2 3 2" xfId="4006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2 2" xfId="4056"/>
    <cellStyle name="Normal 2 6 3" xfId="257"/>
    <cellStyle name="Normal 2 6 3 2" xfId="4096"/>
    <cellStyle name="Normal 2 6 4" xfId="303"/>
    <cellStyle name="Normal 2 6 4 2" xfId="4114"/>
    <cellStyle name="Normal 2 6 5" xfId="499"/>
    <cellStyle name="Normal 2 6 5 2" xfId="4185"/>
    <cellStyle name="Normal 2 6 6" xfId="474"/>
    <cellStyle name="Normal 2 6 6 2" xfId="4176"/>
    <cellStyle name="Normal 2 6 7" xfId="586"/>
    <cellStyle name="Normal 2 6 7 2" xfId="4218"/>
    <cellStyle name="Normal 2 6 8" xfId="3975"/>
    <cellStyle name="Normal 2 7" xfId="3929"/>
    <cellStyle name="Normal 26 2" xfId="49"/>
    <cellStyle name="Normal 26 2 2" xfId="206"/>
    <cellStyle name="Normal 26 2 2 2" xfId="4057"/>
    <cellStyle name="Normal 26 2 3" xfId="181"/>
    <cellStyle name="Normal 26 2 3 2" xfId="4042"/>
    <cellStyle name="Normal 26 2 4" xfId="302"/>
    <cellStyle name="Normal 26 2 4 2" xfId="4113"/>
    <cellStyle name="Normal 26 2 5" xfId="369"/>
    <cellStyle name="Normal 26 2 5 2" xfId="4138"/>
    <cellStyle name="Normal 26 2 6" xfId="612"/>
    <cellStyle name="Normal 26 2 6 2" xfId="4225"/>
    <cellStyle name="Normal 26 2 7" xfId="635"/>
    <cellStyle name="Normal 26 2 7 2" xfId="4229"/>
    <cellStyle name="Normal 26 2 8" xfId="3976"/>
    <cellStyle name="Normal 27 2" xfId="50"/>
    <cellStyle name="Normal 27 2 2" xfId="207"/>
    <cellStyle name="Normal 27 2 2 2" xfId="4058"/>
    <cellStyle name="Normal 27 2 3" xfId="180"/>
    <cellStyle name="Normal 27 2 3 2" xfId="4041"/>
    <cellStyle name="Normal 27 2 4" xfId="284"/>
    <cellStyle name="Normal 27 2 4 2" xfId="4107"/>
    <cellStyle name="Normal 27 2 5" xfId="505"/>
    <cellStyle name="Normal 27 2 5 2" xfId="4189"/>
    <cellStyle name="Normal 27 2 6" xfId="583"/>
    <cellStyle name="Normal 27 2 6 2" xfId="4216"/>
    <cellStyle name="Normal 27 2 7" xfId="460"/>
    <cellStyle name="Normal 27 2 7 2" xfId="4167"/>
    <cellStyle name="Normal 27 2 8" xfId="3977"/>
    <cellStyle name="Normal 28 2" xfId="51"/>
    <cellStyle name="Normal 28 2 2" xfId="208"/>
    <cellStyle name="Normal 28 2 2 2" xfId="4059"/>
    <cellStyle name="Normal 28 2 3" xfId="173"/>
    <cellStyle name="Normal 28 2 3 2" xfId="4036"/>
    <cellStyle name="Normal 28 2 4" xfId="247"/>
    <cellStyle name="Normal 28 2 4 2" xfId="4086"/>
    <cellStyle name="Normal 28 2 5" xfId="466"/>
    <cellStyle name="Normal 28 2 5 2" xfId="4170"/>
    <cellStyle name="Normal 28 2 6" xfId="456"/>
    <cellStyle name="Normal 28 2 6 2" xfId="4163"/>
    <cellStyle name="Normal 28 2 7" xfId="540"/>
    <cellStyle name="Normal 28 2 7 2" xfId="4203"/>
    <cellStyle name="Normal 28 2 8" xfId="3978"/>
    <cellStyle name="Normal 29 2" xfId="52"/>
    <cellStyle name="Normal 29 2 2" xfId="209"/>
    <cellStyle name="Normal 29 2 2 2" xfId="4060"/>
    <cellStyle name="Normal 29 2 3" xfId="256"/>
    <cellStyle name="Normal 29 2 3 2" xfId="4095"/>
    <cellStyle name="Normal 29 2 4" xfId="285"/>
    <cellStyle name="Normal 29 2 4 2" xfId="4108"/>
    <cellStyle name="Normal 29 2 5" xfId="504"/>
    <cellStyle name="Normal 29 2 5 2" xfId="4188"/>
    <cellStyle name="Normal 29 2 6" xfId="473"/>
    <cellStyle name="Normal 29 2 6 2" xfId="4175"/>
    <cellStyle name="Normal 29 2 7" xfId="849"/>
    <cellStyle name="Normal 29 2 7 2" xfId="4274"/>
    <cellStyle name="Normal 29 2 8" xfId="3979"/>
    <cellStyle name="Normal 3" xfId="7"/>
    <cellStyle name="Normal 3 2" xfId="53"/>
    <cellStyle name="Normal 3 2 2" xfId="54"/>
    <cellStyle name="Normal 3 2 2 2" xfId="211"/>
    <cellStyle name="Normal 3 2 2 2 2" xfId="4062"/>
    <cellStyle name="Normal 3 2 2 3" xfId="179"/>
    <cellStyle name="Normal 3 2 2 3 2" xfId="4040"/>
    <cellStyle name="Normal 3 2 2 4" xfId="153"/>
    <cellStyle name="Normal 3 2 2 4 2" xfId="4031"/>
    <cellStyle name="Normal 3 2 2 5" xfId="467"/>
    <cellStyle name="Normal 3 2 2 5 2" xfId="4171"/>
    <cellStyle name="Normal 3 2 2 6" xfId="457"/>
    <cellStyle name="Normal 3 2 2 6 2" xfId="4164"/>
    <cellStyle name="Normal 3 2 2 7" xfId="556"/>
    <cellStyle name="Normal 3 2 2 7 2" xfId="4208"/>
    <cellStyle name="Normal 3 2 2 8" xfId="3981"/>
    <cellStyle name="Normal 3 2 3" xfId="210"/>
    <cellStyle name="Normal 3 2 3 2" xfId="4061"/>
    <cellStyle name="Normal 3 2 4" xfId="255"/>
    <cellStyle name="Normal 3 2 4 2" xfId="4094"/>
    <cellStyle name="Normal 3 2 5" xfId="240"/>
    <cellStyle name="Normal 3 2 5 2" xfId="4083"/>
    <cellStyle name="Normal 3 2 6" xfId="366"/>
    <cellStyle name="Normal 3 2 6 2" xfId="4137"/>
    <cellStyle name="Normal 3 2 7" xfId="194"/>
    <cellStyle name="Normal 3 2 7 2" xfId="4048"/>
    <cellStyle name="Normal 3 2 8" xfId="574"/>
    <cellStyle name="Normal 3 2 8 2" xfId="4211"/>
    <cellStyle name="Normal 3 2 9" xfId="3980"/>
    <cellStyle name="Normal 3 3" xfId="95"/>
    <cellStyle name="Normal 30 2" xfId="55"/>
    <cellStyle name="Normal 30 2 2" xfId="212"/>
    <cellStyle name="Normal 30 2 2 2" xfId="4063"/>
    <cellStyle name="Normal 30 2 3" xfId="155"/>
    <cellStyle name="Normal 30 2 3 2" xfId="4033"/>
    <cellStyle name="Normal 30 2 4" xfId="286"/>
    <cellStyle name="Normal 30 2 4 2" xfId="4109"/>
    <cellStyle name="Normal 30 2 5" xfId="432"/>
    <cellStyle name="Normal 30 2 5 2" xfId="4155"/>
    <cellStyle name="Normal 30 2 6" xfId="472"/>
    <cellStyle name="Normal 30 2 6 2" xfId="4174"/>
    <cellStyle name="Normal 30 2 7" xfId="645"/>
    <cellStyle name="Normal 30 2 7 2" xfId="4230"/>
    <cellStyle name="Normal 30 2 8" xfId="3982"/>
    <cellStyle name="Normal 31 2" xfId="56"/>
    <cellStyle name="Normal 31 2 2" xfId="213"/>
    <cellStyle name="Normal 31 2 2 2" xfId="4064"/>
    <cellStyle name="Normal 31 2 3" xfId="254"/>
    <cellStyle name="Normal 31 2 3 2" xfId="4093"/>
    <cellStyle name="Normal 31 2 4" xfId="223"/>
    <cellStyle name="Normal 31 2 4 2" xfId="4074"/>
    <cellStyle name="Normal 31 2 5" xfId="365"/>
    <cellStyle name="Normal 31 2 5 2" xfId="4136"/>
    <cellStyle name="Normal 31 2 6" xfId="204"/>
    <cellStyle name="Normal 31 2 6 2" xfId="4055"/>
    <cellStyle name="Normal 31 2 7" xfId="646"/>
    <cellStyle name="Normal 31 2 7 2" xfId="4231"/>
    <cellStyle name="Normal 31 2 8" xfId="3983"/>
    <cellStyle name="Normal 35 2" xfId="37"/>
    <cellStyle name="Normal 35 2 2" xfId="57"/>
    <cellStyle name="Normal 35 2 2 2" xfId="214"/>
    <cellStyle name="Normal 35 2 2 2 2" xfId="4065"/>
    <cellStyle name="Normal 35 2 2 3" xfId="253"/>
    <cellStyle name="Normal 35 2 2 3 2" xfId="4092"/>
    <cellStyle name="Normal 35 2 2 4" xfId="224"/>
    <cellStyle name="Normal 35 2 2 4 2" xfId="4075"/>
    <cellStyle name="Normal 35 2 2 5" xfId="503"/>
    <cellStyle name="Normal 35 2 2 5 2" xfId="4187"/>
    <cellStyle name="Normal 35 2 2 6" xfId="331"/>
    <cellStyle name="Normal 35 2 2 6 2" xfId="4126"/>
    <cellStyle name="Normal 35 2 2 7" xfId="437"/>
    <cellStyle name="Normal 35 2 2 7 2" xfId="4158"/>
    <cellStyle name="Normal 35 2 2 8" xfId="3984"/>
    <cellStyle name="Normal 35 2 3" xfId="197"/>
    <cellStyle name="Normal 35 2 3 2" xfId="4050"/>
    <cellStyle name="Normal 35 2 4" xfId="266"/>
    <cellStyle name="Normal 35 2 4 2" xfId="4100"/>
    <cellStyle name="Normal 35 2 5" xfId="307"/>
    <cellStyle name="Normal 35 2 5 2" xfId="4116"/>
    <cellStyle name="Normal 35 2 6" xfId="508"/>
    <cellStyle name="Normal 35 2 6 2" xfId="4191"/>
    <cellStyle name="Normal 35 2 7" xfId="615"/>
    <cellStyle name="Normal 35 2 7 2" xfId="4226"/>
    <cellStyle name="Normal 35 2 8" xfId="848"/>
    <cellStyle name="Normal 35 2 8 2" xfId="4273"/>
    <cellStyle name="Normal 35 2 9" xfId="3970"/>
    <cellStyle name="Normal 36 2" xfId="58"/>
    <cellStyle name="Normal 36 2 2" xfId="215"/>
    <cellStyle name="Normal 36 2 2 2" xfId="4066"/>
    <cellStyle name="Normal 36 2 3" xfId="252"/>
    <cellStyle name="Normal 36 2 3 2" xfId="4091"/>
    <cellStyle name="Normal 36 2 4" xfId="225"/>
    <cellStyle name="Normal 36 2 4 2" xfId="4076"/>
    <cellStyle name="Normal 36 2 5" xfId="468"/>
    <cellStyle name="Normal 36 2 5 2" xfId="4172"/>
    <cellStyle name="Normal 36 2 6" xfId="584"/>
    <cellStyle name="Normal 36 2 6 2" xfId="4217"/>
    <cellStyle name="Normal 36 2 7" xfId="496"/>
    <cellStyle name="Normal 36 2 7 2" xfId="4184"/>
    <cellStyle name="Normal 36 2 8" xfId="3985"/>
    <cellStyle name="Normal 37 2" xfId="59"/>
    <cellStyle name="Normal 37 2 2" xfId="216"/>
    <cellStyle name="Normal 37 2 2 2" xfId="4067"/>
    <cellStyle name="Normal 37 2 3" xfId="251"/>
    <cellStyle name="Normal 37 2 3 2" xfId="4090"/>
    <cellStyle name="Normal 37 2 4" xfId="176"/>
    <cellStyle name="Normal 37 2 4 2" xfId="4037"/>
    <cellStyle name="Normal 37 2 5" xfId="362"/>
    <cellStyle name="Normal 37 2 5 2" xfId="4135"/>
    <cellStyle name="Normal 37 2 6" xfId="458"/>
    <cellStyle name="Normal 37 2 6 2" xfId="4165"/>
    <cellStyle name="Normal 37 2 7" xfId="575"/>
    <cellStyle name="Normal 37 2 7 2" xfId="4212"/>
    <cellStyle name="Normal 37 2 8" xfId="3986"/>
    <cellStyle name="Normal 38 2" xfId="60"/>
    <cellStyle name="Normal 38 2 2" xfId="217"/>
    <cellStyle name="Normal 38 2 2 2" xfId="4068"/>
    <cellStyle name="Normal 38 2 3" xfId="178"/>
    <cellStyle name="Normal 38 2 3 2" xfId="4039"/>
    <cellStyle name="Normal 38 2 4" xfId="198"/>
    <cellStyle name="Normal 38 2 4 2" xfId="4051"/>
    <cellStyle name="Normal 38 2 5" xfId="361"/>
    <cellStyle name="Normal 38 2 5 2" xfId="4134"/>
    <cellStyle name="Normal 38 2 6" xfId="435"/>
    <cellStyle name="Normal 38 2 6 2" xfId="4157"/>
    <cellStyle name="Normal 38 2 7" xfId="579"/>
    <cellStyle name="Normal 38 2 7 2" xfId="4214"/>
    <cellStyle name="Normal 38 2 8" xfId="3987"/>
    <cellStyle name="Normal 39 2" xfId="61"/>
    <cellStyle name="Normal 39 2 2" xfId="218"/>
    <cellStyle name="Normal 39 2 2 2" xfId="4069"/>
    <cellStyle name="Normal 39 2 3" xfId="228"/>
    <cellStyle name="Normal 39 2 3 2" xfId="4079"/>
    <cellStyle name="Normal 39 2 4" xfId="241"/>
    <cellStyle name="Normal 39 2 4 2" xfId="4084"/>
    <cellStyle name="Normal 39 2 5" xfId="396"/>
    <cellStyle name="Normal 39 2 5 2" xfId="4148"/>
    <cellStyle name="Normal 39 2 6" xfId="459"/>
    <cellStyle name="Normal 39 2 6 2" xfId="4166"/>
    <cellStyle name="Normal 39 2 7" xfId="1151"/>
    <cellStyle name="Normal 39 2 7 2" xfId="4335"/>
    <cellStyle name="Normal 39 2 8" xfId="3988"/>
    <cellStyle name="Normal 4" xfId="96"/>
    <cellStyle name="Normal 4 2" xfId="62"/>
    <cellStyle name="Normal 4 2 2" xfId="219"/>
    <cellStyle name="Normal 4 2 2 2" xfId="4070"/>
    <cellStyle name="Normal 4 2 3" xfId="177"/>
    <cellStyle name="Normal 4 2 3 2" xfId="4038"/>
    <cellStyle name="Normal 4 2 4" xfId="171"/>
    <cellStyle name="Normal 4 2 4 2" xfId="4034"/>
    <cellStyle name="Normal 4 2 5" xfId="360"/>
    <cellStyle name="Normal 4 2 5 2" xfId="4133"/>
    <cellStyle name="Normal 4 2 6" xfId="199"/>
    <cellStyle name="Normal 4 2 6 2" xfId="4052"/>
    <cellStyle name="Normal 4 2 7" xfId="974"/>
    <cellStyle name="Normal 4 2 7 2" xfId="4300"/>
    <cellStyle name="Normal 4 2 8" xfId="3989"/>
    <cellStyle name="Normal 4 3" xfId="4007"/>
    <cellStyle name="Normal 40 2" xfId="63"/>
    <cellStyle name="Normal 40 2 2" xfId="220"/>
    <cellStyle name="Normal 40 2 2 2" xfId="4071"/>
    <cellStyle name="Normal 40 2 3" xfId="250"/>
    <cellStyle name="Normal 40 2 3 2" xfId="4089"/>
    <cellStyle name="Normal 40 2 4" xfId="258"/>
    <cellStyle name="Normal 40 2 4 2" xfId="4097"/>
    <cellStyle name="Normal 40 2 5" xfId="359"/>
    <cellStyle name="Normal 40 2 5 2" xfId="4132"/>
    <cellStyle name="Normal 40 2 6" xfId="311"/>
    <cellStyle name="Normal 40 2 6 2" xfId="4119"/>
    <cellStyle name="Normal 40 2 7" xfId="860"/>
    <cellStyle name="Normal 40 2 7 2" xfId="4277"/>
    <cellStyle name="Normal 40 2 8" xfId="3990"/>
    <cellStyle name="Normal 43 2" xfId="64"/>
    <cellStyle name="Normal 43 2 2" xfId="221"/>
    <cellStyle name="Normal 43 2 2 2" xfId="4072"/>
    <cellStyle name="Normal 43 2 3" xfId="249"/>
    <cellStyle name="Normal 43 2 3 2" xfId="4088"/>
    <cellStyle name="Normal 43 2 4" xfId="259"/>
    <cellStyle name="Normal 43 2 4 2" xfId="4098"/>
    <cellStyle name="Normal 43 2 5" xfId="237"/>
    <cellStyle name="Normal 43 2 5 2" xfId="4081"/>
    <cellStyle name="Normal 43 2 6" xfId="310"/>
    <cellStyle name="Normal 43 2 6 2" xfId="4118"/>
    <cellStyle name="Normal 43 2 7" xfId="840"/>
    <cellStyle name="Normal 43 2 7 2" xfId="4271"/>
    <cellStyle name="Normal 43 2 8" xfId="3991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2 2" xfId="4008"/>
    <cellStyle name="Normal 7 2 3" xfId="226"/>
    <cellStyle name="Normal 7 2 3 2" xfId="4077"/>
    <cellStyle name="Normal 7 2 4" xfId="222"/>
    <cellStyle name="Normal 7 2 4 2" xfId="4073"/>
    <cellStyle name="Normal 7 2 5" xfId="192"/>
    <cellStyle name="Normal 7 2 5 2" xfId="4046"/>
    <cellStyle name="Normal 7 2 6" xfId="357"/>
    <cellStyle name="Normal 7 2 6 2" xfId="4131"/>
    <cellStyle name="Normal 7 2 7" xfId="566"/>
    <cellStyle name="Normal 7 2 7 2" xfId="4209"/>
    <cellStyle name="Normal 7 2 8" xfId="576"/>
    <cellStyle name="Normal 7 2 8 2" xfId="4213"/>
    <cellStyle name="Normal 7 2 9" xfId="3992"/>
    <cellStyle name="Normal 8" xfId="98"/>
    <cellStyle name="Normal 8 2" xfId="70"/>
    <cellStyle name="Normal 8 2 2" xfId="227"/>
    <cellStyle name="Normal 8 2 2 2" xfId="4078"/>
    <cellStyle name="Normal 8 2 3" xfId="248"/>
    <cellStyle name="Normal 8 2 3 2" xfId="4087"/>
    <cellStyle name="Normal 8 2 4" xfId="229"/>
    <cellStyle name="Normal 8 2 4 2" xfId="4080"/>
    <cellStyle name="Normal 8 2 5" xfId="292"/>
    <cellStyle name="Normal 8 2 5 2" xfId="4111"/>
    <cellStyle name="Normal 8 2 6" xfId="383"/>
    <cellStyle name="Normal 8 2 6 2" xfId="4146"/>
    <cellStyle name="Normal 8 2 7" xfId="555"/>
    <cellStyle name="Normal 8 2 7 2" xfId="4207"/>
    <cellStyle name="Normal 8 2 8" xfId="3993"/>
    <cellStyle name="Normal 9" xfId="9"/>
    <cellStyle name="Normal 9 2" xfId="71"/>
    <cellStyle name="Percent 2" xfId="99"/>
    <cellStyle name="Style 1" xfId="100"/>
    <cellStyle name="Style 1 2" xfId="4009"/>
    <cellStyle name="Total 2" xfId="101"/>
    <cellStyle name="Ŵ" xfId="102"/>
    <cellStyle name="Ŵ 2" xfId="4010"/>
    <cellStyle name="เครื่องหมายจุลภาค 10" xfId="10"/>
    <cellStyle name="เครื่องหมายจุลภาค 10 2" xfId="3963"/>
    <cellStyle name="เครื่องหมายจุลภาค 11" xfId="36"/>
    <cellStyle name="เครื่องหมายจุลภาค 11 2" xfId="196"/>
    <cellStyle name="เครื่องหมายจุลภาค 11 2 2" xfId="4049"/>
    <cellStyle name="เครื่องหมายจุลภาค 11 3" xfId="269"/>
    <cellStyle name="เครื่องหมายจุลภาค 11 3 2" xfId="4101"/>
    <cellStyle name="เครื่องหมายจุลภาค 11 4" xfId="308"/>
    <cellStyle name="เครื่องหมายจุลภาค 11 4 2" xfId="4117"/>
    <cellStyle name="เครื่องหมายจุลภาค 11 5" xfId="375"/>
    <cellStyle name="เครื่องหมายจุลภาค 11 5 2" xfId="4142"/>
    <cellStyle name="เครื่องหมายจุลภาค 11 6" xfId="476"/>
    <cellStyle name="เครื่องหมายจุลภาค 11 6 2" xfId="4177"/>
    <cellStyle name="เครื่องหมายจุลภาค 11 7" xfId="877"/>
    <cellStyle name="เครื่องหมายจุลภาค 11 7 2" xfId="4283"/>
    <cellStyle name="เครื่องหมายจุลภาค 11 8" xfId="3969"/>
    <cellStyle name="เครื่องหมายจุลภาค 12" xfId="103"/>
    <cellStyle name="เครื่องหมายจุลภาค 12 2" xfId="3933"/>
    <cellStyle name="เครื่องหมายจุลภาค 12 3" xfId="3934"/>
    <cellStyle name="เครื่องหมายจุลภาค 12 4" xfId="4011"/>
    <cellStyle name="เครื่องหมายจุลภาค 13" xfId="3926"/>
    <cellStyle name="เครื่องหมายจุลภาค 14" xfId="3935"/>
    <cellStyle name="เครื่องหมายจุลภาค 18 2 11" xfId="104"/>
    <cellStyle name="เครื่องหมายจุลภาค 18 2 11 2" xfId="4012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2 2 3" xfId="4841"/>
    <cellStyle name="เครื่องหมายจุลภาค 2 10 2 2 2 3" xfId="2642"/>
    <cellStyle name="เครื่องหมายจุลภาค 2 10 2 2 2 4" xfId="4358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2 5 3" xfId="4616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2 2 2 2" xfId="4889"/>
    <cellStyle name="เครื่องหมายจุลภาค 2 10 2 3 2 3" xfId="4429"/>
    <cellStyle name="เครื่องหมายจุลภาค 2 10 2 3 3" xfId="2771"/>
    <cellStyle name="เครื่องหมายจุลภาค 2 10 2 3 3 2" xfId="4667"/>
    <cellStyle name="เครื่องหมายจุลภาค 2 10 2 4" xfId="1920"/>
    <cellStyle name="เครื่องหมายจุลภาค 2 10 2 4 2" xfId="4496"/>
    <cellStyle name="เครื่องหมายจุลภาค 2 10 2 5" xfId="2295"/>
    <cellStyle name="เครื่องหมายจุลภาค 2 10 2 5 2" xfId="3019"/>
    <cellStyle name="เครื่องหมายจุลภาค 2 10 2 5 2 2" xfId="4719"/>
    <cellStyle name="เครื่องหมายจุลภาค 2 10 2 6" xfId="4195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2 2 3" xfId="4762"/>
    <cellStyle name="เครื่องหมายจุลภาค 2 10 3 3" xfId="2424"/>
    <cellStyle name="เครื่องหมายจุลภาค 2 10 3 4" xfId="4258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0 6 3" xfId="4534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2 2 3" xfId="4761"/>
    <cellStyle name="เครื่องหมายจุลภาค 2 11 2 3" xfId="2370"/>
    <cellStyle name="เครื่องหมายจุลภาค 2 11 2 4" xfId="4257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1 5 3" xfId="4533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2 2 2 2" xfId="4785"/>
    <cellStyle name="เครื่องหมายจุลภาค 2 12 2 3" xfId="4293"/>
    <cellStyle name="เครื่องหมายจุลภาค 2 12 3" xfId="2248"/>
    <cellStyle name="เครื่องหมายจุลภาค 2 12 3 2" xfId="4559"/>
    <cellStyle name="เครื่องหมายจุลภาค 2 13" xfId="373"/>
    <cellStyle name="เครื่องหมายจุลภาค 2 13 2" xfId="4140"/>
    <cellStyle name="เครื่องหมายจุลภาค 2 14" xfId="669"/>
    <cellStyle name="เครื่องหมายจุลภาค 2 14 2" xfId="610"/>
    <cellStyle name="เครื่องหมายจุลภาค 2 14 2 2" xfId="4224"/>
    <cellStyle name="เครื่องหมายจุลภาค 2 15" xfId="3960"/>
    <cellStyle name="เครื่องหมายจุลภาค 2 2" xfId="11"/>
    <cellStyle name="เครื่องหมายจุลภาค 2 2 2" xfId="3936"/>
    <cellStyle name="เครื่องหมายจุลภาค 2 2 2 2" xfId="3937"/>
    <cellStyle name="เครื่องหมายจุลภาค 2 2 2 3" xfId="3938"/>
    <cellStyle name="เครื่องหมายจุลภาค 2 2 2 3 2" xfId="3939"/>
    <cellStyle name="เครื่องหมายจุลภาค 2 2 3" xfId="3940"/>
    <cellStyle name="เครื่องหมายจุลภาค 2 2 4" xfId="3964"/>
    <cellStyle name="เครื่องหมายจุลภาค 2 3" xfId="12"/>
    <cellStyle name="เครื่องหมายจุลภาค 2 3 2" xfId="3952"/>
    <cellStyle name="เครื่องหมายจุลภาค 2 3 3" xfId="3965"/>
    <cellStyle name="เครื่องหมายจุลภาค 2 4" xfId="13"/>
    <cellStyle name="เครื่องหมายจุลภาค 2 4 2" xfId="3951"/>
    <cellStyle name="เครื่องหมายจุลภาค 2 4 3" xfId="3966"/>
    <cellStyle name="เครื่องหมายจุลภาค 2 5" xfId="105"/>
    <cellStyle name="เครื่องหมายจุลภาค 2 5 2" xfId="3954"/>
    <cellStyle name="เครื่องหมายจุลภาค 2 6" xfId="106"/>
    <cellStyle name="เครื่องหมายจุลภาค 2 6 2" xfId="4013"/>
    <cellStyle name="เครื่องหมายจุลภาค 2 7" xfId="107"/>
    <cellStyle name="เครื่องหมายจุลภาค 2 7 2" xfId="4014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2 2 3" xfId="4861"/>
    <cellStyle name="เครื่องหมายจุลภาค 2 8 2 2 2 2 2 3" xfId="2673"/>
    <cellStyle name="เครื่องหมายจุลภาค 2 8 2 2 2 2 2 4" xfId="4378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2 5 3" xfId="4636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2 2 2 2" xfId="4899"/>
    <cellStyle name="เครื่องหมายจุลภาค 2 8 2 2 2 3 2 3" xfId="4449"/>
    <cellStyle name="เครื่องหมายจุลภาค 2 8 2 2 2 3 3" xfId="2810"/>
    <cellStyle name="เครื่องหมายจุลภาค 2 8 2 2 2 3 3 2" xfId="4677"/>
    <cellStyle name="เครื่องหมายจุลภาค 2 8 2 2 2 4" xfId="2023"/>
    <cellStyle name="เครื่องหมายจุลภาค 2 8 2 2 2 4 2" xfId="4516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2 5 2 2" xfId="4743"/>
    <cellStyle name="เครื่องหมายจุลภาค 2 8 2 2 2 6" xfId="4238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2 2 3" xfId="4791"/>
    <cellStyle name="เครื่องหมายจุลภาค 2 8 2 2 3 3" xfId="2471"/>
    <cellStyle name="เครื่องหมายจุลภาค 2 8 2 2 3 4" xfId="430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2 6 3" xfId="4565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2 2 3" xfId="4816"/>
    <cellStyle name="เครื่องหมายจุลภาค 2 8 2 3 2 3" xfId="2548"/>
    <cellStyle name="เครื่องหมายจุลภาค 2 8 2 3 2 4" xfId="4329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3 5 3" xfId="4591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2 2 2 2" xfId="4879"/>
    <cellStyle name="เครื่องหมายจุลภาค 2 8 2 4 2 3" xfId="4402"/>
    <cellStyle name="เครื่องหมายจุลภาค 2 8 2 4 3" xfId="2727"/>
    <cellStyle name="เครื่องหมายจุลภาค 2 8 2 4 3 2" xfId="4657"/>
    <cellStyle name="เครื่องหมายจุลภาค 2 8 2 5" xfId="1805"/>
    <cellStyle name="เครื่องหมายจุลภาค 2 8 2 5 2" xfId="4471"/>
    <cellStyle name="เครื่องหมายจุลภาค 2 8 2 6" xfId="2156"/>
    <cellStyle name="เครื่องหมายจุลภาค 2 8 2 6 2" xfId="2879"/>
    <cellStyle name="เครื่องหมายจุลภาค 2 8 2 6 2 2" xfId="4691"/>
    <cellStyle name="เครื่องหมายจุลภาค 2 8 2 7" xfId="4120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2 2 3" xfId="4818"/>
    <cellStyle name="เครื่องหมายจุลภาค 2 8 3 2 2 3" xfId="2586"/>
    <cellStyle name="เครื่องหมายจุลภาค 2 8 3 2 2 4" xfId="4331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2 5 3" xfId="4593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2 2 2 2" xfId="4880"/>
    <cellStyle name="เครื่องหมายจุลภาค 2 8 3 3 2 3" xfId="4405"/>
    <cellStyle name="เครื่องหมายจุลภาค 2 8 3 3 3" xfId="2730"/>
    <cellStyle name="เครื่องหมายจุลภาค 2 8 3 3 3 2" xfId="4658"/>
    <cellStyle name="เครื่องหมายจุลภาค 2 8 3 4" xfId="1821"/>
    <cellStyle name="เครื่องหมายจุลภาค 2 8 3 4 2" xfId="4473"/>
    <cellStyle name="เครื่องหมายจุลภาค 2 8 3 5" xfId="2205"/>
    <cellStyle name="เครื่องหมายจุลภาค 2 8 3 5 2" xfId="2901"/>
    <cellStyle name="เครื่องหมายจุลภาค 2 8 3 5 2 2" xfId="4694"/>
    <cellStyle name="เครื่องหมายจุลภาค 2 8 3 6" xfId="4127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2 2 3" xfId="4734"/>
    <cellStyle name="เครื่องหมายจุลภาค 2 8 4 3" xfId="2235"/>
    <cellStyle name="เครื่องหมายจุลภาค 2 8 4 4" xfId="4223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8 7 3" xfId="4284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2 2 2 2" xfId="4765"/>
    <cellStyle name="เครื่องหมายจุลภาค 3 10 2 3" xfId="4261"/>
    <cellStyle name="เครื่องหมายจุลภาค 3 10 3" xfId="2121"/>
    <cellStyle name="เครื่องหมายจุลภาค 3 10 3 2" xfId="4538"/>
    <cellStyle name="เครื่องหมายจุลภาค 3 11" xfId="1485"/>
    <cellStyle name="เครื่องหมายจุลภาค 3 11 2" xfId="4404"/>
    <cellStyle name="เครื่องหมายจุลภาค 3 12" xfId="616"/>
    <cellStyle name="เครื่องหมายจุลภาค 3 12 2" xfId="2842"/>
    <cellStyle name="เครื่องหมายจุลภาค 3 12 2 2" xfId="4684"/>
    <cellStyle name="เครื่องหมายจุลภาค 3 13" xfId="3967"/>
    <cellStyle name="เครื่องหมายจุลภาค 3 2" xfId="15"/>
    <cellStyle name="เครื่องหมายจุลภาค 3 2 2" xfId="3968"/>
    <cellStyle name="เครื่องหมายจุลภาค 3 3" xfId="72"/>
    <cellStyle name="เครื่องหมายจุลภาค 3 3 2" xfId="108"/>
    <cellStyle name="เครื่องหมายจุลภาค 3 3 2 2" xfId="4015"/>
    <cellStyle name="เครื่องหมายจุลภาค 3 3 3" xfId="109"/>
    <cellStyle name="เครื่องหมายจุลภาค 3 3 3 2" xfId="4016"/>
    <cellStyle name="เครื่องหมายจุลภาค 3 3 4" xfId="150"/>
    <cellStyle name="เครื่องหมายจุลภาค 3 3 5" xfId="3994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2 2 3" xfId="4867"/>
    <cellStyle name="เครื่องหมายจุลภาค 3 6 2 2 2 2 2 3" xfId="2674"/>
    <cellStyle name="เครื่องหมายจุลภาค 3 6 2 2 2 2 2 4" xfId="438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2 5 3" xfId="4642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2 2 2 2" xfId="4900"/>
    <cellStyle name="เครื่องหมายจุลภาค 3 6 2 2 2 3 2 3" xfId="4455"/>
    <cellStyle name="เครื่องหมายจุลภาค 3 6 2 2 2 3 3" xfId="2811"/>
    <cellStyle name="เครื่องหมายจุลภาค 3 6 2 2 2 3 3 2" xfId="4678"/>
    <cellStyle name="เครื่องหมายจุลภาค 3 6 2 2 2 4" xfId="2047"/>
    <cellStyle name="เครื่องหมายจุลภาค 3 6 2 2 2 4 2" xfId="4522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2 5 2 2" xfId="4749"/>
    <cellStyle name="เครื่องหมายจุลภาค 3 6 2 2 2 6" xfId="4244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2 2 3" xfId="4798"/>
    <cellStyle name="เครื่องหมายจุลภาค 3 6 2 2 3 3" xfId="2472"/>
    <cellStyle name="เครื่องหมายจุลภาค 3 6 2 2 3 4" xfId="4309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2 6 3" xfId="4572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2 2 3" xfId="4824"/>
    <cellStyle name="เครื่องหมายจุลภาค 3 6 2 3 2 3" xfId="2549"/>
    <cellStyle name="เครื่องหมายจุลภาค 3 6 2 3 2 4" xfId="433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3 5 3" xfId="4599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2 2 2 2" xfId="4881"/>
    <cellStyle name="เครื่องหมายจุลภาค 3 6 2 4 2 3" xfId="4412"/>
    <cellStyle name="เครื่องหมายจุลภาค 3 6 2 4 3" xfId="2735"/>
    <cellStyle name="เครื่องหมายจุลภาค 3 6 2 4 3 2" xfId="4659"/>
    <cellStyle name="เครื่องหมายจุลภาค 3 6 2 5" xfId="1844"/>
    <cellStyle name="เครื่องหมายจุลภาค 3 6 2 5 2" xfId="4479"/>
    <cellStyle name="เครื่องหมายจุลภาค 3 6 2 6" xfId="2157"/>
    <cellStyle name="เครื่องหมายจุลภาค 3 6 2 6 2" xfId="2932"/>
    <cellStyle name="เครื่องหมายจุลภาค 3 6 2 6 2 2" xfId="4701"/>
    <cellStyle name="เครื่องหมายจุลภาค 3 6 2 7" xfId="4150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2 2 3" xfId="4695"/>
    <cellStyle name="เครื่องหมายจุลภาค 3 6 3 2 2 3" xfId="2587"/>
    <cellStyle name="เครื่องหมายจุลภาค 3 6 3 2 2 4" xfId="4129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2 5 3" xfId="420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2 2 2 2" xfId="4809"/>
    <cellStyle name="เครื่องหมายจุลภาค 3 6 3 3 2 3" xfId="4320"/>
    <cellStyle name="เครื่องหมายจุลภาค 3 6 3 3 3" xfId="2363"/>
    <cellStyle name="เครื่องหมายจุลภาค 3 6 3 3 3 2" xfId="4583"/>
    <cellStyle name="เครื่องหมายจุลภาค 3 6 3 4" xfId="1079"/>
    <cellStyle name="เครื่องหมายจุลภาค 3 6 3 4 2" xfId="4322"/>
    <cellStyle name="เครื่องหมายจุลภาค 3 6 3 5" xfId="2206"/>
    <cellStyle name="เครื่องหมายจุลภาค 3 6 3 5 2" xfId="2230"/>
    <cellStyle name="เครื่องหมายจุลภาค 3 6 3 5 2 2" xfId="4555"/>
    <cellStyle name="เครื่องหมายจุลภาค 3 6 3 6" xfId="4045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2 2 3" xfId="4584"/>
    <cellStyle name="เครื่องหมายจุลภาค 3 6 4 3" xfId="2122"/>
    <cellStyle name="เครื่องหมายจุลภาค 3 6 4 4" xfId="4085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6 7 3" xfId="4270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2 2 3" xfId="4848"/>
    <cellStyle name="เครื่องหมายจุลภาค 3 8 2 2 2 3" xfId="2641"/>
    <cellStyle name="เครื่องหมายจุลภาค 3 8 2 2 2 4" xfId="4365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2 5 3" xfId="462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2 2 2 2" xfId="4896"/>
    <cellStyle name="เครื่องหมายจุลภาค 3 8 2 3 2 3" xfId="4436"/>
    <cellStyle name="เครื่องหมายจุลภาค 3 8 2 3 3" xfId="2791"/>
    <cellStyle name="เครื่องหมายจุลภาค 3 8 2 3 3 2" xfId="4674"/>
    <cellStyle name="เครื่องหมายจุลภาค 3 8 2 4" xfId="1940"/>
    <cellStyle name="เครื่องหมายจุลภาค 3 8 2 4 2" xfId="4503"/>
    <cellStyle name="เครื่องหมายจุลภาค 3 8 2 5" xfId="2294"/>
    <cellStyle name="เครื่องหมายจุลภาค 3 8 2 5 2" xfId="3039"/>
    <cellStyle name="เครื่องหมายจุลภาค 3 8 2 5 2 2" xfId="4726"/>
    <cellStyle name="เครื่องหมายจุลภาค 3 8 2 6" xfId="4202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2 2 3" xfId="4772"/>
    <cellStyle name="เครื่องหมายจุลภาค 3 8 3 3" xfId="2423"/>
    <cellStyle name="เครื่องหมายจุลภาค 3 8 3 4" xfId="4268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8 6 3" xfId="4545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2 2 3" xfId="4779"/>
    <cellStyle name="เครื่องหมายจุลภาค 3 9 2 3" xfId="2448"/>
    <cellStyle name="เครื่องหมายจุลภาค 3 9 2 4" xfId="4286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3 9 5 3" xfId="4552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2" xfId="18"/>
    <cellStyle name="เครื่องหมายจุลภาค 5 2 11" xfId="115"/>
    <cellStyle name="เครื่องหมายจุลภาค 5 2 11 2" xfId="4017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2 2 2 2" xfId="4873"/>
    <cellStyle name="เครื่องหมายจุลภาค 7 2 2 2 2 2 2 2 2 2 2 3" xfId="4390"/>
    <cellStyle name="เครื่องหมายจุลภาค 7 2 2 2 2 2 2 2 2 2 3" xfId="2698"/>
    <cellStyle name="เครื่องหมายจุลภาค 7 2 2 2 2 2 2 2 2 2 3 2" xfId="4648"/>
    <cellStyle name="เครื่องหมายจุลภาค 7 2 2 2 2 2 2 2 2 3" xfId="1765"/>
    <cellStyle name="เครื่องหมายจุลภาค 7 2 2 2 2 2 2 2 2 3 2" xfId="4461"/>
    <cellStyle name="เครื่องหมายจุลภาค 7 2 2 2 2 2 2 2 2 4" xfId="2092"/>
    <cellStyle name="เครื่องหมายจุลภาค 7 2 2 2 2 2 2 2 2 4 2" xfId="4528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2 5 2 2" xfId="4755"/>
    <cellStyle name="เครื่องหมายจุลภาค 7 2 2 2 2 2 2 2 2 6" xfId="425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2 2 3" xfId="4804"/>
    <cellStyle name="เครื่องหมายจุลภาค 7 2 2 2 2 2 2 2 3 3" xfId="2834"/>
    <cellStyle name="เครื่องหมายจุลภาค 7 2 2 2 2 2 2 2 3 4" xfId="4315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2 5 3" xfId="4578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2 2 2 2" xfId="4834"/>
    <cellStyle name="เครื่องหมายจุลภาค 7 2 2 2 2 2 2 3 2 3" xfId="4349"/>
    <cellStyle name="เครื่องหมายจุลภาค 7 2 2 2 2 2 2 3 3" xfId="2506"/>
    <cellStyle name="เครื่องหมายจุลภาค 7 2 2 2 2 2 2 3 3 2" xfId="4609"/>
    <cellStyle name="เครื่องหมายจุลภาค 7 2 2 2 2 2 2 4" xfId="1571"/>
    <cellStyle name="เครื่องหมายจุลภาค 7 2 2 2 2 2 2 4 2" xfId="4422"/>
    <cellStyle name="เครื่องหมายจุลภาค 7 2 2 2 2 2 2 5" xfId="1900"/>
    <cellStyle name="เครื่องหมายจุลภาค 7 2 2 2 2 2 2 5 2" xfId="4489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2 6 2 2" xfId="4712"/>
    <cellStyle name="เครื่องหมายจุลภาค 7 2 2 2 2 2 2 7" xfId="4180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2 2 2 2" xfId="4850"/>
    <cellStyle name="เครื่องหมายจุลภาค 7 2 2 2 2 2 3 2 2 3" xfId="4367"/>
    <cellStyle name="เครื่องหมายจุลภาค 7 2 2 2 2 2 3 2 3" xfId="2573"/>
    <cellStyle name="เครื่องหมายจุลภาค 7 2 2 2 2 2 3 2 3 2" xfId="4625"/>
    <cellStyle name="เครื่องหมายจุลภาค 7 2 2 2 2 2 3 3" xfId="1640"/>
    <cellStyle name="เครื่องหมายจุลภาค 7 2 2 2 2 2 3 3 2" xfId="4438"/>
    <cellStyle name="เครื่องหมายจุลภาค 7 2 2 2 2 2 3 4" xfId="1967"/>
    <cellStyle name="เครื่องหมายจุลภาค 7 2 2 2 2 2 3 4 2" xfId="4505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3 5 2 2" xfId="4730"/>
    <cellStyle name="เครื่องหมายจุลภาค 7 2 2 2 2 2 3 6" xfId="4219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2 2 3" xfId="4774"/>
    <cellStyle name="เครื่องหมายจุลภาค 7 2 2 2 2 2 4 3" xfId="2758"/>
    <cellStyle name="เครื่องหมายจุลภาค 7 2 2 2 2 2 4 4" xfId="427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2 6 3" xfId="4547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2 2 2 2" xfId="4856"/>
    <cellStyle name="เครื่องหมายจุลภาค 7 2 2 2 2 3 2 2 2 3" xfId="4373"/>
    <cellStyle name="เครื่องหมายจุลภาค 7 2 2 2 2 3 2 2 3" xfId="2613"/>
    <cellStyle name="เครื่องหมายจุลภาค 7 2 2 2 2 3 2 2 3 2" xfId="4631"/>
    <cellStyle name="เครื่องหมายจุลภาค 7 2 2 2 2 3 2 3" xfId="1680"/>
    <cellStyle name="เครื่องหมายจุลภาค 7 2 2 2 2 3 2 3 2" xfId="4444"/>
    <cellStyle name="เครื่องหมายจุลภาค 7 2 2 2 2 3 2 4" xfId="2007"/>
    <cellStyle name="เครื่องหมายจุลภาค 7 2 2 2 2 3 2 4 2" xfId="4511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2 5 2 2" xfId="4738"/>
    <cellStyle name="เครื่องหมายจุลภาค 7 2 2 2 2 3 2 6" xfId="4233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2 2 3" xfId="4786"/>
    <cellStyle name="เครื่องหมายจุลภาค 7 2 2 2 2 3 3 3" xfId="2796"/>
    <cellStyle name="เครื่องหมายจุลภาค 7 2 2 2 2 3 3 4" xfId="4294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3 5 3" xfId="4560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2 2 2 2" xfId="4811"/>
    <cellStyle name="เครื่องหมายจุลภาค 7 2 2 2 2 4 2 3" xfId="4324"/>
    <cellStyle name="เครื่องหมายจุลภาค 7 2 2 2 2 4 3" xfId="2386"/>
    <cellStyle name="เครื่องหมายจุลภาค 7 2 2 2 2 4 3 2" xfId="4586"/>
    <cellStyle name="เครื่องหมายจุลภาค 7 2 2 2 2 5" xfId="1450"/>
    <cellStyle name="เครื่องหมายจุลภาค 7 2 2 2 2 5 2" xfId="4397"/>
    <cellStyle name="เครื่องหมายจุลภาค 7 2 2 2 2 6" xfId="1785"/>
    <cellStyle name="เครื่องหมายจุลภาค 7 2 2 2 2 6 2" xfId="4466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2 7 2 2" xfId="4686"/>
    <cellStyle name="เครื่องหมายจุลภาค 7 2 2 2 2 8" xfId="4102"/>
    <cellStyle name="เครื่องหมายจุลภาค 7 2 2 2 3" xfId="322"/>
    <cellStyle name="เครื่องหมายจุลภาค 7 2 2 2 3 2" xfId="4121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2 2 2 2" xfId="4863"/>
    <cellStyle name="เครื่องหมายจุลภาค 7 2 2 2 4 2 2 2 2 3" xfId="4380"/>
    <cellStyle name="เครื่องหมายจุลภาค 7 2 2 2 4 2 2 2 3" xfId="2648"/>
    <cellStyle name="เครื่องหมายจุลภาค 7 2 2 2 4 2 2 2 3 2" xfId="4638"/>
    <cellStyle name="เครื่องหมายจุลภาค 7 2 2 2 4 2 2 3" xfId="1715"/>
    <cellStyle name="เครื่องหมายจุลภาค 7 2 2 2 4 2 2 3 2" xfId="4451"/>
    <cellStyle name="เครื่องหมายจุลภาค 7 2 2 2 4 2 2 4" xfId="2042"/>
    <cellStyle name="เครื่องหมายจุลภาค 7 2 2 2 4 2 2 4 2" xfId="4518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2 5 2 2" xfId="4745"/>
    <cellStyle name="เครื่องหมายจุลภาค 7 2 2 2 4 2 2 6" xfId="424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2 2 3" xfId="4794"/>
    <cellStyle name="เครื่องหมายจุลภาค 7 2 2 2 4 2 3 3" xfId="2805"/>
    <cellStyle name="เครื่องหมายจุลภาค 7 2 2 2 4 2 3 4" xfId="43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2 5 3" xfId="4568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2 2 2 2" xfId="4819"/>
    <cellStyle name="เครื่องหมายจุลภาค 7 2 2 2 4 3 2 3" xfId="4333"/>
    <cellStyle name="เครื่องหมายจุลภาค 7 2 2 2 4 3 3" xfId="2435"/>
    <cellStyle name="เครื่องหมายจุลภาค 7 2 2 2 4 3 3 2" xfId="4594"/>
    <cellStyle name="เครื่องหมายจุลภาค 7 2 2 2 4 4" xfId="1498"/>
    <cellStyle name="เครื่องหมายจุลภาค 7 2 2 2 4 4 2" xfId="4407"/>
    <cellStyle name="เครื่องหมายจุลภาค 7 2 2 2 4 5" xfId="1829"/>
    <cellStyle name="เครื่องหมายจุลภาค 7 2 2 2 4 5 2" xfId="4474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4 6 2 2" xfId="4696"/>
    <cellStyle name="เครื่องหมายจุลภาค 7 2 2 2 4 7" xfId="4139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2 2 2 2" xfId="4831"/>
    <cellStyle name="เครื่องหมายจุลภาค 7 2 2 2 5 2 2 3" xfId="4346"/>
    <cellStyle name="เครื่องหมายจุลภาค 7 2 2 2 5 2 3" xfId="2492"/>
    <cellStyle name="เครื่องหมายจุลภาค 7 2 2 2 5 2 3 2" xfId="4606"/>
    <cellStyle name="เครื่องหมายจุลภาค 7 2 2 2 5 3" xfId="1555"/>
    <cellStyle name="เครื่องหมายจุลภาค 7 2 2 2 5 3 2" xfId="4419"/>
    <cellStyle name="เครื่องหมายจุลภาค 7 2 2 2 5 4" xfId="1886"/>
    <cellStyle name="เครื่องหมายจุลภาค 7 2 2 2 5 4 2" xfId="44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5 5 2 2" xfId="4708"/>
    <cellStyle name="เครื่องหมายจุลภาค 7 2 2 2 5 6" xfId="4161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2 2 3" xfId="4729"/>
    <cellStyle name="เครื่องหมายจุลภาค 7 2 2 2 6 3" xfId="2286"/>
    <cellStyle name="เครื่องหมายจุลภาค 7 2 2 2 6 4" xfId="4210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2 8 3" xfId="435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2 2 3" xfId="4868"/>
    <cellStyle name="เครื่องหมายจุลภาค 7 2 2 3 2 2 2 2 2 3" xfId="2703"/>
    <cellStyle name="เครื่องหมายจุลภาค 7 2 2 3 2 2 2 2 2 4" xfId="4385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2 5 3" xfId="4643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2 2 2 2" xfId="4901"/>
    <cellStyle name="เครื่องหมายจุลภาค 7 2 2 3 2 2 2 3 2 3" xfId="4456"/>
    <cellStyle name="เครื่องหมายจุลภาค 7 2 2 3 2 2 2 3 3" xfId="2826"/>
    <cellStyle name="เครื่องหมายจุลภาค 7 2 2 3 2 2 2 3 3 2" xfId="4679"/>
    <cellStyle name="เครื่องหมายจุลภาค 7 2 2 3 2 2 2 4" xfId="2062"/>
    <cellStyle name="เครื่องหมายจุลภาค 7 2 2 3 2 2 2 4 2" xfId="4523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2 5 2 2" xfId="4750"/>
    <cellStyle name="เครื่องหมายจุลภาค 7 2 2 3 2 2 2 6" xfId="4245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2 2 3" xfId="4799"/>
    <cellStyle name="เครื่องหมายจุลภาค 7 2 2 3 2 2 3 3" xfId="2511"/>
    <cellStyle name="เครื่องหมายจุลภาค 7 2 2 3 2 2 3 4" xfId="4310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2 6 3" xfId="4573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2 2 3" xfId="4825"/>
    <cellStyle name="เครื่องหมายจุลภาค 7 2 2 3 2 3 2 3" xfId="2578"/>
    <cellStyle name="เครื่องหมายจุลภาค 7 2 2 3 2 3 2 4" xfId="4340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3 5 3" xfId="4600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2 2 2 2" xfId="4882"/>
    <cellStyle name="เครื่องหมายจุลภาค 7 2 2 3 2 4 2 3" xfId="4413"/>
    <cellStyle name="เครื่องหมายจุลภาค 7 2 2 3 2 4 3" xfId="2750"/>
    <cellStyle name="เครื่องหมายจุลภาค 7 2 2 3 2 4 3 2" xfId="4660"/>
    <cellStyle name="เครื่องหมายจุลภาค 7 2 2 3 2 5" xfId="1859"/>
    <cellStyle name="เครื่องหมายจุลภาค 7 2 2 3 2 5 2" xfId="4480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2 6 2 2" xfId="4702"/>
    <cellStyle name="เครื่องหมายจุลภาค 7 2 2 3 2 7" xfId="4151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2 2 3" xfId="4844"/>
    <cellStyle name="เครื่องหมายจุลภาค 7 2 2 3 3 2 2 3" xfId="2620"/>
    <cellStyle name="เครื่องหมายจุลภาค 7 2 2 3 3 2 2 4" xfId="4361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2 5 3" xfId="4619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2 2 2 2" xfId="4892"/>
    <cellStyle name="เครื่องหมายจุลภาค 7 2 2 3 3 3 2 3" xfId="4432"/>
    <cellStyle name="เครื่องหมายจุลภาค 7 2 2 3 3 3 3" xfId="2782"/>
    <cellStyle name="เครื่องหมายจุลภาค 7 2 2 3 3 3 3 2" xfId="4670"/>
    <cellStyle name="เครื่องหมายจุลภาค 7 2 2 3 3 4" xfId="1931"/>
    <cellStyle name="เครื่องหมายจุลภาค 7 2 2 3 3 4 2" xfId="4499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3 5 2 2" xfId="4722"/>
    <cellStyle name="เครื่องหมายจุลภาค 7 2 2 3 3 6" xfId="4198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2 2 3" xfId="4768"/>
    <cellStyle name="เครื่องหมายจุลภาค 7 2 2 3 4 3" xfId="2393"/>
    <cellStyle name="เครื่องหมายจุลภาค 7 2 2 3 4 4" xfId="4264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3 7 3" xfId="4541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2 2 3" xfId="4840"/>
    <cellStyle name="เครื่องหมายจุลภาค 7 2 2 4 2 2 2 3" xfId="2631"/>
    <cellStyle name="เครื่องหมายจุลภาค 7 2 2 4 2 2 2 4" xfId="4357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2 5 3" xfId="4615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2 2 2 2" xfId="4888"/>
    <cellStyle name="เครื่องหมายจุลภาค 7 2 2 4 2 3 2 3" xfId="4428"/>
    <cellStyle name="เครื่องหมายจุลภาค 7 2 2 4 2 3 3" xfId="2769"/>
    <cellStyle name="เครื่องหมายจุลภาค 7 2 2 4 2 3 3 2" xfId="4666"/>
    <cellStyle name="เครื่องหมายจุลภาค 7 2 2 4 2 4" xfId="1918"/>
    <cellStyle name="เครื่องหมายจุลภาค 7 2 2 4 2 4 2" xfId="4495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2 5 2 2" xfId="4718"/>
    <cellStyle name="เครื่องหมายจุลภาค 7 2 2 4 2 6" xfId="4194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2 2 3" xfId="4653"/>
    <cellStyle name="เครื่องหมายจุลภาค 7 2 2 4 3 3" xfId="2412"/>
    <cellStyle name="เครื่องหมายจุลภาค 7 2 2 4 3 4" xfId="4044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4 6 3" xfId="4276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2 2 3" xfId="4760"/>
    <cellStyle name="เครื่องหมายจุลภาค 7 2 2 5 2 3" xfId="2470"/>
    <cellStyle name="เครื่องหมายจุลภาค 7 2 2 5 2 4" xfId="4255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5 5 3" xfId="4145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2 2 2 2" xfId="4784"/>
    <cellStyle name="เครื่องหมายจุลภาค 7 2 2 6 2 3" xfId="4292"/>
    <cellStyle name="เครื่องหมายจุลภาค 7 2 2 6 3" xfId="2246"/>
    <cellStyle name="เครื่องหมายจุลภาค 7 2 2 6 3 2" xfId="4558"/>
    <cellStyle name="เครื่องหมายจุลภาค 7 2 2 7" xfId="1072"/>
    <cellStyle name="เครื่องหมายจุลภาค 7 2 2 7 2" xfId="4321"/>
    <cellStyle name="เครื่องหมายจุลภาค 7 2 2 8" xfId="378"/>
    <cellStyle name="เครื่องหมายจุลภาค 7 2 2 8 2" xfId="2723"/>
    <cellStyle name="เครื่องหมายจุลภาค 7 2 2 8 2 2" xfId="4656"/>
    <cellStyle name="เครื่องหมายจุลภาค 7 2 2 9" xfId="4018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7 3 2" xfId="4019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49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2 2 2 2" xfId="4874"/>
    <cellStyle name="เครื่องหมายจุลภาค 8 3 2 2 2 2 2 2 2 2 3" xfId="4391"/>
    <cellStyle name="เครื่องหมายจุลภาค 8 3 2 2 2 2 2 2 2 3" xfId="2699"/>
    <cellStyle name="เครื่องหมายจุลภาค 8 3 2 2 2 2 2 2 2 3 2" xfId="4649"/>
    <cellStyle name="เครื่องหมายจุลภาค 8 3 2 2 2 2 2 2 3" xfId="1766"/>
    <cellStyle name="เครื่องหมายจุลภาค 8 3 2 2 2 2 2 2 3 2" xfId="4462"/>
    <cellStyle name="เครื่องหมายจุลภาค 8 3 2 2 2 2 2 2 4" xfId="2093"/>
    <cellStyle name="เครื่องหมายจุลภาค 8 3 2 2 2 2 2 2 4 2" xfId="4529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2 5 2 2" xfId="4756"/>
    <cellStyle name="เครื่องหมายจุลภาค 8 3 2 2 2 2 2 2 6" xfId="425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2 2 3" xfId="4805"/>
    <cellStyle name="เครื่องหมายจุลภาค 8 3 2 2 2 2 2 3 3" xfId="2835"/>
    <cellStyle name="เครื่องหมายจุลภาค 8 3 2 2 2 2 2 3 4" xfId="4316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2 5 3" xfId="4579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2 2 2 2" xfId="4835"/>
    <cellStyle name="เครื่องหมายจุลภาค 8 3 2 2 2 2 3 2 3" xfId="4350"/>
    <cellStyle name="เครื่องหมายจุลภาค 8 3 2 2 2 2 3 3" xfId="2507"/>
    <cellStyle name="เครื่องหมายจุลภาค 8 3 2 2 2 2 3 3 2" xfId="4610"/>
    <cellStyle name="เครื่องหมายจุลภาค 8 3 2 2 2 2 4" xfId="1572"/>
    <cellStyle name="เครื่องหมายจุลภาค 8 3 2 2 2 2 4 2" xfId="4423"/>
    <cellStyle name="เครื่องหมายจุลภาค 8 3 2 2 2 2 5" xfId="1901"/>
    <cellStyle name="เครื่องหมายจุลภาค 8 3 2 2 2 2 5 2" xfId="4490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2 6 2 2" xfId="4713"/>
    <cellStyle name="เครื่องหมายจุลภาค 8 3 2 2 2 2 7" xfId="4181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2 2 2 2" xfId="4851"/>
    <cellStyle name="เครื่องหมายจุลภาค 8 3 2 2 2 3 2 2 3" xfId="4368"/>
    <cellStyle name="เครื่องหมายจุลภาค 8 3 2 2 2 3 2 3" xfId="2574"/>
    <cellStyle name="เครื่องหมายจุลภาค 8 3 2 2 2 3 2 3 2" xfId="4626"/>
    <cellStyle name="เครื่องหมายจุลภาค 8 3 2 2 2 3 3" xfId="1641"/>
    <cellStyle name="เครื่องหมายจุลภาค 8 3 2 2 2 3 3 2" xfId="4439"/>
    <cellStyle name="เครื่องหมายจุลภาค 8 3 2 2 2 3 4" xfId="1968"/>
    <cellStyle name="เครื่องหมายจุลภาค 8 3 2 2 2 3 4 2" xfId="4506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3 5 2 2" xfId="4731"/>
    <cellStyle name="เครื่องหมายจุลภาค 8 3 2 2 2 3 6" xfId="4220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2 2 3" xfId="4775"/>
    <cellStyle name="เครื่องหมายจุลภาค 8 3 2 2 2 4 3" xfId="2759"/>
    <cellStyle name="เครื่องหมายจุลภาค 8 3 2 2 2 4 4" xfId="427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2 6 3" xfId="4548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2 2 2 2" xfId="4857"/>
    <cellStyle name="เครื่องหมายจุลภาค 8 3 2 2 3 2 2 2 3" xfId="4374"/>
    <cellStyle name="เครื่องหมายจุลภาค 8 3 2 2 3 2 2 3" xfId="2615"/>
    <cellStyle name="เครื่องหมายจุลภาค 8 3 2 2 3 2 2 3 2" xfId="4632"/>
    <cellStyle name="เครื่องหมายจุลภาค 8 3 2 2 3 2 3" xfId="1682"/>
    <cellStyle name="เครื่องหมายจุลภาค 8 3 2 2 3 2 3 2" xfId="4445"/>
    <cellStyle name="เครื่องหมายจุลภาค 8 3 2 2 3 2 4" xfId="2009"/>
    <cellStyle name="เครื่องหมายจุลภาค 8 3 2 2 3 2 4 2" xfId="4512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2 5 2 2" xfId="4739"/>
    <cellStyle name="เครื่องหมายจุลภาค 8 3 2 2 3 2 6" xfId="4234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2 2 3" xfId="4787"/>
    <cellStyle name="เครื่องหมายจุลภาค 8 3 2 2 3 3 3" xfId="2797"/>
    <cellStyle name="เครื่องหมายจุลภาค 8 3 2 2 3 3 4" xfId="4295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3 5 3" xfId="4561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2 2 2 2" xfId="4812"/>
    <cellStyle name="เครื่องหมายจุลภาค 8 3 2 2 4 2 3" xfId="4325"/>
    <cellStyle name="เครื่องหมายจุลภาค 8 3 2 2 4 3" xfId="2388"/>
    <cellStyle name="เครื่องหมายจุลภาค 8 3 2 2 4 3 2" xfId="4587"/>
    <cellStyle name="เครื่องหมายจุลภาค 8 3 2 2 5" xfId="1452"/>
    <cellStyle name="เครื่องหมายจุลภาค 8 3 2 2 5 2" xfId="4398"/>
    <cellStyle name="เครื่องหมายจุลภาค 8 3 2 2 6" xfId="1787"/>
    <cellStyle name="เครื่องหมายจุลภาค 8 3 2 2 6 2" xfId="446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2 7 2 2" xfId="4687"/>
    <cellStyle name="เครื่องหมายจุลภาค 8 3 2 2 8" xfId="4103"/>
    <cellStyle name="เครื่องหมายจุลภาค 8 3 2 3" xfId="324"/>
    <cellStyle name="เครื่องหมายจุลภาค 8 3 2 3 2" xfId="4122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2 2 2 2" xfId="4864"/>
    <cellStyle name="เครื่องหมายจุลภาค 8 3 2 4 2 2 2 2 3" xfId="4381"/>
    <cellStyle name="เครื่องหมายจุลภาค 8 3 2 4 2 2 2 3" xfId="2649"/>
    <cellStyle name="เครื่องหมายจุลภาค 8 3 2 4 2 2 2 3 2" xfId="4639"/>
    <cellStyle name="เครื่องหมายจุลภาค 8 3 2 4 2 2 3" xfId="1716"/>
    <cellStyle name="เครื่องหมายจุลภาค 8 3 2 4 2 2 3 2" xfId="4452"/>
    <cellStyle name="เครื่องหมายจุลภาค 8 3 2 4 2 2 4" xfId="2043"/>
    <cellStyle name="เครื่องหมายจุลภาค 8 3 2 4 2 2 4 2" xfId="4519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2 5 2 2" xfId="4746"/>
    <cellStyle name="เครื่องหมายจุลภาค 8 3 2 4 2 2 6" xfId="424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2 2 3" xfId="4795"/>
    <cellStyle name="เครื่องหมายจุลภาค 8 3 2 4 2 3 3" xfId="2806"/>
    <cellStyle name="เครื่องหมายจุลภาค 8 3 2 4 2 3 4" xfId="43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2 5 3" xfId="4569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2 2 2 2" xfId="4820"/>
    <cellStyle name="เครื่องหมายจุลภาค 8 3 2 4 3 2 3" xfId="4334"/>
    <cellStyle name="เครื่องหมายจุลภาค 8 3 2 4 3 3" xfId="2436"/>
    <cellStyle name="เครื่องหมายจุลภาค 8 3 2 4 3 3 2" xfId="4595"/>
    <cellStyle name="เครื่องหมายจุลภาค 8 3 2 4 4" xfId="1499"/>
    <cellStyle name="เครื่องหมายจุลภาค 8 3 2 4 4 2" xfId="4408"/>
    <cellStyle name="เครื่องหมายจุลภาค 8 3 2 4 5" xfId="1830"/>
    <cellStyle name="เครื่องหมายจุลภาค 8 3 2 4 5 2" xfId="4475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4 6 2 2" xfId="4697"/>
    <cellStyle name="เครื่องหมายจุลภาค 8 3 2 4 7" xfId="4141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2 2 2 2" xfId="4832"/>
    <cellStyle name="เครื่องหมายจุลภาค 8 3 2 5 2 2 3" xfId="4347"/>
    <cellStyle name="เครื่องหมายจุลภาค 8 3 2 5 2 3" xfId="2493"/>
    <cellStyle name="เครื่องหมายจุลภาค 8 3 2 5 2 3 2" xfId="4607"/>
    <cellStyle name="เครื่องหมายจุลภาค 8 3 2 5 3" xfId="1556"/>
    <cellStyle name="เครื่องหมายจุลภาค 8 3 2 5 3 2" xfId="4420"/>
    <cellStyle name="เครื่องหมายจุลภาค 8 3 2 5 4" xfId="1887"/>
    <cellStyle name="เครื่องหมายจุลภาค 8 3 2 5 4 2" xfId="44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5 5 2 2" xfId="4709"/>
    <cellStyle name="เครื่องหมายจุลภาค 8 3 2 5 6" xfId="4162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2 2 3" xfId="4727"/>
    <cellStyle name="เครื่องหมายจุลภาค 8 3 2 6 3" xfId="2406"/>
    <cellStyle name="เครื่องหมายจุลภาค 8 3 2 6 4" xfId="4204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2 8 3" xfId="4275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2 2 3" xfId="4869"/>
    <cellStyle name="เครื่องหมายจุลภาค 8 3 3 2 2 2 2 2 3" xfId="2702"/>
    <cellStyle name="เครื่องหมายจุลภาค 8 3 3 2 2 2 2 2 4" xfId="4386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2 5 3" xfId="464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2 2 2 2" xfId="4902"/>
    <cellStyle name="เครื่องหมายจุลภาค 8 3 3 2 2 2 3 2 3" xfId="4457"/>
    <cellStyle name="เครื่องหมายจุลภาค 8 3 3 2 2 2 3 3" xfId="2827"/>
    <cellStyle name="เครื่องหมายจุลภาค 8 3 3 2 2 2 3 3 2" xfId="4680"/>
    <cellStyle name="เครื่องหมายจุลภาค 8 3 3 2 2 2 4" xfId="2063"/>
    <cellStyle name="เครื่องหมายจุลภาค 8 3 3 2 2 2 4 2" xfId="4524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2 5 2 2" xfId="4751"/>
    <cellStyle name="เครื่องหมายจุลภาค 8 3 3 2 2 2 6" xfId="4246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2 2 3" xfId="4800"/>
    <cellStyle name="เครื่องหมายจุลภาค 8 3 3 2 2 3 3" xfId="2510"/>
    <cellStyle name="เครื่องหมายจุลภาค 8 3 3 2 2 3 4" xfId="4311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2 6 3" xfId="4574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2 2 3" xfId="4826"/>
    <cellStyle name="เครื่องหมายจุลภาค 8 3 3 2 3 2 3" xfId="2577"/>
    <cellStyle name="เครื่องหมายจุลภาค 8 3 3 2 3 2 4" xfId="4341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3 5 3" xfId="4601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2 2 2 2" xfId="4883"/>
    <cellStyle name="เครื่องหมายจุลภาค 8 3 3 2 4 2 3" xfId="4414"/>
    <cellStyle name="เครื่องหมายจุลภาค 8 3 3 2 4 3" xfId="2751"/>
    <cellStyle name="เครื่องหมายจุลภาค 8 3 3 2 4 3 2" xfId="4661"/>
    <cellStyle name="เครื่องหมายจุลภาค 8 3 3 2 5" xfId="1860"/>
    <cellStyle name="เครื่องหมายจุลภาค 8 3 3 2 5 2" xfId="4481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2 6 2 2" xfId="4703"/>
    <cellStyle name="เครื่องหมายจุลภาค 8 3 3 2 7" xfId="4152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2 2 3" xfId="4845"/>
    <cellStyle name="เครื่องหมายจุลภาค 8 3 3 3 2 2 3" xfId="2619"/>
    <cellStyle name="เครื่องหมายจุลภาค 8 3 3 3 2 2 4" xfId="4362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2 5 3" xfId="462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2 2 2 2" xfId="4893"/>
    <cellStyle name="เครื่องหมายจุลภาค 8 3 3 3 3 2 3" xfId="4433"/>
    <cellStyle name="เครื่องหมายจุลภาค 8 3 3 3 3 3" xfId="2783"/>
    <cellStyle name="เครื่องหมายจุลภาค 8 3 3 3 3 3 2" xfId="4671"/>
    <cellStyle name="เครื่องหมายจุลภาค 8 3 3 3 4" xfId="1932"/>
    <cellStyle name="เครื่องหมายจุลภาค 8 3 3 3 4 2" xfId="4500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3 5 2 2" xfId="4723"/>
    <cellStyle name="เครื่องหมายจุลภาค 8 3 3 3 6" xfId="4199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2 2 3" xfId="4769"/>
    <cellStyle name="เครื่องหมายจุลภาค 8 3 3 4 3" xfId="2392"/>
    <cellStyle name="เครื่องหมายจุลภาค 8 3 3 4 4" xfId="4265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3 7 3" xfId="4542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2 2 3" xfId="4843"/>
    <cellStyle name="เครื่องหมายจุลภาค 8 3 4 2 2 2 3" xfId="2630"/>
    <cellStyle name="เครื่องหมายจุลภาค 8 3 4 2 2 2 4" xfId="436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2 5 3" xfId="4618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2 2 2 2" xfId="4891"/>
    <cellStyle name="เครื่องหมายจุลภาค 8 3 4 2 3 2 3" xfId="4431"/>
    <cellStyle name="เครื่องหมายจุลภาค 8 3 4 2 3 3" xfId="2774"/>
    <cellStyle name="เครื่องหมายจุลภาค 8 3 4 2 3 3 2" xfId="4669"/>
    <cellStyle name="เครื่องหมายจุลภาค 8 3 4 2 4" xfId="1923"/>
    <cellStyle name="เครื่องหมายจุลภาค 8 3 4 2 4 2" xfId="4498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2 5 2 2" xfId="4721"/>
    <cellStyle name="เครื่องหมายจุลภาค 8 3 4 2 6" xfId="4197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2 2 3" xfId="4764"/>
    <cellStyle name="เครื่องหมายจุลภาค 8 3 4 3 3" xfId="2411"/>
    <cellStyle name="เครื่องหมายจุลภาค 8 3 4 3 4" xfId="4260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4 6 3" xfId="4536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2 2 3" xfId="4783"/>
    <cellStyle name="เครื่องหมายจุลภาค 8 3 5 2 3" xfId="2496"/>
    <cellStyle name="เครื่องหมายจุลภาค 8 3 5 2 4" xfId="4290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5 5 3" xfId="4557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2 2 2 2" xfId="4810"/>
    <cellStyle name="เครื่องหมายจุลภาค 8 3 6 2 3" xfId="4323"/>
    <cellStyle name="เครื่องหมายจุลภาค 8 3 6 3" xfId="2374"/>
    <cellStyle name="เครื่องหมายจุลภาค 8 3 6 3 2" xfId="4585"/>
    <cellStyle name="เครื่องหมายจุลภาค 8 3 7" xfId="464"/>
    <cellStyle name="เครื่องหมายจุลภาค 8 3 7 2" xfId="4169"/>
    <cellStyle name="เครื่องหมายจุลภาค 8 3 8" xfId="670"/>
    <cellStyle name="เครื่องหมายจุลภาค 8 3 8 2" xfId="2722"/>
    <cellStyle name="เครื่องหมายจุลภาค 8 3 8 2 2" xfId="4655"/>
    <cellStyle name="เครื่องหมายจุลภาค 8 3 9" xfId="4020"/>
    <cellStyle name="เครื่องหมายจุลภาค 8 4" xfId="125"/>
    <cellStyle name="เครื่องหมายจุลภาค 8 4 2" xfId="4021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6" xfId="295"/>
    <cellStyle name="เครื่องหมายจุลภาค 8 6 2" xfId="395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7 7" xfId="3953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10 2 2" xfId="4537"/>
    <cellStyle name="เครื่องหมายจุลภาค 9 2 2 11" xfId="4022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2 2 2 2" xfId="4876"/>
    <cellStyle name="เครื่องหมายจุลภาค 9 2 2 2 2 2 2 2 2 2 2 2 2 3" xfId="4875"/>
    <cellStyle name="เครื่องหมายจุลภาค 9 2 2 2 2 2 2 2 2 2 2 2 3" xfId="4393"/>
    <cellStyle name="เครื่องหมายจุลภาค 9 2 2 2 2 2 2 2 2 2 2 3" xfId="2701"/>
    <cellStyle name="เครื่องหมายจุลภาค 9 2 2 2 2 2 2 2 2 2 2 3 2" xfId="4651"/>
    <cellStyle name="เครื่องหมายจุลภาค 9 2 2 2 2 2 2 2 2 2 2 4" xfId="4392"/>
    <cellStyle name="เครื่องหมายจุลภาค 9 2 2 2 2 2 2 2 2 2 3" xfId="1768"/>
    <cellStyle name="เครื่องหมายจุลภาค 9 2 2 2 2 2 2 2 2 2 3 2" xfId="4464"/>
    <cellStyle name="เครื่องหมายจุลภาค 9 2 2 2 2 2 2 2 2 2 4" xfId="2095"/>
    <cellStyle name="เครื่องหมายจุลภาค 9 2 2 2 2 2 2 2 2 2 4 2" xfId="4531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2 5 2 2" xfId="4758"/>
    <cellStyle name="เครื่องหมายจุลภาค 9 2 2 2 2 2 2 2 2 2 5 3" xfId="4650"/>
    <cellStyle name="เครื่องหมายจุลภาค 9 2 2 2 2 2 2 2 2 2 6" xfId="425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2 2 2 2" xfId="4905"/>
    <cellStyle name="เครื่องหมายจุลภาค 9 2 2 2 2 2 2 2 2 3 2 2 3" xfId="4807"/>
    <cellStyle name="เครื่องหมายจุลภาค 9 2 2 2 2 2 2 2 2 3 2 3" xfId="4463"/>
    <cellStyle name="เครื่องหมายจุลภาค 9 2 2 2 2 2 2 2 2 3 3" xfId="2838"/>
    <cellStyle name="เครื่องหมายจุลภาค 9 2 2 2 2 2 2 2 2 3 3 2" xfId="4683"/>
    <cellStyle name="เครื่องหมายจุลภาค 9 2 2 2 2 2 2 2 2 3 4" xfId="4318"/>
    <cellStyle name="เครื่องหมายจุลภาค 9 2 2 2 2 2 2 2 2 4" xfId="2094"/>
    <cellStyle name="เครื่องหมายจุลภาค 9 2 2 2 2 2 2 2 2 4 2" xfId="4530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2 5 2 2" xfId="4757"/>
    <cellStyle name="เครื่องหมายจุลภาค 9 2 2 2 2 2 2 2 2 5 3" xfId="4581"/>
    <cellStyle name="เครื่องหมายจุลภาค 9 2 2 2 2 2 2 2 2 6" xfId="425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2 2 2 2" xfId="4837"/>
    <cellStyle name="เครื่องหมายจุลภาค 9 2 2 2 2 2 2 2 3 2 2 3" xfId="4806"/>
    <cellStyle name="เครื่องหมายจุลภาค 9 2 2 2 2 2 2 2 3 2 3" xfId="4352"/>
    <cellStyle name="เครื่องหมายจุลภาค 9 2 2 2 2 2 2 2 3 3" xfId="2509"/>
    <cellStyle name="เครื่องหมายจุลภาค 9 2 2 2 2 2 2 2 3 3 2" xfId="4612"/>
    <cellStyle name="เครื่องหมายจุลภาค 9 2 2 2 2 2 2 2 3 4" xfId="4317"/>
    <cellStyle name="เครื่องหมายจุลภาค 9 2 2 2 2 2 2 2 4" xfId="1574"/>
    <cellStyle name="เครื่องหมายจุลภาค 9 2 2 2 2 2 2 2 4 2" xfId="4425"/>
    <cellStyle name="เครื่องหมายจุลภาค 9 2 2 2 2 2 2 2 5" xfId="1903"/>
    <cellStyle name="เครื่องหมายจุลภาค 9 2 2 2 2 2 2 2 5 2" xfId="4492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2 6 2 2" xfId="4715"/>
    <cellStyle name="เครื่องหมายจุลภาค 9 2 2 2 2 2 2 2 6 3" xfId="4580"/>
    <cellStyle name="เครื่องหมายจุลภาค 9 2 2 2 2 2 2 2 7" xfId="4183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2 2 2 2" xfId="4853"/>
    <cellStyle name="เครื่องหมายจุลภาค 9 2 2 2 2 2 2 3 2 2 2 3" xfId="4836"/>
    <cellStyle name="เครื่องหมายจุลภาค 9 2 2 2 2 2 2 3 2 2 3" xfId="4370"/>
    <cellStyle name="เครื่องหมายจุลภาค 9 2 2 2 2 2 2 3 2 3" xfId="2576"/>
    <cellStyle name="เครื่องหมายจุลภาค 9 2 2 2 2 2 2 3 2 3 2" xfId="4628"/>
    <cellStyle name="เครื่องหมายจุลภาค 9 2 2 2 2 2 2 3 2 4" xfId="4351"/>
    <cellStyle name="เครื่องหมายจุลภาค 9 2 2 2 2 2 2 3 3" xfId="1643"/>
    <cellStyle name="เครื่องหมายจุลภาค 9 2 2 2 2 2 2 3 3 2" xfId="4441"/>
    <cellStyle name="เครื่องหมายจุลภาค 9 2 2 2 2 2 2 3 4" xfId="1970"/>
    <cellStyle name="เครื่องหมายจุลภาค 9 2 2 2 2 2 2 3 4 2" xfId="4508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3 5 2 2" xfId="4733"/>
    <cellStyle name="เครื่องหมายจุลภาค 9 2 2 2 2 2 2 3 5 3" xfId="4611"/>
    <cellStyle name="เครื่องหมายจุลภาค 9 2 2 2 2 2 2 3 6" xfId="4222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2 2 2 2" xfId="4886"/>
    <cellStyle name="เครื่องหมายจุลภาค 9 2 2 2 2 2 2 4 2 2 3" xfId="4777"/>
    <cellStyle name="เครื่องหมายจุลภาค 9 2 2 2 2 2 2 4 2 3" xfId="4424"/>
    <cellStyle name="เครื่องหมายจุลภาค 9 2 2 2 2 2 2 4 3" xfId="2763"/>
    <cellStyle name="เครื่องหมายจุลภาค 9 2 2 2 2 2 2 4 3 2" xfId="4664"/>
    <cellStyle name="เครื่องหมายจุลภาค 9 2 2 2 2 2 2 4 4" xfId="4281"/>
    <cellStyle name="เครื่องหมายจุลภาค 9 2 2 2 2 2 2 5" xfId="1902"/>
    <cellStyle name="เครื่องหมายจุลภาค 9 2 2 2 2 2 2 5 2" xfId="4491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2 6 2 2" xfId="4714"/>
    <cellStyle name="เครื่องหมายจุลภาค 9 2 2 2 2 2 2 6 3" xfId="4550"/>
    <cellStyle name="เครื่องหมายจุลภาค 9 2 2 2 2 2 2 7" xfId="4182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2 2 2 2" xfId="4860"/>
    <cellStyle name="เครื่องหมายจุลภาค 9 2 2 2 2 2 3 2 2 2 2 3" xfId="4852"/>
    <cellStyle name="เครื่องหมายจุลภาค 9 2 2 2 2 2 3 2 2 2 3" xfId="4377"/>
    <cellStyle name="เครื่องหมายจุลภาค 9 2 2 2 2 2 3 2 2 3" xfId="2618"/>
    <cellStyle name="เครื่องหมายจุลภาค 9 2 2 2 2 2 3 2 2 3 2" xfId="4635"/>
    <cellStyle name="เครื่องหมายจุลภาค 9 2 2 2 2 2 3 2 2 4" xfId="4369"/>
    <cellStyle name="เครื่องหมายจุลภาค 9 2 2 2 2 2 3 2 3" xfId="1685"/>
    <cellStyle name="เครื่องหมายจุลภาค 9 2 2 2 2 2 3 2 3 2" xfId="4448"/>
    <cellStyle name="เครื่องหมายจุลภาค 9 2 2 2 2 2 3 2 4" xfId="2012"/>
    <cellStyle name="เครื่องหมายจุลภาค 9 2 2 2 2 2 3 2 4 2" xfId="4515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2 5 2 2" xfId="4742"/>
    <cellStyle name="เครื่องหมายจุลภาค 9 2 2 2 2 2 3 2 5 3" xfId="4627"/>
    <cellStyle name="เครื่องหมายจุลภาค 9 2 2 2 2 2 3 2 6" xfId="4237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2 2 2 2" xfId="4897"/>
    <cellStyle name="เครื่องหมายจุลภาค 9 2 2 2 2 2 3 3 2 2 3" xfId="4790"/>
    <cellStyle name="เครื่องหมายจุลภาค 9 2 2 2 2 2 3 3 2 3" xfId="4440"/>
    <cellStyle name="เครื่องหมายจุลภาค 9 2 2 2 2 2 3 3 3" xfId="2800"/>
    <cellStyle name="เครื่องหมายจุลภาค 9 2 2 2 2 2 3 3 3 2" xfId="4675"/>
    <cellStyle name="เครื่องหมายจุลภาค 9 2 2 2 2 2 3 3 4" xfId="4298"/>
    <cellStyle name="เครื่องหมายจุลภาค 9 2 2 2 2 2 3 4" xfId="1969"/>
    <cellStyle name="เครื่องหมายจุลภาค 9 2 2 2 2 2 3 4 2" xfId="4507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3 5 2 2" xfId="4732"/>
    <cellStyle name="เครื่องหมายจุลภาค 9 2 2 2 2 2 3 5 3" xfId="4564"/>
    <cellStyle name="เครื่องหมายจุลภาค 9 2 2 2 2 2 3 6" xfId="4221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2 2 2 2" xfId="4815"/>
    <cellStyle name="เครื่องหมายจุลภาค 9 2 2 2 2 2 4 2 2 3" xfId="4776"/>
    <cellStyle name="เครื่องหมายจุลภาค 9 2 2 2 2 2 4 2 3" xfId="4328"/>
    <cellStyle name="เครื่องหมายจุลภาค 9 2 2 2 2 2 4 3" xfId="2391"/>
    <cellStyle name="เครื่องหมายจุลภาค 9 2 2 2 2 2 4 3 2" xfId="4590"/>
    <cellStyle name="เครื่องหมายจุลภาค 9 2 2 2 2 2 4 4" xfId="4280"/>
    <cellStyle name="เครื่องหมายจุลภาค 9 2 2 2 2 2 5" xfId="1455"/>
    <cellStyle name="เครื่องหมายจุลภาค 9 2 2 2 2 2 5 2" xfId="4401"/>
    <cellStyle name="เครื่องหมายจุลภาค 9 2 2 2 2 2 6" xfId="1790"/>
    <cellStyle name="เครื่องหมายจุลภาค 9 2 2 2 2 2 6 2" xfId="447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2 7 2 2" xfId="4690"/>
    <cellStyle name="เครื่องหมายจุลภาค 9 2 2 2 2 2 7 3" xfId="4549"/>
    <cellStyle name="เครื่องหมายจุลภาค 9 2 2 2 2 2 8" xfId="4106"/>
    <cellStyle name="เครื่องหมายจุลภาค 9 2 2 2 2 3" xfId="327"/>
    <cellStyle name="เครื่องหมายจุลภาค 9 2 2 2 2 3 2" xfId="4124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2 2 2 2" xfId="4866"/>
    <cellStyle name="เครื่องหมายจุลภาค 9 2 2 2 2 4 2 2 2 2 2 3" xfId="4859"/>
    <cellStyle name="เครื่องหมายจุลภาค 9 2 2 2 2 4 2 2 2 2 3" xfId="4383"/>
    <cellStyle name="เครื่องหมายจุลภาค 9 2 2 2 2 4 2 2 2 3" xfId="2651"/>
    <cellStyle name="เครื่องหมายจุลภาค 9 2 2 2 2 4 2 2 2 3 2" xfId="4641"/>
    <cellStyle name="เครื่องหมายจุลภาค 9 2 2 2 2 4 2 2 2 4" xfId="4376"/>
    <cellStyle name="เครื่องหมายจุลภาค 9 2 2 2 2 4 2 2 3" xfId="1718"/>
    <cellStyle name="เครื่องหมายจุลภาค 9 2 2 2 2 4 2 2 3 2" xfId="4454"/>
    <cellStyle name="เครื่องหมายจุลภาค 9 2 2 2 2 4 2 2 4" xfId="2045"/>
    <cellStyle name="เครื่องหมายจุลภาค 9 2 2 2 2 4 2 2 4 2" xfId="4521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2 5 2 2" xfId="4748"/>
    <cellStyle name="เครื่องหมายจุลภาค 9 2 2 2 2 4 2 2 5 3" xfId="4634"/>
    <cellStyle name="เครื่องหมายจุลภาค 9 2 2 2 2 4 2 2 6" xfId="424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2 2 2 2" xfId="4898"/>
    <cellStyle name="เครื่องหมายจุลภาค 9 2 2 2 2 4 2 3 2 2 3" xfId="4797"/>
    <cellStyle name="เครื่องหมายจุลภาค 9 2 2 2 2 4 2 3 2 3" xfId="4447"/>
    <cellStyle name="เครื่องหมายจุลภาค 9 2 2 2 2 4 2 3 3" xfId="2809"/>
    <cellStyle name="เครื่องหมายจุลภาค 9 2 2 2 2 4 2 3 3 2" xfId="4676"/>
    <cellStyle name="เครื่องหมายจุลภาค 9 2 2 2 2 4 2 3 4" xfId="4308"/>
    <cellStyle name="เครื่องหมายจุลภาค 9 2 2 2 2 4 2 4" xfId="2011"/>
    <cellStyle name="เครื่องหมายจุลภาค 9 2 2 2 2 4 2 4 2" xfId="4514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2 5 2 2" xfId="4741"/>
    <cellStyle name="เครื่องหมายจุลภาค 9 2 2 2 2 4 2 5 3" xfId="4571"/>
    <cellStyle name="เครื่องหมายจุลภาค 9 2 2 2 2 4 2 6" xfId="4236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2 2 2 2" xfId="4822"/>
    <cellStyle name="เครื่องหมายจุลภาค 9 2 2 2 2 4 3 2 2 3" xfId="4789"/>
    <cellStyle name="เครื่องหมายจุลภาค 9 2 2 2 2 4 3 2 3" xfId="4337"/>
    <cellStyle name="เครื่องหมายจุลภาค 9 2 2 2 2 4 3 3" xfId="2438"/>
    <cellStyle name="เครื่องหมายจุลภาค 9 2 2 2 2 4 3 3 2" xfId="4597"/>
    <cellStyle name="เครื่องหมายจุลภาค 9 2 2 2 2 4 3 4" xfId="4297"/>
    <cellStyle name="เครื่องหมายจุลภาค 9 2 2 2 2 4 4" xfId="1501"/>
    <cellStyle name="เครื่องหมายจุลภาค 9 2 2 2 2 4 4 2" xfId="4410"/>
    <cellStyle name="เครื่องหมายจุลภาค 9 2 2 2 2 4 5" xfId="1832"/>
    <cellStyle name="เครื่องหมายจุลภาค 9 2 2 2 2 4 5 2" xfId="4477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4 6 2 2" xfId="4699"/>
    <cellStyle name="เครื่องหมายจุลภาค 9 2 2 2 2 4 6 3" xfId="4563"/>
    <cellStyle name="เครื่องหมายจุลภาค 9 2 2 2 2 4 7" xfId="4144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2 2 2 2" xfId="4830"/>
    <cellStyle name="เครื่องหมายจุลภาค 9 2 2 2 2 5 2 2 2 3" xfId="4814"/>
    <cellStyle name="เครื่องหมายจุลภาค 9 2 2 2 2 5 2 2 3" xfId="4345"/>
    <cellStyle name="เครื่องหมายจุลภาค 9 2 2 2 2 5 2 3" xfId="2491"/>
    <cellStyle name="เครื่องหมายจุลภาค 9 2 2 2 2 5 2 3 2" xfId="4605"/>
    <cellStyle name="เครื่องหมายจุลภาค 9 2 2 2 2 5 2 4" xfId="4327"/>
    <cellStyle name="เครื่องหมายจุลภาค 9 2 2 2 2 5 3" xfId="1554"/>
    <cellStyle name="เครื่องหมายจุลภาค 9 2 2 2 2 5 3 2" xfId="4418"/>
    <cellStyle name="เครื่องหมายจุลภาค 9 2 2 2 2 5 4" xfId="1885"/>
    <cellStyle name="เครื่องหมายจุลภาค 9 2 2 2 2 5 4 2" xfId="44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5 5 2 2" xfId="4707"/>
    <cellStyle name="เครื่องหมายจุลภาค 9 2 2 2 2 5 5 3" xfId="4589"/>
    <cellStyle name="เครื่องหมายจุลภาค 9 2 2 2 2 5 6" xfId="4160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2 2 2 2" xfId="4878"/>
    <cellStyle name="เครื่องหมายจุลภาค 9 2 2 2 2 6 2 2 3" xfId="4737"/>
    <cellStyle name="เครื่องหมายจุลภาค 9 2 2 2 2 6 2 3" xfId="4400"/>
    <cellStyle name="เครื่องหมายจุลภาค 9 2 2 2 2 6 3" xfId="2719"/>
    <cellStyle name="เครื่องหมายจุลภาค 9 2 2 2 2 6 3 2" xfId="4654"/>
    <cellStyle name="เครื่องหมายจุลภาค 9 2 2 2 2 6 4" xfId="4232"/>
    <cellStyle name="เครื่องหมายจุลภาค 9 2 2 2 2 7" xfId="1789"/>
    <cellStyle name="เครื่องหมายจุลภาค 9 2 2 2 2 7 2" xfId="446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2 8 2 2" xfId="4689"/>
    <cellStyle name="เครื่องหมายจุลภาค 9 2 2 2 2 8 3" xfId="4291"/>
    <cellStyle name="เครื่องหมายจุลภาค 9 2 2 2 2 9" xfId="4105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2 2 2 2" xfId="4877"/>
    <cellStyle name="เครื่องหมายจุลภาค 9 2 2 2 3 2 2 2 2 2 2 2 3" xfId="4871"/>
    <cellStyle name="เครื่องหมายจุลภาค 9 2 2 2 3 2 2 2 2 2 2 3" xfId="4394"/>
    <cellStyle name="เครื่องหมายจุลภาค 9 2 2 2 3 2 2 2 2 2 3" xfId="2709"/>
    <cellStyle name="เครื่องหมายจุลภาค 9 2 2 2 3 2 2 2 2 2 3 2" xfId="4652"/>
    <cellStyle name="เครื่องหมายจุลภาค 9 2 2 2 3 2 2 2 2 2 4" xfId="4388"/>
    <cellStyle name="เครื่องหมายจุลภาค 9 2 2 2 3 2 2 2 2 3" xfId="1776"/>
    <cellStyle name="เครื่องหมายจุลภาค 9 2 2 2 3 2 2 2 2 3 2" xfId="4465"/>
    <cellStyle name="เครื่องหมายจุลภาค 9 2 2 2 3 2 2 2 2 4" xfId="2103"/>
    <cellStyle name="เครื่องหมายจุลภาค 9 2 2 2 3 2 2 2 2 4 2" xfId="4532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2 5 2 2" xfId="4759"/>
    <cellStyle name="เครื่องหมายจุลภาค 9 2 2 2 3 2 2 2 2 5 3" xfId="4646"/>
    <cellStyle name="เครื่องหมายจุลภาค 9 2 2 2 3 2 2 2 2 6" xfId="4254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2 2 2 2" xfId="4904"/>
    <cellStyle name="เครื่องหมายจุลภาค 9 2 2 2 3 2 2 2 3 2 2 3" xfId="4808"/>
    <cellStyle name="เครื่องหมายจุลภาค 9 2 2 2 3 2 2 2 3 2 3" xfId="4459"/>
    <cellStyle name="เครื่องหมายจุลภาค 9 2 2 2 3 2 2 2 3 3" xfId="2829"/>
    <cellStyle name="เครื่องหมายจุลภาค 9 2 2 2 3 2 2 2 3 3 2" xfId="4682"/>
    <cellStyle name="เครื่องหมายจุลภาค 9 2 2 2 3 2 2 2 3 4" xfId="4319"/>
    <cellStyle name="เครื่องหมายจุลภาค 9 2 2 2 3 2 2 2 4" xfId="2065"/>
    <cellStyle name="เครื่องหมายจุลภาค 9 2 2 2 3 2 2 2 4 2" xfId="4526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2 5 2 2" xfId="4753"/>
    <cellStyle name="เครื่องหมายจุลภาค 9 2 2 2 3 2 2 2 5 3" xfId="4582"/>
    <cellStyle name="เครื่องหมายจุลภาค 9 2 2 2 3 2 2 2 6" xfId="4248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2 2 2 2" xfId="4838"/>
    <cellStyle name="เครื่องหมายจุลภาค 9 2 2 2 3 2 2 3 2 2 3" xfId="4802"/>
    <cellStyle name="เครื่องหมายจุลภาค 9 2 2 2 3 2 2 3 2 3" xfId="4355"/>
    <cellStyle name="เครื่องหมายจุลภาค 9 2 2 2 3 2 2 3 3" xfId="2518"/>
    <cellStyle name="เครื่องหมายจุลภาค 9 2 2 2 3 2 2 3 3 2" xfId="4613"/>
    <cellStyle name="เครื่องหมายจุลภาค 9 2 2 2 3 2 2 3 4" xfId="4313"/>
    <cellStyle name="เครื่องหมายจุลภาค 9 2 2 2 3 2 2 4" xfId="1585"/>
    <cellStyle name="เครื่องหมายจุลภาค 9 2 2 2 3 2 2 4 2" xfId="4426"/>
    <cellStyle name="เครื่องหมายจุลภาค 9 2 2 2 3 2 2 5" xfId="1912"/>
    <cellStyle name="เครื่องหมายจุลภาค 9 2 2 2 3 2 2 5 2" xfId="4493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2 6 2 2" xfId="4716"/>
    <cellStyle name="เครื่องหมายจุลภาค 9 2 2 2 3 2 2 6 3" xfId="4576"/>
    <cellStyle name="เครื่องหมายจุลภาค 9 2 2 2 3 2 2 7" xfId="4192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2 2 2 2" xfId="4854"/>
    <cellStyle name="เครื่องหมายจุลภาค 9 2 2 2 3 2 3 2 2 2 3" xfId="4828"/>
    <cellStyle name="เครื่องหมายจุลภาค 9 2 2 2 3 2 3 2 2 3" xfId="4371"/>
    <cellStyle name="เครื่องหมายจุลภาค 9 2 2 2 3 2 3 2 3" xfId="2584"/>
    <cellStyle name="เครื่องหมายจุลภาค 9 2 2 2 3 2 3 2 3 2" xfId="4629"/>
    <cellStyle name="เครื่องหมายจุลภาค 9 2 2 2 3 2 3 2 4" xfId="4343"/>
    <cellStyle name="เครื่องหมายจุลภาค 9 2 2 2 3 2 3 3" xfId="1651"/>
    <cellStyle name="เครื่องหมายจุลภาค 9 2 2 2 3 2 3 3 2" xfId="4442"/>
    <cellStyle name="เครื่องหมายจุลภาค 9 2 2 2 3 2 3 4" xfId="1978"/>
    <cellStyle name="เครื่องหมายจุลภาค 9 2 2 2 3 2 3 4 2" xfId="4509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3 5 2 2" xfId="4735"/>
    <cellStyle name="เครื่องหมายจุลภาค 9 2 2 2 3 2 3 5 3" xfId="4603"/>
    <cellStyle name="เครื่องหมายจุลภาค 9 2 2 2 3 2 3 6" xfId="4227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2 2 2 2" xfId="4885"/>
    <cellStyle name="เครื่องหมายจุลภาค 9 2 2 2 3 2 4 2 2 3" xfId="4778"/>
    <cellStyle name="เครื่องหมายจุลภาค 9 2 2 2 3 2 4 2 3" xfId="4416"/>
    <cellStyle name="เครื่องหมายจุลภาค 9 2 2 2 3 2 4 3" xfId="2753"/>
    <cellStyle name="เครื่องหมายจุลภาค 9 2 2 2 3 2 4 3 2" xfId="4663"/>
    <cellStyle name="เครื่องหมายจุลภาค 9 2 2 2 3 2 4 4" xfId="4285"/>
    <cellStyle name="เครื่องหมายจุลภาค 9 2 2 2 3 2 5" xfId="1862"/>
    <cellStyle name="เครื่องหมายจุลภาค 9 2 2 2 3 2 5 2" xfId="4483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2 6 2 2" xfId="4705"/>
    <cellStyle name="เครื่องหมายจุลภาค 9 2 2 2 3 2 6 3" xfId="4551"/>
    <cellStyle name="เครื่องหมายจุลภาค 9 2 2 2 3 2 7" xfId="4154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2 2 2 2" xfId="4862"/>
    <cellStyle name="เครื่องหมายจุลภาค 9 2 2 2 3 3 2 2 2 2 3" xfId="4847"/>
    <cellStyle name="เครื่องหมายจุลภาค 9 2 2 2 3 3 2 2 2 3" xfId="4379"/>
    <cellStyle name="เครื่องหมายจุลภาค 9 2 2 2 3 3 2 2 3" xfId="2634"/>
    <cellStyle name="เครื่องหมายจุลภาค 9 2 2 2 3 3 2 2 3 2" xfId="4637"/>
    <cellStyle name="เครื่องหมายจุลภาค 9 2 2 2 3 3 2 2 4" xfId="4364"/>
    <cellStyle name="เครื่องหมายจุลภาค 9 2 2 2 3 3 2 3" xfId="1701"/>
    <cellStyle name="เครื่องหมายจุลภาค 9 2 2 2 3 3 2 3 2" xfId="4450"/>
    <cellStyle name="เครื่องหมายจุลภาค 9 2 2 2 3 3 2 4" xfId="2028"/>
    <cellStyle name="เครื่องหมายจุลภาค 9 2 2 2 3 3 2 4 2" xfId="4517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2 5 2 2" xfId="4744"/>
    <cellStyle name="เครื่องหมายจุลภาค 9 2 2 2 3 3 2 5 3" xfId="4622"/>
    <cellStyle name="เครื่องหมายจุลภาค 9 2 2 2 3 3 2 6" xfId="4239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2 2 2 2" xfId="4895"/>
    <cellStyle name="เครื่องหมายจุลภาค 9 2 2 2 3 3 3 2 2 3" xfId="4793"/>
    <cellStyle name="เครื่องหมายจุลภาค 9 2 2 2 3 3 3 2 3" xfId="4435"/>
    <cellStyle name="เครื่องหมายจุลภาค 9 2 2 2 3 3 3 3" xfId="2785"/>
    <cellStyle name="เครื่องหมายจุลภาค 9 2 2 2 3 3 3 3 2" xfId="4673"/>
    <cellStyle name="เครื่องหมายจุลภาค 9 2 2 2 3 3 3 4" xfId="4304"/>
    <cellStyle name="เครื่องหมายจุลภาค 9 2 2 2 3 3 4" xfId="1934"/>
    <cellStyle name="เครื่องหมายจุลภาค 9 2 2 2 3 3 4 2" xfId="4502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3 5 2 2" xfId="4725"/>
    <cellStyle name="เครื่องหมายจุลภาค 9 2 2 2 3 3 5 3" xfId="4567"/>
    <cellStyle name="เครื่องหมายจุลภาค 9 2 2 2 3 3 6" xfId="4201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2 2 2 2" xfId="4817"/>
    <cellStyle name="เครื่องหมายจุลภาค 9 2 2 2 3 4 2 2 3" xfId="4771"/>
    <cellStyle name="เครื่องหมายจุลภาค 9 2 2 2 3 4 2 3" xfId="4330"/>
    <cellStyle name="เครื่องหมายจุลภาค 9 2 2 2 3 4 3" xfId="2415"/>
    <cellStyle name="เครื่องหมายจุลภาค 9 2 2 2 3 4 3 2" xfId="4592"/>
    <cellStyle name="เครื่องหมายจุลภาค 9 2 2 2 3 4 4" xfId="4267"/>
    <cellStyle name="เครื่องหมายจุลภาค 9 2 2 2 3 5" xfId="1476"/>
    <cellStyle name="เครื่องหมายจุลภาค 9 2 2 2 3 5 2" xfId="4403"/>
    <cellStyle name="เครื่องหมายจุลภาค 9 2 2 2 3 6" xfId="1810"/>
    <cellStyle name="เครื่องหมายจุลภาค 9 2 2 2 3 6 2" xfId="4472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3 7 2 2" xfId="4692"/>
    <cellStyle name="เครื่องหมายจุลภาค 9 2 2 2 3 7 3" xfId="4544"/>
    <cellStyle name="เครื่องหมายจุลภาค 9 2 2 2 3 8" xfId="4123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2 2 2 2" xfId="4865"/>
    <cellStyle name="เครื่องหมายจุลภาค 9 2 2 2 4 2 2 2 2 2 3" xfId="4839"/>
    <cellStyle name="เครื่องหมายจุลภาค 9 2 2 2 4 2 2 2 2 3" xfId="4382"/>
    <cellStyle name="เครื่องหมายจุลภาค 9 2 2 2 4 2 2 2 3" xfId="2650"/>
    <cellStyle name="เครื่องหมายจุลภาค 9 2 2 2 4 2 2 2 3 2" xfId="4640"/>
    <cellStyle name="เครื่องหมายจุลภาค 9 2 2 2 4 2 2 2 4" xfId="4356"/>
    <cellStyle name="เครื่องหมายจุลภาค 9 2 2 2 4 2 2 3" xfId="1717"/>
    <cellStyle name="เครื่องหมายจุลภาค 9 2 2 2 4 2 2 3 2" xfId="4453"/>
    <cellStyle name="เครื่องหมายจุลภาค 9 2 2 2 4 2 2 4" xfId="2044"/>
    <cellStyle name="เครื่องหมายจุลภาค 9 2 2 2 4 2 2 4 2" xfId="4520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2 5 2 2" xfId="4747"/>
    <cellStyle name="เครื่องหมายจุลภาค 9 2 2 2 4 2 2 5 3" xfId="4614"/>
    <cellStyle name="เครื่องหมายจุลภาค 9 2 2 2 4 2 2 6" xfId="424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2 2 2 2" xfId="4887"/>
    <cellStyle name="เครื่องหมายจุลภาค 9 2 2 2 4 2 3 2 2 3" xfId="4796"/>
    <cellStyle name="เครื่องหมายจุลภาค 9 2 2 2 4 2 3 2 3" xfId="4427"/>
    <cellStyle name="เครื่องหมายจุลภาค 9 2 2 2 4 2 3 3" xfId="2768"/>
    <cellStyle name="เครื่องหมายจุลภาค 9 2 2 2 4 2 3 3 2" xfId="4665"/>
    <cellStyle name="เครื่องหมายจุลภาค 9 2 2 2 4 2 3 4" xfId="4307"/>
    <cellStyle name="เครื่องหมายจุลภาค 9 2 2 2 4 2 4" xfId="1917"/>
    <cellStyle name="เครื่องหมายจุลภาค 9 2 2 2 4 2 4 2" xfId="4494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2 5 2 2" xfId="4717"/>
    <cellStyle name="เครื่องหมายจุลภาค 9 2 2 2 4 2 5 3" xfId="4570"/>
    <cellStyle name="เครื่องหมายจุลภาค 9 2 2 2 4 2 6" xfId="4193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2 2 2 2" xfId="4821"/>
    <cellStyle name="เครื่องหมายจุลภาค 9 2 2 2 4 3 2 2 3" xfId="4693"/>
    <cellStyle name="เครื่องหมายจุลภาค 9 2 2 2 4 3 2 3" xfId="4336"/>
    <cellStyle name="เครื่องหมายจุลภาค 9 2 2 2 4 3 3" xfId="2437"/>
    <cellStyle name="เครื่องหมายจุลภาค 9 2 2 2 4 3 3 2" xfId="4596"/>
    <cellStyle name="เครื่องหมายจุลภาค 9 2 2 2 4 3 4" xfId="4125"/>
    <cellStyle name="เครื่องหมายจุลภาค 9 2 2 2 4 4" xfId="1500"/>
    <cellStyle name="เครื่องหมายจุลภาค 9 2 2 2 4 4 2" xfId="4409"/>
    <cellStyle name="เครื่องหมายจุลภาค 9 2 2 2 4 5" xfId="1831"/>
    <cellStyle name="เครื่องหมายจุลภาค 9 2 2 2 4 5 2" xfId="4476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4 6 2 2" xfId="4698"/>
    <cellStyle name="เครื่องหมายจุลภาค 9 2 2 2 4 6 3" xfId="4299"/>
    <cellStyle name="เครื่องหมายจุลภาค 9 2 2 2 4 7" xfId="4143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2 2 2 2" xfId="4833"/>
    <cellStyle name="เครื่องหมายจุลภาค 9 2 2 2 5 2 2 2 3" xfId="4782"/>
    <cellStyle name="เครื่องหมายจุลภาค 9 2 2 2 5 2 2 3" xfId="4348"/>
    <cellStyle name="เครื่องหมายจุลภาค 9 2 2 2 5 2 3" xfId="2498"/>
    <cellStyle name="เครื่องหมายจุลภาค 9 2 2 2 5 2 3 2" xfId="4608"/>
    <cellStyle name="เครื่องหมายจุลภาค 9 2 2 2 5 2 4" xfId="4289"/>
    <cellStyle name="เครื่องหมายจุลภาค 9 2 2 2 5 3" xfId="1563"/>
    <cellStyle name="เครื่องหมายจุลภาค 9 2 2 2 5 3 2" xfId="4421"/>
    <cellStyle name="เครื่องหมายจุลภาค 9 2 2 2 5 4" xfId="1892"/>
    <cellStyle name="เครื่องหมายจุลภาค 9 2 2 2 5 4 2" xfId="4488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5 5 2 2" xfId="4710"/>
    <cellStyle name="เครื่องหมายจุลภาค 9 2 2 2 5 5 3" xfId="4556"/>
    <cellStyle name="เครื่องหมายจุลภาค 9 2 2 2 5 6" xfId="417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2 2 2 2" xfId="4766"/>
    <cellStyle name="เครื่องหมายจุลภาค 9 2 2 2 6 2 2 3" xfId="4685"/>
    <cellStyle name="เครื่องหมายจุลภาค 9 2 2 2 6 2 3" xfId="4262"/>
    <cellStyle name="เครื่องหมายจุลภาค 9 2 2 2 6 3" xfId="2128"/>
    <cellStyle name="เครื่องหมายจุลภาค 9 2 2 2 6 3 2" xfId="4539"/>
    <cellStyle name="เครื่องหมายจุลภาค 9 2 2 2 6 4" xfId="4043"/>
    <cellStyle name="เครื่องหมายจุลภาค 9 2 2 2 7" xfId="1435"/>
    <cellStyle name="เครื่องหมายจุลภาค 9 2 2 2 7 2" xfId="439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2 8 2 2" xfId="4159"/>
    <cellStyle name="เครื่องหมายจุลภาค 9 2 2 2 8 3" xfId="4332"/>
    <cellStyle name="เครื่องหมายจุลภาค 9 2 2 2 9" xfId="4023"/>
    <cellStyle name="เครื่องหมายจุลภาค 9 2 2 3" xfId="128"/>
    <cellStyle name="เครื่องหมายจุลภาค 9 2 2 3 2" xfId="4024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2 2 3" xfId="4870"/>
    <cellStyle name="เครื่องหมายจุลภาค 9 2 2 4 2 2 2 2 2 3" xfId="2690"/>
    <cellStyle name="เครื่องหมายจุลภาค 9 2 2 4 2 2 2 2 2 4" xfId="4387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2 5 3" xfId="4645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2 2 2 2" xfId="4903"/>
    <cellStyle name="เครื่องหมายจุลภาค 9 2 2 4 2 2 2 3 2 3" xfId="4458"/>
    <cellStyle name="เครื่องหมายจุลภาค 9 2 2 4 2 2 2 3 3" xfId="2828"/>
    <cellStyle name="เครื่องหมายจุลภาค 9 2 2 4 2 2 2 3 3 2" xfId="4681"/>
    <cellStyle name="เครื่องหมายจุลภาค 9 2 2 4 2 2 2 4" xfId="2064"/>
    <cellStyle name="เครื่องหมายจุลภาค 9 2 2 4 2 2 2 4 2" xfId="4525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2 5 2 2" xfId="4752"/>
    <cellStyle name="เครื่องหมายจุลภาค 9 2 2 4 2 2 2 6" xfId="4247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2 2 3" xfId="4801"/>
    <cellStyle name="เครื่องหมายจุลภาค 9 2 2 4 2 2 3 3" xfId="2488"/>
    <cellStyle name="เครื่องหมายจุลภาค 9 2 2 4 2 2 3 4" xfId="4312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2 6 3" xfId="4575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2 2 3" xfId="4827"/>
    <cellStyle name="เครื่องหมายจุลภาค 9 2 2 4 2 3 2 3" xfId="2565"/>
    <cellStyle name="เครื่องหมายจุลภาค 9 2 2 4 2 3 2 4" xfId="4342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3 5 3" xfId="4602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2 2 2 2" xfId="4884"/>
    <cellStyle name="เครื่องหมายจุลภาค 9 2 2 4 2 4 2 3" xfId="4415"/>
    <cellStyle name="เครื่องหมายจุลภาค 9 2 2 4 2 4 3" xfId="2752"/>
    <cellStyle name="เครื่องหมายจุลภาค 9 2 2 4 2 4 3 2" xfId="4662"/>
    <cellStyle name="เครื่องหมายจุลภาค 9 2 2 4 2 5" xfId="1861"/>
    <cellStyle name="เครื่องหมายจุลภาค 9 2 2 4 2 5 2" xfId="4482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2 6 2 2" xfId="4704"/>
    <cellStyle name="เครื่องหมายจุลภาค 9 2 2 4 2 7" xfId="4153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2 2 3" xfId="4846"/>
    <cellStyle name="เครื่องหมายจุลภาค 9 2 2 4 3 2 2 3" xfId="2605"/>
    <cellStyle name="เครื่องหมายจุลภาค 9 2 2 4 3 2 2 4" xfId="4363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2 5 3" xfId="4621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2 2 2 2" xfId="4894"/>
    <cellStyle name="เครื่องหมายจุลภาค 9 2 2 4 3 3 2 3" xfId="4434"/>
    <cellStyle name="เครื่องหมายจุลภาค 9 2 2 4 3 3 3" xfId="2784"/>
    <cellStyle name="เครื่องหมายจุลภาค 9 2 2 4 3 3 3 2" xfId="4672"/>
    <cellStyle name="เครื่องหมายจุลภาค 9 2 2 4 3 4" xfId="1933"/>
    <cellStyle name="เครื่องหมายจุลภาค 9 2 2 4 3 4 2" xfId="4501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3 5 2 2" xfId="4724"/>
    <cellStyle name="เครื่องหมายจุลภาค 9 2 2 4 3 6" xfId="4200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2 2 3" xfId="4770"/>
    <cellStyle name="เครื่องหมายจุลภาค 9 2 2 4 4 3" xfId="2136"/>
    <cellStyle name="เครื่องหมายจุลภาค 9 2 2 4 4 4" xfId="426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4 7 3" xfId="4543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2 2 3" xfId="4842"/>
    <cellStyle name="เครื่องหมายจุลภาค 9 2 2 6 2 2 2 3" xfId="2627"/>
    <cellStyle name="เครื่องหมายจุลภาค 9 2 2 6 2 2 2 4" xfId="4359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2 5 3" xfId="4617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2 2 2 2" xfId="4890"/>
    <cellStyle name="เครื่องหมายจุลภาค 9 2 2 6 2 3 2 3" xfId="4430"/>
    <cellStyle name="เครื่องหมายจุลภาค 9 2 2 6 2 3 3" xfId="2773"/>
    <cellStyle name="เครื่องหมายจุลภาค 9 2 2 6 2 3 3 2" xfId="4668"/>
    <cellStyle name="เครื่องหมายจุลภาค 9 2 2 6 2 4" xfId="1922"/>
    <cellStyle name="เครื่องหมายจุลภาค 9 2 2 6 2 4 2" xfId="4497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2 5 2 2" xfId="4720"/>
    <cellStyle name="เครื่องหมายจุลภาค 9 2 2 6 2 6" xfId="4196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2 2 3" xfId="4763"/>
    <cellStyle name="เครื่องหมายจุลภาค 9 2 2 6 3 3" xfId="2408"/>
    <cellStyle name="เครื่องหมายจุลภาค 9 2 2 6 3 4" xfId="4259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6 6 3" xfId="4535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2 2 3" xfId="4781"/>
    <cellStyle name="เครื่องหมายจุลภาค 9 2 2 7 2 3" xfId="2439"/>
    <cellStyle name="เครื่องหมายจุลภาค 9 2 2 7 2 4" xfId="4288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7 5 3" xfId="4554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2 2 2 2" xfId="4792"/>
    <cellStyle name="เครื่องหมายจุลภาค 9 2 2 8 2 3" xfId="4302"/>
    <cellStyle name="เครื่องหมายจุลภาค 9 2 2 8 3" xfId="2282"/>
    <cellStyle name="เครื่องหมายจุลภาค 9 2 2 8 3 2" xfId="4566"/>
    <cellStyle name="เครื่องหมายจุลภาค 9 2 2 9" xfId="1440"/>
    <cellStyle name="เครื่องหมายจุลภาค 9 2 2 9 2" xfId="4396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เครื่องหมายสกุลเงิน 2" xfId="3932"/>
    <cellStyle name="จุลภาค" xfId="1" builtinId="3"/>
    <cellStyle name="จุลภาค 2" xfId="3941"/>
    <cellStyle name="จุลภาค 2 2" xfId="3942"/>
    <cellStyle name="จุลภาค 3" xfId="3958"/>
    <cellStyle name="จุลภาค 4" xfId="3959"/>
    <cellStyle name="ปกติ" xfId="0" builtinId="0"/>
    <cellStyle name="ปกติ 10" xfId="82"/>
    <cellStyle name="ปกติ 10 2" xfId="239"/>
    <cellStyle name="ปกติ 10 2 2" xfId="4082"/>
    <cellStyle name="ปกติ 10 3" xfId="154"/>
    <cellStyle name="ปกติ 10 3 2" xfId="4032"/>
    <cellStyle name="ปกติ 10 4" xfId="201"/>
    <cellStyle name="ปกติ 10 4 2" xfId="4053"/>
    <cellStyle name="ปกติ 10 5" xfId="356"/>
    <cellStyle name="ปกติ 10 5 2" xfId="4130"/>
    <cellStyle name="ปกติ 10 6" xfId="461"/>
    <cellStyle name="ปกติ 10 6 2" xfId="4168"/>
    <cellStyle name="ปกติ 10 7" xfId="846"/>
    <cellStyle name="ปกติ 10 7 2" xfId="4272"/>
    <cellStyle name="ปกติ 10 8" xfId="3996"/>
    <cellStyle name="ปกติ 11" xfId="130"/>
    <cellStyle name="ปกติ 11 2" xfId="3930"/>
    <cellStyle name="ปกติ 12" xfId="131"/>
    <cellStyle name="ปกติ 13" xfId="132"/>
    <cellStyle name="ปกติ 14" xfId="152"/>
    <cellStyle name="ปกติ 14 2" xfId="301"/>
    <cellStyle name="ปกติ 14 2 2" xfId="4112"/>
    <cellStyle name="ปกติ 14 3" xfId="347"/>
    <cellStyle name="ปกติ 14 3 2" xfId="4128"/>
    <cellStyle name="ปกติ 14 4" xfId="398"/>
    <cellStyle name="ปกติ 14 4 2" xfId="4149"/>
    <cellStyle name="ปกติ 14 5" xfId="193"/>
    <cellStyle name="ปกติ 14 5 2" xfId="4047"/>
    <cellStyle name="ปกติ 14 6" xfId="506"/>
    <cellStyle name="ปกติ 14 6 2" xfId="4190"/>
    <cellStyle name="ปกติ 14 7" xfId="1238"/>
    <cellStyle name="ปกติ 14 7 2" xfId="4354"/>
    <cellStyle name="ปกติ 14 8" xfId="4030"/>
    <cellStyle name="ปกติ 15" xfId="3924"/>
    <cellStyle name="ปกติ 16" xfId="3925"/>
    <cellStyle name="ปกติ 17" xfId="3922"/>
    <cellStyle name="ปกติ 18" xfId="3957"/>
    <cellStyle name="ปกติ 2" xfId="27"/>
    <cellStyle name="ปกติ 2 2" xfId="28"/>
    <cellStyle name="ปกติ 2 2 2" xfId="73"/>
    <cellStyle name="ปกติ 2 2 2 2" xfId="3943"/>
    <cellStyle name="ปกติ 2 2 2 3" xfId="3944"/>
    <cellStyle name="ปกติ 2 2 2 3 2" xfId="3945"/>
    <cellStyle name="ปกติ 2 2 2 4" xfId="3946"/>
    <cellStyle name="ปกติ 2 2 3" xfId="3947"/>
    <cellStyle name="ปกติ 2 3" xfId="29"/>
    <cellStyle name="ปกติ 2 3 2" xfId="133"/>
    <cellStyle name="ปกติ 2 3 3" xfId="134"/>
    <cellStyle name="ปกติ 2 4" xfId="135"/>
    <cellStyle name="ปกติ 2 4 2" xfId="4025"/>
    <cellStyle name="ปกติ 2 5" xfId="136"/>
    <cellStyle name="ปกติ 2 5 2" xfId="4026"/>
    <cellStyle name="ปกติ 2 6" xfId="3931"/>
    <cellStyle name="ปกติ 2 7" xfId="3956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5 2" xfId="3923"/>
    <cellStyle name="ปกติ 3 5 3" xfId="4027"/>
    <cellStyle name="ปกติ 3 6" xfId="143"/>
    <cellStyle name="ปกติ 3 6 2" xfId="3927"/>
    <cellStyle name="ปกติ 3 6 3" xfId="4028"/>
    <cellStyle name="ปกติ 4" xfId="34"/>
    <cellStyle name="ปกติ 4 10" xfId="765"/>
    <cellStyle name="ปกติ 4 10 2" xfId="2196"/>
    <cellStyle name="ปกติ 4 10 3" xfId="425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2 2 2 2" xfId="4872"/>
    <cellStyle name="ปกติ 4 4 2 2 2 2 2 2 3" xfId="4389"/>
    <cellStyle name="ปกติ 4 4 2 2 2 2 2 3" xfId="2683"/>
    <cellStyle name="ปกติ 4 4 2 2 2 2 2 3 2" xfId="4647"/>
    <cellStyle name="ปกติ 4 4 2 2 2 2 3" xfId="1750"/>
    <cellStyle name="ปกติ 4 4 2 2 2 2 3 2" xfId="4460"/>
    <cellStyle name="ปกติ 4 4 2 2 2 2 4" xfId="2077"/>
    <cellStyle name="ปกติ 4 4 2 2 2 2 4 2" xfId="4527"/>
    <cellStyle name="ปกติ 4 4 2 2 2 2 5" xfId="2662"/>
    <cellStyle name="ปกติ 4 4 2 2 2 2 5 2" xfId="3195"/>
    <cellStyle name="ปกติ 4 4 2 2 2 2 5 2 2" xfId="4754"/>
    <cellStyle name="ปกติ 4 4 2 2 2 2 6" xfId="4249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2 2 3" xfId="4803"/>
    <cellStyle name="ปกติ 4 4 2 2 2 3 3" xfId="2820"/>
    <cellStyle name="ปกติ 4 4 2 2 2 3 4" xfId="4314"/>
    <cellStyle name="ปกติ 4 4 2 2 2 4" xfId="2056"/>
    <cellStyle name="ปกติ 4 4 2 2 2 5" xfId="2336"/>
    <cellStyle name="ปกติ 4 4 2 2 2 5 2" xfId="3174"/>
    <cellStyle name="ปกติ 4 4 2 2 2 5 3" xfId="4577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2 2 2 2" xfId="4829"/>
    <cellStyle name="ปกติ 4 4 2 2 3 2 3" xfId="4344"/>
    <cellStyle name="ปกติ 4 4 2 2 3 3" xfId="2481"/>
    <cellStyle name="ปกติ 4 4 2 2 3 3 2" xfId="4604"/>
    <cellStyle name="ปกติ 4 4 2 2 4" xfId="1544"/>
    <cellStyle name="ปกติ 4 4 2 2 4 2" xfId="4417"/>
    <cellStyle name="ปกติ 4 4 2 2 5" xfId="1875"/>
    <cellStyle name="ปกติ 4 4 2 2 5 2" xfId="4484"/>
    <cellStyle name="ปกติ 4 4 2 2 6" xfId="2315"/>
    <cellStyle name="ปกติ 4 4 2 2 6 2" xfId="2964"/>
    <cellStyle name="ปกติ 4 4 2 2 6 2 2" xfId="4706"/>
    <cellStyle name="ปกติ 4 4 2 2 7" xfId="4156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2 2 2 2" xfId="4849"/>
    <cellStyle name="ปกติ 4 4 2 3 2 2 3" xfId="4366"/>
    <cellStyle name="ปกติ 4 4 2 3 2 3" xfId="2558"/>
    <cellStyle name="ปกติ 4 4 2 3 2 3 2" xfId="4624"/>
    <cellStyle name="ปกติ 4 4 2 3 3" xfId="1625"/>
    <cellStyle name="ปกติ 4 4 2 3 3 2" xfId="4437"/>
    <cellStyle name="ปกติ 4 4 2 3 4" xfId="1952"/>
    <cellStyle name="ปกติ 4 4 2 3 4 2" xfId="4504"/>
    <cellStyle name="ปกติ 4 4 2 3 5" xfId="2459"/>
    <cellStyle name="ปกติ 4 4 2 3 5 2" xfId="3052"/>
    <cellStyle name="ปกติ 4 4 2 3 5 2 2" xfId="4728"/>
    <cellStyle name="ปกติ 4 4 2 3 6" xfId="4206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2 2 3" xfId="4773"/>
    <cellStyle name="ปกติ 4 4 2 4 3" xfId="2744"/>
    <cellStyle name="ปกติ 4 4 2 4 4" xfId="4269"/>
    <cellStyle name="ปกติ 4 4 2 5" xfId="1853"/>
    <cellStyle name="ปกติ 4 4 2 6" xfId="2166"/>
    <cellStyle name="ปกติ 4 4 2 6 2" xfId="2941"/>
    <cellStyle name="ปกติ 4 4 2 6 3" xfId="4546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2 2 2 2" xfId="4855"/>
    <cellStyle name="ปกติ 4 4 3 2 2 2 3" xfId="4372"/>
    <cellStyle name="ปกติ 4 4 3 2 2 3" xfId="2597"/>
    <cellStyle name="ปกติ 4 4 3 2 2 3 2" xfId="4630"/>
    <cellStyle name="ปกติ 4 4 3 2 3" xfId="1664"/>
    <cellStyle name="ปกติ 4 4 3 2 3 2" xfId="4443"/>
    <cellStyle name="ปกติ 4 4 3 2 4" xfId="1991"/>
    <cellStyle name="ปกติ 4 4 3 2 4 2" xfId="4510"/>
    <cellStyle name="ปกติ 4 4 3 2 5" xfId="2522"/>
    <cellStyle name="ปกติ 4 4 3 2 5 2" xfId="3105"/>
    <cellStyle name="ปกติ 4 4 3 2 5 2 2" xfId="4736"/>
    <cellStyle name="ปกติ 4 4 3 2 6" xfId="4228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2 2 3" xfId="4780"/>
    <cellStyle name="ปกติ 4 4 3 3 3" xfId="2767"/>
    <cellStyle name="ปกติ 4 4 3 3 4" xfId="4287"/>
    <cellStyle name="ปกติ 4 4 3 4" xfId="1916"/>
    <cellStyle name="ปกติ 4 4 3 5" xfId="2216"/>
    <cellStyle name="ปกติ 4 4 3 5 2" xfId="3015"/>
    <cellStyle name="ปกติ 4 4 3 5 3" xfId="4553"/>
    <cellStyle name="ปกติ 4 4 4" xfId="355"/>
    <cellStyle name="ปกติ 4 4 4 2" xfId="787"/>
    <cellStyle name="ปกติ 4 4 4 2 2" xfId="2908"/>
    <cellStyle name="ปกติ 4 4 4 2 2 2" xfId="3245"/>
    <cellStyle name="ปกติ 4 4 4 2 2 2 2" xfId="4767"/>
    <cellStyle name="ปกติ 4 4 4 2 3" xfId="4263"/>
    <cellStyle name="ปกติ 4 4 4 3" xfId="2129"/>
    <cellStyle name="ปกติ 4 4 4 3 2" xfId="4540"/>
    <cellStyle name="ปกติ 4 4 5" xfId="982"/>
    <cellStyle name="ปกติ 4 4 5 2" xfId="4303"/>
    <cellStyle name="ปกติ 4 4 6" xfId="1493"/>
    <cellStyle name="ปกติ 4 4 6 2" xfId="4406"/>
    <cellStyle name="ปกติ 4 4 7" xfId="613"/>
    <cellStyle name="ปกติ 4 4 7 2" xfId="469"/>
    <cellStyle name="ปกติ 4 4 7 2 2" xfId="4173"/>
    <cellStyle name="ปกติ 4 4 8" xfId="4035"/>
    <cellStyle name="ปกติ 4 5" xfId="288"/>
    <cellStyle name="ปกติ 4 5 2" xfId="4110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2 2 2 2" xfId="4858"/>
    <cellStyle name="ปกติ 4 6 2 2 2 2 3" xfId="4375"/>
    <cellStyle name="ปกติ 4 6 2 2 2 3" xfId="2616"/>
    <cellStyle name="ปกติ 4 6 2 2 2 3 2" xfId="4633"/>
    <cellStyle name="ปกติ 4 6 2 2 3" xfId="1683"/>
    <cellStyle name="ปกติ 4 6 2 2 3 2" xfId="4446"/>
    <cellStyle name="ปกติ 4 6 2 2 4" xfId="2010"/>
    <cellStyle name="ปกติ 4 6 2 2 4 2" xfId="4513"/>
    <cellStyle name="ปกติ 4 6 2 2 5" xfId="2527"/>
    <cellStyle name="ปกติ 4 6 2 2 5 2" xfId="3127"/>
    <cellStyle name="ปกติ 4 6 2 2 5 2 2" xfId="4740"/>
    <cellStyle name="ปกติ 4 6 2 2 6" xfId="4235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2 2 3" xfId="4788"/>
    <cellStyle name="ปกติ 4 6 2 3 3" xfId="2772"/>
    <cellStyle name="ปกติ 4 6 2 3 4" xfId="4296"/>
    <cellStyle name="ปกติ 4 6 2 4" xfId="1921"/>
    <cellStyle name="ปกติ 4 6 2 5" xfId="2265"/>
    <cellStyle name="ปกติ 4 6 2 5 2" xfId="3020"/>
    <cellStyle name="ปกติ 4 6 2 5 3" xfId="4562"/>
    <cellStyle name="ปกติ 4 6 3" xfId="772"/>
    <cellStyle name="ปกติ 4 6 3 2" xfId="1097"/>
    <cellStyle name="ปกติ 4 6 3 2 2" xfId="3231"/>
    <cellStyle name="ปกติ 4 6 3 2 2 2" xfId="3489"/>
    <cellStyle name="ปกติ 4 6 3 2 2 2 2" xfId="4813"/>
    <cellStyle name="ปกติ 4 6 3 2 3" xfId="4326"/>
    <cellStyle name="ปกติ 4 6 3 3" xfId="2389"/>
    <cellStyle name="ปกติ 4 6 3 3 2" xfId="4588"/>
    <cellStyle name="ปกติ 4 6 4" xfId="1453"/>
    <cellStyle name="ปกติ 4 6 4 2" xfId="4399"/>
    <cellStyle name="ปกติ 4 6 5" xfId="1788"/>
    <cellStyle name="ปกติ 4 6 5 2" xfId="4468"/>
    <cellStyle name="ปกติ 4 6 6" xfId="2111"/>
    <cellStyle name="ปกติ 4 6 6 2" xfId="2860"/>
    <cellStyle name="ปกติ 4 6 6 2 2" xfId="4688"/>
    <cellStyle name="ปกติ 4 6 7" xfId="4104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2 2 2 2" xfId="4823"/>
    <cellStyle name="ปกติ 4 7 2 2 3" xfId="4338"/>
    <cellStyle name="ปกติ 4 7 2 3" xfId="2442"/>
    <cellStyle name="ปกติ 4 7 2 3 2" xfId="4598"/>
    <cellStyle name="ปกติ 4 7 3" xfId="1505"/>
    <cellStyle name="ปกติ 4 7 3 2" xfId="4411"/>
    <cellStyle name="ปกติ 4 7 4" xfId="1836"/>
    <cellStyle name="ปกติ 4 7 4 2" xfId="4478"/>
    <cellStyle name="ปกติ 4 7 5" xfId="2203"/>
    <cellStyle name="ปกติ 4 7 5 2" xfId="2923"/>
    <cellStyle name="ปกติ 4 7 5 2 2" xfId="4700"/>
    <cellStyle name="ปกติ 4 7 6" xfId="4147"/>
    <cellStyle name="ปกติ 4 8" xfId="478"/>
    <cellStyle name="ปกติ 4 8 2" xfId="1139"/>
    <cellStyle name="ปกติ 4 8 2 2" xfId="2989"/>
    <cellStyle name="ปกติ 4 8 2 2 2" xfId="3525"/>
    <cellStyle name="ปกติ 4 8 2 2 3" xfId="4711"/>
    <cellStyle name="ปกติ 4 8 3" xfId="2427"/>
    <cellStyle name="ปกติ 4 8 4" xfId="4179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5 4 2" xfId="4029"/>
    <cellStyle name="ปกติ 6" xfId="75"/>
    <cellStyle name="ปกติ 6 12" xfId="148"/>
    <cellStyle name="ปกติ 6 2" xfId="76"/>
    <cellStyle name="ปกติ 6 3" xfId="3948"/>
    <cellStyle name="ปกติ 6 4" xfId="3950"/>
    <cellStyle name="ปกติ 7" xfId="77"/>
    <cellStyle name="ปกติ 8" xfId="78"/>
    <cellStyle name="ปกติ 8 2" xfId="79"/>
    <cellStyle name="ปกติ 9" xfId="80"/>
    <cellStyle name="ปกติ 9 2" xfId="3995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204107</xdr:rowOff>
    </xdr:from>
    <xdr:to>
      <xdr:col>0</xdr:col>
      <xdr:colOff>202000</xdr:colOff>
      <xdr:row>29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212727"/>
          <a:ext cx="20200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3</xdr:row>
      <xdr:rowOff>302895</xdr:rowOff>
    </xdr:from>
    <xdr:to>
      <xdr:col>0</xdr:col>
      <xdr:colOff>1398339</xdr:colOff>
      <xdr:row>4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1483995"/>
          <a:ext cx="0" cy="211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0</xdr:colOff>
      <xdr:row>28</xdr:row>
      <xdr:rowOff>196487</xdr:rowOff>
    </xdr:from>
    <xdr:to>
      <xdr:col>15</xdr:col>
      <xdr:colOff>183696</xdr:colOff>
      <xdr:row>29</xdr:row>
      <xdr:rowOff>780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7572647"/>
          <a:ext cx="183696" cy="55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082040" y="1323975"/>
          <a:ext cx="19050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1082040" y="1323975"/>
          <a:ext cx="19050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0</xdr:colOff>
      <xdr:row>28</xdr:row>
      <xdr:rowOff>196487</xdr:rowOff>
    </xdr:from>
    <xdr:to>
      <xdr:col>20</xdr:col>
      <xdr:colOff>183696</xdr:colOff>
      <xdr:row>29</xdr:row>
      <xdr:rowOff>780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7119600" y="7587887"/>
          <a:ext cx="183696" cy="58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8201640" y="1328208"/>
          <a:ext cx="144780" cy="5185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18201640" y="1328208"/>
          <a:ext cx="144780" cy="5185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407787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407787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407787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topLeftCell="A3" zoomScale="69" zoomScaleNormal="69" workbookViewId="0">
      <pane xSplit="10365" ySplit="1680" topLeftCell="AL16" activePane="bottomRight"/>
      <selection activeCell="B4" sqref="B4"/>
      <selection pane="topRight" activeCell="AK6" sqref="AK6:AO6"/>
      <selection pane="bottomLeft" activeCell="H25" sqref="H25"/>
      <selection pane="bottomRight" activeCell="AM25" sqref="AM25"/>
    </sheetView>
  </sheetViews>
  <sheetFormatPr defaultColWidth="7.85546875" defaultRowHeight="24" customHeight="1"/>
  <cols>
    <col min="1" max="1" width="24.5703125" style="512" customWidth="1"/>
    <col min="2" max="15" width="14.28515625" style="512" customWidth="1"/>
    <col min="16" max="16" width="14.28515625" style="513" customWidth="1"/>
    <col min="17" max="33" width="14.28515625" style="512" customWidth="1"/>
    <col min="34" max="37" width="11.42578125" style="512" customWidth="1"/>
    <col min="38" max="38" width="11.5703125" style="512" customWidth="1"/>
    <col min="39" max="39" width="12.5703125" style="512" customWidth="1"/>
    <col min="40" max="41" width="11.5703125" style="512" customWidth="1"/>
    <col min="42" max="16384" width="7.85546875" style="512"/>
  </cols>
  <sheetData>
    <row r="1" spans="1:42" ht="25.5" customHeight="1">
      <c r="A1" s="543" t="s">
        <v>192</v>
      </c>
      <c r="P1" s="542"/>
    </row>
    <row r="2" spans="1:42" ht="3.75" customHeight="1">
      <c r="A2" s="541"/>
      <c r="D2" s="532"/>
      <c r="G2" s="540"/>
      <c r="H2" s="532"/>
      <c r="K2" s="532"/>
      <c r="O2" s="532"/>
      <c r="P2" s="539"/>
    </row>
    <row r="3" spans="1:42" s="525" customFormat="1" ht="26.25" customHeight="1">
      <c r="A3" s="642" t="s">
        <v>9</v>
      </c>
      <c r="B3" s="538"/>
      <c r="C3" s="644" t="s">
        <v>162</v>
      </c>
      <c r="D3" s="644"/>
      <c r="E3" s="644"/>
      <c r="F3" s="644" t="s">
        <v>182</v>
      </c>
      <c r="G3" s="644"/>
      <c r="H3" s="644"/>
      <c r="I3" s="644"/>
      <c r="J3" s="645" t="s">
        <v>160</v>
      </c>
      <c r="K3" s="645"/>
      <c r="L3" s="645"/>
      <c r="M3" s="537"/>
      <c r="N3" s="640" t="s">
        <v>159</v>
      </c>
      <c r="O3" s="640"/>
      <c r="P3" s="640"/>
      <c r="Q3" s="640"/>
      <c r="R3" s="640" t="s">
        <v>158</v>
      </c>
      <c r="S3" s="640"/>
      <c r="T3" s="640"/>
      <c r="U3" s="640"/>
      <c r="V3" s="640" t="s">
        <v>157</v>
      </c>
      <c r="W3" s="640"/>
      <c r="X3" s="640"/>
      <c r="Y3" s="640"/>
      <c r="Z3" s="640" t="s">
        <v>156</v>
      </c>
      <c r="AA3" s="640"/>
      <c r="AB3" s="640"/>
      <c r="AC3" s="640"/>
      <c r="AD3" s="640" t="s">
        <v>155</v>
      </c>
      <c r="AE3" s="640"/>
      <c r="AF3" s="640"/>
      <c r="AG3" s="640"/>
      <c r="AH3" s="640" t="s">
        <v>154</v>
      </c>
      <c r="AI3" s="640"/>
      <c r="AJ3" s="640"/>
      <c r="AK3" s="640"/>
      <c r="AL3" s="640" t="s">
        <v>197</v>
      </c>
      <c r="AM3" s="640"/>
      <c r="AN3" s="640"/>
      <c r="AO3" s="640"/>
    </row>
    <row r="4" spans="1:42" s="525" customFormat="1" ht="26.25" customHeight="1">
      <c r="A4" s="643"/>
      <c r="B4" s="536" t="s">
        <v>153</v>
      </c>
      <c r="C4" s="536" t="s">
        <v>152</v>
      </c>
      <c r="D4" s="536" t="s">
        <v>151</v>
      </c>
      <c r="E4" s="536" t="s">
        <v>150</v>
      </c>
      <c r="F4" s="536" t="s">
        <v>153</v>
      </c>
      <c r="G4" s="536" t="s">
        <v>152</v>
      </c>
      <c r="H4" s="536" t="s">
        <v>151</v>
      </c>
      <c r="I4" s="536" t="s">
        <v>150</v>
      </c>
      <c r="J4" s="535" t="s">
        <v>153</v>
      </c>
      <c r="K4" s="535" t="s">
        <v>152</v>
      </c>
      <c r="L4" s="535" t="s">
        <v>151</v>
      </c>
      <c r="M4" s="535" t="s">
        <v>150</v>
      </c>
      <c r="N4" s="535" t="s">
        <v>153</v>
      </c>
      <c r="O4" s="535" t="s">
        <v>152</v>
      </c>
      <c r="P4" s="535" t="s">
        <v>151</v>
      </c>
      <c r="Q4" s="535" t="s">
        <v>150</v>
      </c>
      <c r="R4" s="535" t="s">
        <v>153</v>
      </c>
      <c r="S4" s="535" t="s">
        <v>152</v>
      </c>
      <c r="T4" s="535" t="s">
        <v>151</v>
      </c>
      <c r="U4" s="535" t="s">
        <v>150</v>
      </c>
      <c r="V4" s="535" t="s">
        <v>153</v>
      </c>
      <c r="W4" s="535" t="s">
        <v>152</v>
      </c>
      <c r="X4" s="535" t="s">
        <v>151</v>
      </c>
      <c r="Y4" s="535" t="s">
        <v>150</v>
      </c>
      <c r="Z4" s="535" t="s">
        <v>153</v>
      </c>
      <c r="AA4" s="535" t="s">
        <v>152</v>
      </c>
      <c r="AB4" s="535" t="s">
        <v>151</v>
      </c>
      <c r="AC4" s="535" t="s">
        <v>150</v>
      </c>
      <c r="AD4" s="535" t="s">
        <v>153</v>
      </c>
      <c r="AE4" s="535" t="s">
        <v>152</v>
      </c>
      <c r="AF4" s="535" t="s">
        <v>151</v>
      </c>
      <c r="AG4" s="535" t="s">
        <v>150</v>
      </c>
      <c r="AH4" s="535" t="s">
        <v>153</v>
      </c>
      <c r="AI4" s="535" t="s">
        <v>152</v>
      </c>
      <c r="AJ4" s="535" t="s">
        <v>151</v>
      </c>
      <c r="AK4" s="535" t="s">
        <v>150</v>
      </c>
      <c r="AL4" s="535" t="s">
        <v>153</v>
      </c>
      <c r="AM4" s="535" t="s">
        <v>152</v>
      </c>
      <c r="AN4" s="535" t="s">
        <v>151</v>
      </c>
      <c r="AO4" s="535" t="s">
        <v>150</v>
      </c>
    </row>
    <row r="5" spans="1:42" s="525" customFormat="1" ht="24" customHeight="1">
      <c r="A5" s="639" t="s">
        <v>21</v>
      </c>
      <c r="B5" s="639"/>
      <c r="C5" s="639"/>
      <c r="D5" s="639"/>
      <c r="E5" s="639"/>
      <c r="F5" s="639"/>
      <c r="G5" s="639"/>
      <c r="H5" s="639"/>
      <c r="I5" s="639"/>
      <c r="J5" s="639"/>
      <c r="K5" s="639"/>
      <c r="L5" s="639"/>
      <c r="P5" s="534"/>
    </row>
    <row r="6" spans="1:42" s="525" customFormat="1" ht="24" customHeight="1">
      <c r="A6" s="524" t="s">
        <v>38</v>
      </c>
      <c r="B6" s="533">
        <v>2813227</v>
      </c>
      <c r="C6" s="533">
        <v>2816830</v>
      </c>
      <c r="D6" s="533">
        <v>0</v>
      </c>
      <c r="E6" s="533">
        <v>2822406</v>
      </c>
      <c r="F6" s="533">
        <v>2824842</v>
      </c>
      <c r="G6" s="533">
        <v>2827380</v>
      </c>
      <c r="H6" s="533">
        <v>2830011</v>
      </c>
      <c r="I6" s="533">
        <v>2832750</v>
      </c>
      <c r="J6" s="533">
        <v>2835578</v>
      </c>
      <c r="K6" s="533">
        <v>2838488</v>
      </c>
      <c r="L6" s="533">
        <v>2827922</v>
      </c>
      <c r="M6" s="533">
        <v>2808574</v>
      </c>
      <c r="N6" s="533">
        <f>SUM(N7:N16)</f>
        <v>8102021.7699999996</v>
      </c>
      <c r="O6" s="533">
        <v>2783485</v>
      </c>
      <c r="P6" s="533">
        <v>2781365</v>
      </c>
      <c r="Q6" s="533">
        <v>2798379</v>
      </c>
      <c r="R6" s="533">
        <v>2505143</v>
      </c>
      <c r="S6" s="533">
        <v>2504279</v>
      </c>
      <c r="T6" s="533">
        <v>2503406</v>
      </c>
      <c r="U6" s="533">
        <v>2502233</v>
      </c>
      <c r="V6" s="533">
        <v>2501249</v>
      </c>
      <c r="W6" s="533">
        <v>2500474</v>
      </c>
      <c r="X6" s="533">
        <v>2499593</v>
      </c>
      <c r="Y6" s="533">
        <v>2498336</v>
      </c>
      <c r="Z6" s="533">
        <v>2497293</v>
      </c>
      <c r="AA6" s="533">
        <v>2496462</v>
      </c>
      <c r="AB6" s="533">
        <v>2495622</v>
      </c>
      <c r="AC6" s="533">
        <v>2494550</v>
      </c>
      <c r="AD6" s="533">
        <v>2493683</v>
      </c>
      <c r="AE6" s="533">
        <v>2493021</v>
      </c>
      <c r="AF6" s="533">
        <v>2492157</v>
      </c>
      <c r="AG6" s="533">
        <v>2490702</v>
      </c>
      <c r="AH6" s="533">
        <v>2489461</v>
      </c>
      <c r="AI6" s="533">
        <v>2488457</v>
      </c>
      <c r="AJ6" s="533">
        <v>2487366</v>
      </c>
      <c r="AK6" s="533">
        <v>2485916</v>
      </c>
      <c r="AL6" s="533">
        <v>2484703</v>
      </c>
      <c r="AM6" s="533">
        <v>2483736</v>
      </c>
      <c r="AN6" s="533">
        <v>2482612</v>
      </c>
      <c r="AO6" s="533">
        <v>2480899</v>
      </c>
    </row>
    <row r="7" spans="1:42" ht="24" customHeight="1">
      <c r="A7" s="525" t="s">
        <v>19</v>
      </c>
      <c r="B7" s="533">
        <v>2188698</v>
      </c>
      <c r="C7" s="533">
        <v>2195143</v>
      </c>
      <c r="D7" s="533">
        <v>0</v>
      </c>
      <c r="E7" s="533">
        <v>2206189</v>
      </c>
      <c r="F7" s="533">
        <v>2211286</v>
      </c>
      <c r="G7" s="533">
        <v>2216461</v>
      </c>
      <c r="H7" s="533">
        <v>2221532</v>
      </c>
      <c r="I7" s="533">
        <v>2226350</v>
      </c>
      <c r="J7" s="533">
        <v>2231241</v>
      </c>
      <c r="K7" s="533">
        <v>2236201</v>
      </c>
      <c r="L7" s="533">
        <v>2226720</v>
      </c>
      <c r="M7" s="533">
        <v>2206530.9900000002</v>
      </c>
      <c r="N7" s="533">
        <v>2192585</v>
      </c>
      <c r="O7" s="533">
        <v>2179550</v>
      </c>
      <c r="P7" s="533">
        <v>2178229</v>
      </c>
      <c r="Q7" s="533">
        <v>2199606</v>
      </c>
      <c r="R7" s="533">
        <v>2011469</v>
      </c>
      <c r="S7" s="533">
        <v>2014282</v>
      </c>
      <c r="T7" s="533">
        <v>2017213</v>
      </c>
      <c r="U7" s="533">
        <v>2019156</v>
      </c>
      <c r="V7" s="533">
        <v>2021364</v>
      </c>
      <c r="W7" s="533">
        <v>2023741</v>
      </c>
      <c r="X7" s="533">
        <v>2025910</v>
      </c>
      <c r="Y7" s="533">
        <v>2027645</v>
      </c>
      <c r="Z7" s="533">
        <v>2029679</v>
      </c>
      <c r="AA7" s="533">
        <v>2031873</v>
      </c>
      <c r="AB7" s="533">
        <v>2033816</v>
      </c>
      <c r="AC7" s="533">
        <v>2035816</v>
      </c>
      <c r="AD7" s="533">
        <v>2037730</v>
      </c>
      <c r="AE7" s="533">
        <v>2039805</v>
      </c>
      <c r="AF7" s="533">
        <v>2041594</v>
      </c>
      <c r="AG7" s="533">
        <v>2043022</v>
      </c>
      <c r="AH7" s="533">
        <v>2044122</v>
      </c>
      <c r="AI7" s="533">
        <v>2045917</v>
      </c>
      <c r="AJ7" s="533">
        <v>2047509</v>
      </c>
      <c r="AK7" s="533">
        <v>2048551</v>
      </c>
      <c r="AL7" s="533">
        <v>2049836</v>
      </c>
      <c r="AM7" s="533">
        <v>2051355</v>
      </c>
      <c r="AN7" s="533">
        <v>2052652</v>
      </c>
      <c r="AO7" s="533">
        <v>2053245</v>
      </c>
      <c r="AP7" s="623"/>
    </row>
    <row r="8" spans="1:42" ht="24" customHeight="1">
      <c r="A8" s="512" t="s">
        <v>18</v>
      </c>
      <c r="B8" s="530">
        <v>1505335</v>
      </c>
      <c r="C8" s="530">
        <v>1535059</v>
      </c>
      <c r="D8" s="530">
        <v>0</v>
      </c>
      <c r="E8" s="530">
        <v>1563389</v>
      </c>
      <c r="F8" s="530">
        <v>1502603.69</v>
      </c>
      <c r="G8" s="530">
        <v>1545275.34</v>
      </c>
      <c r="H8" s="530">
        <v>1578967</v>
      </c>
      <c r="I8" s="530">
        <v>1620814</v>
      </c>
      <c r="J8" s="530">
        <v>1545098.37</v>
      </c>
      <c r="K8" s="530">
        <v>1601429</v>
      </c>
      <c r="L8" s="530">
        <v>1617704.64</v>
      </c>
      <c r="M8" s="530">
        <v>1632423.74</v>
      </c>
      <c r="N8" s="530">
        <v>1545564.5</v>
      </c>
      <c r="O8" s="530">
        <v>1535867</v>
      </c>
      <c r="P8" s="530">
        <v>1618443</v>
      </c>
      <c r="Q8" s="530">
        <v>1605386</v>
      </c>
      <c r="R8" s="530">
        <v>1406148</v>
      </c>
      <c r="S8" s="530">
        <v>1431328.7</v>
      </c>
      <c r="T8" s="530">
        <v>1436349.34</v>
      </c>
      <c r="U8" s="531">
        <v>1423198</v>
      </c>
      <c r="V8" s="530">
        <v>1393671.52</v>
      </c>
      <c r="W8" s="530">
        <v>1394825.33</v>
      </c>
      <c r="X8" s="530">
        <v>1397695.68</v>
      </c>
      <c r="Y8" s="530">
        <v>1410249</v>
      </c>
      <c r="Z8" s="530">
        <v>1311076.8500000001</v>
      </c>
      <c r="AA8" s="530">
        <v>1326644.72</v>
      </c>
      <c r="AB8" s="530">
        <v>1348183.1</v>
      </c>
      <c r="AC8" s="530">
        <v>1349536.11</v>
      </c>
      <c r="AD8" s="530">
        <v>1302016</v>
      </c>
      <c r="AE8" s="530">
        <v>1307880</v>
      </c>
      <c r="AF8" s="530">
        <v>1385879</v>
      </c>
      <c r="AG8" s="530">
        <v>1343211</v>
      </c>
      <c r="AH8" s="530">
        <v>1293967</v>
      </c>
      <c r="AI8" s="530">
        <v>1287096</v>
      </c>
      <c r="AJ8" s="530">
        <v>1311683</v>
      </c>
      <c r="AK8" s="530">
        <v>1319743</v>
      </c>
      <c r="AL8" s="530">
        <v>1268832</v>
      </c>
      <c r="AM8" s="530">
        <v>1245867</v>
      </c>
      <c r="AN8" s="530">
        <v>1201981</v>
      </c>
      <c r="AO8" s="530">
        <v>1244690</v>
      </c>
      <c r="AP8" s="622"/>
    </row>
    <row r="9" spans="1:42" ht="24" customHeight="1">
      <c r="A9" s="512" t="s">
        <v>17</v>
      </c>
      <c r="B9" s="530">
        <v>1471271</v>
      </c>
      <c r="C9" s="530">
        <v>1512043</v>
      </c>
      <c r="D9" s="530">
        <v>0</v>
      </c>
      <c r="E9" s="530">
        <v>1563389</v>
      </c>
      <c r="F9" s="530">
        <v>1456537.76</v>
      </c>
      <c r="G9" s="530">
        <v>1508248.16</v>
      </c>
      <c r="H9" s="530">
        <v>1578967</v>
      </c>
      <c r="I9" s="530">
        <v>1605569</v>
      </c>
      <c r="J9" s="530">
        <v>1486068.45</v>
      </c>
      <c r="K9" s="530">
        <v>1576883.56</v>
      </c>
      <c r="L9" s="530">
        <v>1617704.64</v>
      </c>
      <c r="M9" s="530">
        <v>1632423.74</v>
      </c>
      <c r="N9" s="530">
        <v>1524267.77</v>
      </c>
      <c r="O9" s="530">
        <v>1512113</v>
      </c>
      <c r="P9" s="530">
        <v>1618443</v>
      </c>
      <c r="Q9" s="530">
        <v>1605386</v>
      </c>
      <c r="R9" s="530">
        <v>1374672</v>
      </c>
      <c r="S9" s="530">
        <v>1423509.89</v>
      </c>
      <c r="T9" s="530">
        <v>1434596.82</v>
      </c>
      <c r="U9" s="531">
        <v>1422981</v>
      </c>
      <c r="V9" s="530">
        <f t="shared" ref="V9:AC9" si="0">SUM(V10:V11)</f>
        <v>1386729.5999999999</v>
      </c>
      <c r="W9" s="530">
        <f t="shared" si="0"/>
        <v>1388766.43</v>
      </c>
      <c r="X9" s="530">
        <f t="shared" si="0"/>
        <v>1394966.22</v>
      </c>
      <c r="Y9" s="530">
        <f t="shared" si="0"/>
        <v>1410065.89</v>
      </c>
      <c r="Z9" s="530">
        <f t="shared" si="0"/>
        <v>1300059.04</v>
      </c>
      <c r="AA9" s="530">
        <f t="shared" si="0"/>
        <v>1307036.4400000002</v>
      </c>
      <c r="AB9" s="530">
        <f t="shared" si="0"/>
        <v>1348183.1099999999</v>
      </c>
      <c r="AC9" s="530">
        <f t="shared" si="0"/>
        <v>1348275.74</v>
      </c>
      <c r="AD9" s="530">
        <v>1278764</v>
      </c>
      <c r="AE9" s="530">
        <v>1288137</v>
      </c>
      <c r="AF9" s="530">
        <v>1385879</v>
      </c>
      <c r="AG9" s="530">
        <v>1335607</v>
      </c>
      <c r="AH9" s="530">
        <v>1261602</v>
      </c>
      <c r="AI9" s="530">
        <v>1275923</v>
      </c>
      <c r="AJ9" s="530">
        <v>1310835</v>
      </c>
      <c r="AK9" s="530">
        <v>1289383</v>
      </c>
      <c r="AL9" s="530">
        <v>1197845.3400000001</v>
      </c>
      <c r="AM9" s="530">
        <v>1197067</v>
      </c>
      <c r="AN9" s="530">
        <v>1178865</v>
      </c>
      <c r="AO9" s="530">
        <v>1224882</v>
      </c>
      <c r="AP9" s="622"/>
    </row>
    <row r="10" spans="1:42" ht="24" customHeight="1">
      <c r="A10" s="512" t="s">
        <v>16</v>
      </c>
      <c r="B10" s="530">
        <v>1463504</v>
      </c>
      <c r="C10" s="530">
        <v>1497011</v>
      </c>
      <c r="D10" s="530">
        <v>0</v>
      </c>
      <c r="E10" s="530">
        <v>1554713</v>
      </c>
      <c r="F10" s="530">
        <v>1444247</v>
      </c>
      <c r="G10" s="530">
        <v>1502082.64</v>
      </c>
      <c r="H10" s="530">
        <v>1568700</v>
      </c>
      <c r="I10" s="530">
        <v>1596453</v>
      </c>
      <c r="J10" s="530">
        <v>1473724.65</v>
      </c>
      <c r="K10" s="530">
        <v>1558329.53</v>
      </c>
      <c r="L10" s="530">
        <v>1603167.91</v>
      </c>
      <c r="M10" s="530">
        <v>1616084.41</v>
      </c>
      <c r="N10" s="530">
        <v>1503381.22</v>
      </c>
      <c r="O10" s="530">
        <v>1501983</v>
      </c>
      <c r="P10" s="530">
        <v>1599586</v>
      </c>
      <c r="Q10" s="530">
        <v>1588286</v>
      </c>
      <c r="R10" s="530">
        <v>1349508</v>
      </c>
      <c r="S10" s="530">
        <v>1397340.87</v>
      </c>
      <c r="T10" s="530">
        <v>1405156.22</v>
      </c>
      <c r="U10" s="531">
        <v>1416408</v>
      </c>
      <c r="V10" s="530">
        <v>1362575.88</v>
      </c>
      <c r="W10" s="530">
        <v>1368351.78</v>
      </c>
      <c r="X10" s="530">
        <v>1366251.5</v>
      </c>
      <c r="Y10" s="530">
        <v>1389717.13</v>
      </c>
      <c r="Z10" s="530">
        <v>1280208.7</v>
      </c>
      <c r="AA10" s="530">
        <v>1281017.6100000001</v>
      </c>
      <c r="AB10" s="530">
        <v>1332622.46</v>
      </c>
      <c r="AC10" s="530">
        <v>1315215.74</v>
      </c>
      <c r="AD10" s="530">
        <v>1244459</v>
      </c>
      <c r="AE10" s="530">
        <v>1264250</v>
      </c>
      <c r="AF10" s="530">
        <v>1361389</v>
      </c>
      <c r="AG10" s="530">
        <v>1306823</v>
      </c>
      <c r="AH10" s="530">
        <v>1236358</v>
      </c>
      <c r="AI10" s="530">
        <v>1252549</v>
      </c>
      <c r="AJ10" s="530">
        <v>1299811</v>
      </c>
      <c r="AK10" s="530">
        <v>1263081</v>
      </c>
      <c r="AL10" s="530">
        <v>1184151</v>
      </c>
      <c r="AM10" s="530">
        <v>1171095</v>
      </c>
      <c r="AN10" s="530">
        <v>1164344</v>
      </c>
      <c r="AO10" s="530">
        <v>1198717</v>
      </c>
      <c r="AP10" s="622"/>
    </row>
    <row r="11" spans="1:42" ht="24" customHeight="1">
      <c r="A11" s="512" t="s">
        <v>15</v>
      </c>
      <c r="B11" s="530">
        <v>7767</v>
      </c>
      <c r="C11" s="530">
        <v>15032</v>
      </c>
      <c r="D11" s="530">
        <v>0</v>
      </c>
      <c r="E11" s="530">
        <v>8675</v>
      </c>
      <c r="F11" s="530">
        <v>12290.76</v>
      </c>
      <c r="G11" s="530">
        <v>6165.52</v>
      </c>
      <c r="H11" s="530">
        <v>10267</v>
      </c>
      <c r="I11" s="530">
        <v>9116</v>
      </c>
      <c r="J11" s="530">
        <v>12343</v>
      </c>
      <c r="K11" s="530">
        <v>18554.03</v>
      </c>
      <c r="L11" s="530">
        <v>14536.73</v>
      </c>
      <c r="M11" s="530">
        <v>16340</v>
      </c>
      <c r="N11" s="530">
        <v>20886.55</v>
      </c>
      <c r="O11" s="530">
        <v>10130</v>
      </c>
      <c r="P11" s="530">
        <v>18857</v>
      </c>
      <c r="Q11" s="530">
        <v>17100</v>
      </c>
      <c r="R11" s="530">
        <v>25164</v>
      </c>
      <c r="S11" s="530">
        <v>26169.03</v>
      </c>
      <c r="T11" s="530">
        <v>29440.6</v>
      </c>
      <c r="U11" s="531">
        <v>6573</v>
      </c>
      <c r="V11" s="530">
        <v>24153.72</v>
      </c>
      <c r="W11" s="530">
        <v>20414.650000000001</v>
      </c>
      <c r="X11" s="530">
        <v>28714.720000000001</v>
      </c>
      <c r="Y11" s="530">
        <v>20348.759999999998</v>
      </c>
      <c r="Z11" s="530">
        <v>19850.34</v>
      </c>
      <c r="AA11" s="530">
        <v>26018.83</v>
      </c>
      <c r="AB11" s="530">
        <v>15560.65</v>
      </c>
      <c r="AC11" s="530">
        <v>33060</v>
      </c>
      <c r="AD11" s="530">
        <v>34305</v>
      </c>
      <c r="AE11" s="530">
        <v>23887</v>
      </c>
      <c r="AF11" s="530">
        <v>24490</v>
      </c>
      <c r="AG11" s="530">
        <v>28784</v>
      </c>
      <c r="AH11" s="530">
        <v>25244</v>
      </c>
      <c r="AI11" s="530">
        <v>23374</v>
      </c>
      <c r="AJ11" s="530">
        <v>11024</v>
      </c>
      <c r="AK11" s="530">
        <v>26302</v>
      </c>
      <c r="AL11" s="530">
        <v>13694</v>
      </c>
      <c r="AM11" s="530">
        <v>25972</v>
      </c>
      <c r="AN11" s="530">
        <v>14521</v>
      </c>
      <c r="AO11" s="530">
        <v>26165</v>
      </c>
      <c r="AP11" s="622"/>
    </row>
    <row r="12" spans="1:42" ht="24" customHeight="1">
      <c r="A12" s="512" t="s">
        <v>14</v>
      </c>
      <c r="B12" s="530">
        <v>34064</v>
      </c>
      <c r="C12" s="530">
        <v>23016</v>
      </c>
      <c r="D12" s="530">
        <v>0</v>
      </c>
      <c r="E12" s="530">
        <v>0</v>
      </c>
      <c r="F12" s="530">
        <v>46065.93</v>
      </c>
      <c r="G12" s="530">
        <v>37027.18</v>
      </c>
      <c r="H12" s="530">
        <v>0</v>
      </c>
      <c r="I12" s="530">
        <v>15245</v>
      </c>
      <c r="J12" s="530">
        <v>59029.919999999998</v>
      </c>
      <c r="K12" s="530">
        <v>24545.439999999999</v>
      </c>
      <c r="L12" s="530">
        <v>0</v>
      </c>
      <c r="M12" s="530">
        <v>0</v>
      </c>
      <c r="N12" s="530">
        <v>21296.73</v>
      </c>
      <c r="O12" s="530">
        <v>23754</v>
      </c>
      <c r="P12" s="530">
        <v>0</v>
      </c>
      <c r="Q12" s="530">
        <v>0</v>
      </c>
      <c r="R12" s="530">
        <v>31476</v>
      </c>
      <c r="S12" s="530">
        <v>7818.8</v>
      </c>
      <c r="T12" s="530">
        <v>1752.52</v>
      </c>
      <c r="U12" s="513">
        <v>217</v>
      </c>
      <c r="V12" s="530">
        <v>6941.91</v>
      </c>
      <c r="W12" s="530">
        <v>6058.9</v>
      </c>
      <c r="X12" s="530">
        <v>2729.46</v>
      </c>
      <c r="Y12" s="530">
        <v>183.11</v>
      </c>
      <c r="Z12" s="530">
        <v>11017.81</v>
      </c>
      <c r="AA12" s="530">
        <v>19608.28</v>
      </c>
      <c r="AB12" s="530">
        <v>0</v>
      </c>
      <c r="AC12" s="530">
        <v>1259.8699999999999</v>
      </c>
      <c r="AD12" s="530">
        <v>23252</v>
      </c>
      <c r="AE12" s="530">
        <v>19743</v>
      </c>
      <c r="AF12" s="530">
        <v>0</v>
      </c>
      <c r="AG12" s="530">
        <v>7604</v>
      </c>
      <c r="AH12" s="530">
        <v>32365</v>
      </c>
      <c r="AI12" s="530">
        <v>11173</v>
      </c>
      <c r="AJ12" s="530">
        <v>848</v>
      </c>
      <c r="AK12" s="530">
        <v>30360</v>
      </c>
      <c r="AL12" s="530">
        <v>70987</v>
      </c>
      <c r="AM12" s="530">
        <v>48800</v>
      </c>
      <c r="AN12" s="530">
        <v>23116</v>
      </c>
      <c r="AO12" s="530">
        <v>19808</v>
      </c>
      <c r="AP12" s="622"/>
    </row>
    <row r="13" spans="1:42" ht="24" customHeight="1">
      <c r="A13" s="512" t="s">
        <v>13</v>
      </c>
      <c r="B13" s="530">
        <v>683363</v>
      </c>
      <c r="C13" s="530">
        <v>660083</v>
      </c>
      <c r="D13" s="530">
        <v>0</v>
      </c>
      <c r="E13" s="530">
        <v>642800</v>
      </c>
      <c r="F13" s="530">
        <v>708682.31</v>
      </c>
      <c r="G13" s="530">
        <v>671185.66</v>
      </c>
      <c r="H13" s="530">
        <v>642565</v>
      </c>
      <c r="I13" s="530">
        <v>605536</v>
      </c>
      <c r="J13" s="530">
        <v>686142.63</v>
      </c>
      <c r="K13" s="530">
        <v>634772</v>
      </c>
      <c r="L13" s="530">
        <v>609015.36</v>
      </c>
      <c r="M13" s="530">
        <v>574107.25</v>
      </c>
      <c r="N13" s="530">
        <v>647020</v>
      </c>
      <c r="O13" s="530">
        <v>643683</v>
      </c>
      <c r="P13" s="530">
        <v>559786</v>
      </c>
      <c r="Q13" s="530">
        <v>594220</v>
      </c>
      <c r="R13" s="530">
        <v>605321</v>
      </c>
      <c r="S13" s="530">
        <v>582953.31000000006</v>
      </c>
      <c r="T13" s="530">
        <v>580863.66</v>
      </c>
      <c r="U13" s="531">
        <v>595958</v>
      </c>
      <c r="V13" s="530">
        <v>627692.48</v>
      </c>
      <c r="W13" s="530">
        <v>628915</v>
      </c>
      <c r="X13" s="530">
        <v>628214.31999999995</v>
      </c>
      <c r="Y13" s="530">
        <v>617396</v>
      </c>
      <c r="Z13" s="530">
        <v>718602</v>
      </c>
      <c r="AA13" s="530">
        <v>705228.28</v>
      </c>
      <c r="AB13" s="530">
        <v>685632.9</v>
      </c>
      <c r="AC13" s="530">
        <v>686279.89</v>
      </c>
      <c r="AD13" s="530">
        <v>735714</v>
      </c>
      <c r="AE13" s="530">
        <v>731924</v>
      </c>
      <c r="AF13" s="530">
        <v>655715</v>
      </c>
      <c r="AG13" s="530">
        <v>699811</v>
      </c>
      <c r="AH13" s="530">
        <v>750155</v>
      </c>
      <c r="AI13" s="530">
        <v>758821</v>
      </c>
      <c r="AJ13" s="530">
        <v>735826</v>
      </c>
      <c r="AK13" s="530">
        <v>728808</v>
      </c>
      <c r="AL13" s="530">
        <v>781004</v>
      </c>
      <c r="AM13" s="530">
        <v>805488</v>
      </c>
      <c r="AN13" s="530">
        <v>850671</v>
      </c>
      <c r="AO13" s="530">
        <v>808555</v>
      </c>
      <c r="AP13" s="622"/>
    </row>
    <row r="14" spans="1:42" ht="24" customHeight="1">
      <c r="A14" s="512" t="s">
        <v>12</v>
      </c>
      <c r="B14" s="530">
        <v>208913</v>
      </c>
      <c r="C14" s="530">
        <v>201112</v>
      </c>
      <c r="D14" s="530">
        <v>0</v>
      </c>
      <c r="E14" s="530">
        <v>140723</v>
      </c>
      <c r="F14" s="530">
        <v>182252.23</v>
      </c>
      <c r="G14" s="530">
        <v>188434.23</v>
      </c>
      <c r="H14" s="530">
        <v>164644</v>
      </c>
      <c r="I14" s="530">
        <v>123080</v>
      </c>
      <c r="J14" s="530">
        <v>182035.07</v>
      </c>
      <c r="K14" s="530">
        <v>154532.07</v>
      </c>
      <c r="L14" s="530">
        <v>111498.86</v>
      </c>
      <c r="M14" s="530">
        <v>105861.19</v>
      </c>
      <c r="N14" s="530">
        <v>170922</v>
      </c>
      <c r="O14" s="530">
        <v>158805</v>
      </c>
      <c r="P14" s="530">
        <v>114091</v>
      </c>
      <c r="Q14" s="530">
        <v>132557</v>
      </c>
      <c r="R14" s="530">
        <v>133436</v>
      </c>
      <c r="S14" s="530">
        <v>124425.07</v>
      </c>
      <c r="T14" s="530">
        <v>139422.79</v>
      </c>
      <c r="U14" s="531">
        <v>129657</v>
      </c>
      <c r="V14" s="530">
        <v>146230.32</v>
      </c>
      <c r="W14" s="530">
        <v>137003.28</v>
      </c>
      <c r="X14" s="530">
        <v>143045</v>
      </c>
      <c r="Y14" s="530">
        <v>132986</v>
      </c>
      <c r="Z14" s="530">
        <v>153713</v>
      </c>
      <c r="AA14" s="530">
        <v>158874.64000000001</v>
      </c>
      <c r="AB14" s="530">
        <v>148910.26</v>
      </c>
      <c r="AC14" s="530">
        <v>144552</v>
      </c>
      <c r="AD14" s="530">
        <v>171545</v>
      </c>
      <c r="AE14" s="530">
        <v>169984</v>
      </c>
      <c r="AF14" s="530">
        <v>124602</v>
      </c>
      <c r="AG14" s="530">
        <v>160442</v>
      </c>
      <c r="AH14" s="530">
        <v>188581</v>
      </c>
      <c r="AI14" s="530">
        <v>206694</v>
      </c>
      <c r="AJ14" s="530">
        <v>201254</v>
      </c>
      <c r="AK14" s="530">
        <v>177775</v>
      </c>
      <c r="AL14" s="530">
        <v>189898</v>
      </c>
      <c r="AM14" s="530">
        <v>190458</v>
      </c>
      <c r="AN14" s="530">
        <v>231399</v>
      </c>
      <c r="AO14" s="530">
        <v>189374</v>
      </c>
      <c r="AP14" s="622"/>
    </row>
    <row r="15" spans="1:42" ht="24" customHeight="1">
      <c r="A15" s="512" t="s">
        <v>11</v>
      </c>
      <c r="B15" s="530">
        <v>193512</v>
      </c>
      <c r="C15" s="530">
        <v>141671</v>
      </c>
      <c r="D15" s="530">
        <v>0</v>
      </c>
      <c r="E15" s="530">
        <v>174219</v>
      </c>
      <c r="F15" s="530">
        <v>200056.25</v>
      </c>
      <c r="G15" s="530">
        <v>193428.5</v>
      </c>
      <c r="H15" s="530">
        <v>184031</v>
      </c>
      <c r="I15" s="530">
        <v>201126</v>
      </c>
      <c r="J15" s="530">
        <v>162074.07</v>
      </c>
      <c r="K15" s="530">
        <v>98885.42</v>
      </c>
      <c r="L15" s="530">
        <v>181215.71</v>
      </c>
      <c r="M15" s="530">
        <v>162067.22</v>
      </c>
      <c r="N15" s="530">
        <v>174123</v>
      </c>
      <c r="O15" s="530">
        <v>143024</v>
      </c>
      <c r="P15" s="530">
        <v>160731</v>
      </c>
      <c r="Q15" s="530">
        <v>173462</v>
      </c>
      <c r="R15" s="530">
        <v>157080</v>
      </c>
      <c r="S15" s="530">
        <v>139982.38</v>
      </c>
      <c r="T15" s="530">
        <v>148813.85999999999</v>
      </c>
      <c r="U15" s="531">
        <v>161087</v>
      </c>
      <c r="V15" s="530">
        <v>185051.26</v>
      </c>
      <c r="W15" s="530">
        <v>165750.10999999999</v>
      </c>
      <c r="X15" s="530">
        <v>162832.78</v>
      </c>
      <c r="Y15" s="530">
        <v>168633</v>
      </c>
      <c r="Z15" s="530">
        <v>197812</v>
      </c>
      <c r="AA15" s="530">
        <v>161038.28</v>
      </c>
      <c r="AB15" s="530">
        <v>177871.09</v>
      </c>
      <c r="AC15" s="530">
        <v>174288.38</v>
      </c>
      <c r="AD15" s="530">
        <v>166278</v>
      </c>
      <c r="AE15" s="530">
        <v>153574</v>
      </c>
      <c r="AF15" s="530">
        <v>169469</v>
      </c>
      <c r="AG15" s="530">
        <v>159828</v>
      </c>
      <c r="AH15" s="530">
        <v>184542</v>
      </c>
      <c r="AI15" s="530">
        <v>158171</v>
      </c>
      <c r="AJ15" s="530">
        <v>168598</v>
      </c>
      <c r="AK15" s="530">
        <v>162902</v>
      </c>
      <c r="AL15" s="530">
        <v>174365</v>
      </c>
      <c r="AM15" s="530">
        <v>164015</v>
      </c>
      <c r="AN15" s="530">
        <v>178910</v>
      </c>
      <c r="AO15" s="530">
        <v>150770</v>
      </c>
      <c r="AP15" s="622"/>
    </row>
    <row r="16" spans="1:42" ht="24" customHeight="1">
      <c r="A16" s="532" t="s">
        <v>10</v>
      </c>
      <c r="B16" s="530">
        <v>280938</v>
      </c>
      <c r="C16" s="530">
        <v>317300</v>
      </c>
      <c r="D16" s="530">
        <v>0</v>
      </c>
      <c r="E16" s="530">
        <v>327858</v>
      </c>
      <c r="F16" s="530">
        <v>326373.83</v>
      </c>
      <c r="G16" s="530">
        <v>289322.93</v>
      </c>
      <c r="H16" s="530">
        <v>293890</v>
      </c>
      <c r="I16" s="530">
        <v>281330</v>
      </c>
      <c r="J16" s="530">
        <v>342034</v>
      </c>
      <c r="K16" s="530">
        <v>381354.5</v>
      </c>
      <c r="L16" s="530">
        <v>316300.79999999999</v>
      </c>
      <c r="M16" s="530">
        <v>306178</v>
      </c>
      <c r="N16" s="530">
        <v>301975</v>
      </c>
      <c r="O16" s="530">
        <v>341854</v>
      </c>
      <c r="P16" s="530">
        <v>284964</v>
      </c>
      <c r="Q16" s="530">
        <v>288201</v>
      </c>
      <c r="R16" s="530">
        <v>314805</v>
      </c>
      <c r="S16" s="530">
        <v>318545.84999999998</v>
      </c>
      <c r="T16" s="530">
        <v>292627.01</v>
      </c>
      <c r="U16" s="531">
        <v>305214</v>
      </c>
      <c r="V16" s="530">
        <v>296410.90000000002</v>
      </c>
      <c r="W16" s="530">
        <v>326162.27</v>
      </c>
      <c r="X16" s="530">
        <v>322335.86</v>
      </c>
      <c r="Y16" s="530">
        <v>315777</v>
      </c>
      <c r="Z16" s="530">
        <v>367077</v>
      </c>
      <c r="AA16" s="530">
        <v>385315.36</v>
      </c>
      <c r="AB16" s="530">
        <v>358851.56</v>
      </c>
      <c r="AC16" s="530">
        <v>367440.13</v>
      </c>
      <c r="AD16" s="530">
        <v>397891</v>
      </c>
      <c r="AE16" s="530">
        <v>408366</v>
      </c>
      <c r="AF16" s="530">
        <v>361644</v>
      </c>
      <c r="AG16" s="530">
        <v>379541</v>
      </c>
      <c r="AH16" s="530">
        <v>377032</v>
      </c>
      <c r="AI16" s="530">
        <v>393956</v>
      </c>
      <c r="AJ16" s="530">
        <v>365974</v>
      </c>
      <c r="AK16" s="530">
        <v>388131</v>
      </c>
      <c r="AL16" s="530">
        <v>416741</v>
      </c>
      <c r="AM16" s="530">
        <v>451015</v>
      </c>
      <c r="AN16" s="530">
        <v>440362</v>
      </c>
      <c r="AO16" s="530">
        <v>468411</v>
      </c>
      <c r="AP16" s="621"/>
    </row>
    <row r="17" spans="1:41" s="525" customFormat="1" ht="24" customHeight="1">
      <c r="A17" s="529" t="s">
        <v>190</v>
      </c>
      <c r="B17" s="520">
        <v>624529</v>
      </c>
      <c r="C17" s="520">
        <v>621686</v>
      </c>
      <c r="D17" s="520" t="s">
        <v>191</v>
      </c>
      <c r="E17" s="520">
        <v>616217</v>
      </c>
      <c r="F17" s="520">
        <v>613556</v>
      </c>
      <c r="G17" s="520">
        <v>610919</v>
      </c>
      <c r="H17" s="520">
        <v>608479</v>
      </c>
      <c r="I17" s="520">
        <v>606400</v>
      </c>
      <c r="J17" s="520">
        <v>604337</v>
      </c>
      <c r="K17" s="520">
        <v>602287</v>
      </c>
      <c r="L17" s="520">
        <v>601202</v>
      </c>
      <c r="M17" s="520">
        <v>602043</v>
      </c>
      <c r="N17" s="520">
        <f t="shared" ref="N17:AG17" si="1">N6-N7</f>
        <v>5909436.7699999996</v>
      </c>
      <c r="O17" s="520">
        <f t="shared" si="1"/>
        <v>603935</v>
      </c>
      <c r="P17" s="520">
        <f t="shared" si="1"/>
        <v>603136</v>
      </c>
      <c r="Q17" s="520">
        <f t="shared" si="1"/>
        <v>598773</v>
      </c>
      <c r="R17" s="520">
        <f t="shared" si="1"/>
        <v>493674</v>
      </c>
      <c r="S17" s="520">
        <f t="shared" si="1"/>
        <v>489997</v>
      </c>
      <c r="T17" s="520">
        <f t="shared" si="1"/>
        <v>486193</v>
      </c>
      <c r="U17" s="520">
        <f t="shared" si="1"/>
        <v>483077</v>
      </c>
      <c r="V17" s="520">
        <f t="shared" si="1"/>
        <v>479885</v>
      </c>
      <c r="W17" s="520">
        <f t="shared" si="1"/>
        <v>476733</v>
      </c>
      <c r="X17" s="520">
        <f t="shared" si="1"/>
        <v>473683</v>
      </c>
      <c r="Y17" s="520">
        <f t="shared" si="1"/>
        <v>470691</v>
      </c>
      <c r="Z17" s="520">
        <f t="shared" si="1"/>
        <v>467614</v>
      </c>
      <c r="AA17" s="520">
        <f t="shared" si="1"/>
        <v>464589</v>
      </c>
      <c r="AB17" s="520">
        <f t="shared" si="1"/>
        <v>461806</v>
      </c>
      <c r="AC17" s="520">
        <f t="shared" si="1"/>
        <v>458734</v>
      </c>
      <c r="AD17" s="520">
        <f t="shared" si="1"/>
        <v>455953</v>
      </c>
      <c r="AE17" s="520">
        <f t="shared" si="1"/>
        <v>453216</v>
      </c>
      <c r="AF17" s="520">
        <f t="shared" si="1"/>
        <v>450563</v>
      </c>
      <c r="AG17" s="520">
        <f t="shared" si="1"/>
        <v>447680</v>
      </c>
      <c r="AH17" s="520">
        <f t="shared" ref="AH17:AO17" si="2">AH6-AH7</f>
        <v>445339</v>
      </c>
      <c r="AI17" s="520">
        <f t="shared" si="2"/>
        <v>442540</v>
      </c>
      <c r="AJ17" s="520">
        <f t="shared" si="2"/>
        <v>439857</v>
      </c>
      <c r="AK17" s="520">
        <f t="shared" si="2"/>
        <v>437365</v>
      </c>
      <c r="AL17" s="520">
        <f t="shared" si="2"/>
        <v>434867</v>
      </c>
      <c r="AM17" s="520">
        <f t="shared" si="2"/>
        <v>432381</v>
      </c>
      <c r="AN17" s="520">
        <f t="shared" si="2"/>
        <v>429960</v>
      </c>
      <c r="AO17" s="520">
        <f t="shared" si="2"/>
        <v>427654</v>
      </c>
    </row>
    <row r="18" spans="1:41" s="525" customFormat="1" ht="29.25" customHeight="1">
      <c r="A18" s="641" t="s">
        <v>20</v>
      </c>
      <c r="B18" s="641"/>
      <c r="C18" s="641"/>
      <c r="D18" s="641"/>
      <c r="E18" s="641"/>
      <c r="F18" s="641"/>
      <c r="G18" s="641"/>
      <c r="H18" s="641"/>
      <c r="I18" s="641"/>
      <c r="J18" s="641"/>
      <c r="K18" s="641"/>
      <c r="L18" s="641"/>
      <c r="M18" s="528"/>
      <c r="N18" s="528"/>
      <c r="O18" s="528"/>
      <c r="P18" s="528"/>
      <c r="Q18" s="528"/>
      <c r="R18" s="528"/>
      <c r="S18" s="528"/>
      <c r="T18" s="528"/>
      <c r="U18" s="528"/>
      <c r="V18" s="528"/>
      <c r="W18" s="528"/>
      <c r="X18" s="528"/>
      <c r="Y18" s="528"/>
      <c r="AB18" s="527"/>
      <c r="AC18" s="526"/>
    </row>
    <row r="19" spans="1:41" ht="24" customHeight="1">
      <c r="A19" s="524" t="s">
        <v>38</v>
      </c>
      <c r="B19" s="523">
        <v>100</v>
      </c>
      <c r="C19" s="523">
        <v>100</v>
      </c>
      <c r="D19" s="520">
        <v>0</v>
      </c>
      <c r="E19" s="523">
        <f>E7*100/E$7</f>
        <v>100</v>
      </c>
      <c r="F19" s="523">
        <f t="shared" ref="F19:AG19" si="3">F6*100/F$6</f>
        <v>100</v>
      </c>
      <c r="G19" s="523">
        <f t="shared" si="3"/>
        <v>100</v>
      </c>
      <c r="H19" s="523">
        <f t="shared" si="3"/>
        <v>100</v>
      </c>
      <c r="I19" s="523">
        <f t="shared" si="3"/>
        <v>100</v>
      </c>
      <c r="J19" s="523">
        <f t="shared" si="3"/>
        <v>100</v>
      </c>
      <c r="K19" s="523">
        <f t="shared" si="3"/>
        <v>100</v>
      </c>
      <c r="L19" s="523">
        <f t="shared" si="3"/>
        <v>100</v>
      </c>
      <c r="M19" s="522">
        <f t="shared" si="3"/>
        <v>100</v>
      </c>
      <c r="N19" s="522">
        <f t="shared" si="3"/>
        <v>100</v>
      </c>
      <c r="O19" s="522">
        <f t="shared" si="3"/>
        <v>100</v>
      </c>
      <c r="P19" s="522">
        <f t="shared" si="3"/>
        <v>100</v>
      </c>
      <c r="Q19" s="522">
        <f t="shared" si="3"/>
        <v>100</v>
      </c>
      <c r="R19" s="522">
        <f t="shared" si="3"/>
        <v>100</v>
      </c>
      <c r="S19" s="522">
        <f t="shared" si="3"/>
        <v>100</v>
      </c>
      <c r="T19" s="522">
        <f t="shared" si="3"/>
        <v>100</v>
      </c>
      <c r="U19" s="522">
        <f t="shared" si="3"/>
        <v>100</v>
      </c>
      <c r="V19" s="522">
        <f t="shared" si="3"/>
        <v>100</v>
      </c>
      <c r="W19" s="522">
        <f t="shared" si="3"/>
        <v>100</v>
      </c>
      <c r="X19" s="522">
        <f t="shared" si="3"/>
        <v>100</v>
      </c>
      <c r="Y19" s="522">
        <f t="shared" si="3"/>
        <v>100</v>
      </c>
      <c r="Z19" s="522">
        <f t="shared" si="3"/>
        <v>100</v>
      </c>
      <c r="AA19" s="522">
        <f t="shared" si="3"/>
        <v>100</v>
      </c>
      <c r="AB19" s="522">
        <f t="shared" si="3"/>
        <v>100</v>
      </c>
      <c r="AC19" s="522">
        <f t="shared" si="3"/>
        <v>100</v>
      </c>
      <c r="AD19" s="522">
        <f t="shared" si="3"/>
        <v>100</v>
      </c>
      <c r="AE19" s="522">
        <f t="shared" si="3"/>
        <v>100</v>
      </c>
      <c r="AF19" s="522">
        <f t="shared" si="3"/>
        <v>100</v>
      </c>
      <c r="AG19" s="522">
        <f t="shared" si="3"/>
        <v>100</v>
      </c>
      <c r="AH19" s="522">
        <f t="shared" ref="AH19:AO19" si="4">AH6*100/AH$6</f>
        <v>100</v>
      </c>
      <c r="AI19" s="522">
        <f t="shared" si="4"/>
        <v>100</v>
      </c>
      <c r="AJ19" s="522">
        <f t="shared" si="4"/>
        <v>100</v>
      </c>
      <c r="AK19" s="522">
        <f t="shared" si="4"/>
        <v>100</v>
      </c>
      <c r="AL19" s="522">
        <f t="shared" si="4"/>
        <v>100</v>
      </c>
      <c r="AM19" s="522">
        <f t="shared" si="4"/>
        <v>100</v>
      </c>
      <c r="AN19" s="522">
        <f t="shared" si="4"/>
        <v>100</v>
      </c>
      <c r="AO19" s="522">
        <f t="shared" si="4"/>
        <v>100</v>
      </c>
    </row>
    <row r="20" spans="1:41" ht="24" customHeight="1">
      <c r="A20" s="60" t="s">
        <v>19</v>
      </c>
      <c r="B20" s="521">
        <f>(B7/B6)*100</f>
        <v>77.800262829839184</v>
      </c>
      <c r="C20" s="521">
        <f>(C7/C6)*100</f>
        <v>77.929552014143553</v>
      </c>
      <c r="D20" s="520">
        <v>0</v>
      </c>
      <c r="E20" s="521">
        <f t="shared" ref="E20:AG20" si="5">(E7/E6)*100</f>
        <v>78.16696109631286</v>
      </c>
      <c r="F20" s="521">
        <f t="shared" si="5"/>
        <v>78.279988756893303</v>
      </c>
      <c r="G20" s="521">
        <f t="shared" si="5"/>
        <v>78.392752300716566</v>
      </c>
      <c r="H20" s="521">
        <f t="shared" si="5"/>
        <v>78.499058837580492</v>
      </c>
      <c r="I20" s="521">
        <f t="shared" si="5"/>
        <v>78.593239784661549</v>
      </c>
      <c r="J20" s="521">
        <f t="shared" si="5"/>
        <v>78.687343462250027</v>
      </c>
      <c r="K20" s="521">
        <f t="shared" si="5"/>
        <v>78.78141461228654</v>
      </c>
      <c r="L20" s="521">
        <f t="shared" si="5"/>
        <v>78.740502743710749</v>
      </c>
      <c r="M20" s="521">
        <f t="shared" si="5"/>
        <v>78.564103705296716</v>
      </c>
      <c r="N20" s="521">
        <f t="shared" si="5"/>
        <v>27.062195859787231</v>
      </c>
      <c r="O20" s="521">
        <f t="shared" si="5"/>
        <v>78.302918822986285</v>
      </c>
      <c r="P20" s="521">
        <f t="shared" si="5"/>
        <v>78.315107869697073</v>
      </c>
      <c r="Q20" s="521">
        <f t="shared" si="5"/>
        <v>78.602862585804132</v>
      </c>
      <c r="R20" s="521">
        <f t="shared" si="5"/>
        <v>80.293580047127051</v>
      </c>
      <c r="S20" s="521">
        <f t="shared" si="5"/>
        <v>80.433609833409136</v>
      </c>
      <c r="T20" s="521">
        <f t="shared" si="5"/>
        <v>80.578739525270777</v>
      </c>
      <c r="U20" s="521">
        <f t="shared" si="5"/>
        <v>80.694163972739545</v>
      </c>
      <c r="V20" s="521">
        <f t="shared" si="5"/>
        <v>80.814185233057572</v>
      </c>
      <c r="W20" s="521">
        <f t="shared" si="5"/>
        <v>80.934294857694979</v>
      </c>
      <c r="X20" s="521">
        <f t="shared" si="5"/>
        <v>81.049594874045496</v>
      </c>
      <c r="Y20" s="521">
        <f t="shared" si="5"/>
        <v>81.159819976176138</v>
      </c>
      <c r="Z20" s="521">
        <f t="shared" si="5"/>
        <v>81.275164748389557</v>
      </c>
      <c r="AA20" s="521">
        <f t="shared" si="5"/>
        <v>81.390103274153574</v>
      </c>
      <c r="AB20" s="521">
        <f t="shared" si="5"/>
        <v>81.495354665089508</v>
      </c>
      <c r="AC20" s="521">
        <f t="shared" si="5"/>
        <v>81.610551001182571</v>
      </c>
      <c r="AD20" s="521">
        <f t="shared" si="5"/>
        <v>81.71567917814734</v>
      </c>
      <c r="AE20" s="521">
        <f t="shared" si="5"/>
        <v>81.820610416037411</v>
      </c>
      <c r="AF20" s="521">
        <f t="shared" si="5"/>
        <v>81.920761813962756</v>
      </c>
      <c r="AG20" s="521">
        <f t="shared" si="5"/>
        <v>82.025950916649208</v>
      </c>
      <c r="AH20" s="521">
        <f t="shared" ref="AH20:AO20" si="6">(AH7/AH6)*100</f>
        <v>82.111027246460182</v>
      </c>
      <c r="AI20" s="521">
        <f t="shared" si="6"/>
        <v>82.216289049800736</v>
      </c>
      <c r="AJ20" s="521">
        <f t="shared" si="6"/>
        <v>82.316353926201444</v>
      </c>
      <c r="AK20" s="521">
        <f t="shared" si="6"/>
        <v>82.406284041777752</v>
      </c>
      <c r="AL20" s="521">
        <f t="shared" si="6"/>
        <v>82.498230170768906</v>
      </c>
      <c r="AM20" s="521">
        <f t="shared" si="6"/>
        <v>82.591507309955645</v>
      </c>
      <c r="AN20" s="521">
        <f t="shared" si="6"/>
        <v>82.681143891997621</v>
      </c>
      <c r="AO20" s="521">
        <f t="shared" si="6"/>
        <v>82.762135822538525</v>
      </c>
    </row>
    <row r="21" spans="1:41" ht="24" customHeight="1">
      <c r="A21" s="50" t="s">
        <v>18</v>
      </c>
      <c r="B21" s="519">
        <f>(B8/B6)*100</f>
        <v>53.509190690975174</v>
      </c>
      <c r="C21" s="519">
        <f>(C8/C6)*100</f>
        <v>54.495975972990919</v>
      </c>
      <c r="D21" s="520">
        <v>0</v>
      </c>
      <c r="E21" s="519">
        <f t="shared" ref="E21:AG21" si="7">(E8/E6)*100</f>
        <v>55.39206620167333</v>
      </c>
      <c r="F21" s="519">
        <f t="shared" si="7"/>
        <v>53.192486163827922</v>
      </c>
      <c r="G21" s="519">
        <f t="shared" si="7"/>
        <v>54.653967277125822</v>
      </c>
      <c r="H21" s="519">
        <f t="shared" si="7"/>
        <v>55.793670059939693</v>
      </c>
      <c r="I21" s="519">
        <f t="shared" si="7"/>
        <v>57.21697996646369</v>
      </c>
      <c r="J21" s="519">
        <f t="shared" si="7"/>
        <v>54.489714971691839</v>
      </c>
      <c r="K21" s="519">
        <f t="shared" si="7"/>
        <v>56.418381899095571</v>
      </c>
      <c r="L21" s="519">
        <f t="shared" si="7"/>
        <v>57.204712152598269</v>
      </c>
      <c r="M21" s="519">
        <f t="shared" si="7"/>
        <v>58.122867334099084</v>
      </c>
      <c r="N21" s="519">
        <f t="shared" si="7"/>
        <v>19.076281746401676</v>
      </c>
      <c r="O21" s="519">
        <f t="shared" si="7"/>
        <v>55.177843602534239</v>
      </c>
      <c r="P21" s="519">
        <f t="shared" si="7"/>
        <v>58.188802979831841</v>
      </c>
      <c r="Q21" s="519">
        <f t="shared" si="7"/>
        <v>57.368426506917039</v>
      </c>
      <c r="R21" s="519">
        <f t="shared" si="7"/>
        <v>56.130448441466221</v>
      </c>
      <c r="S21" s="519">
        <f t="shared" si="7"/>
        <v>57.155320952657426</v>
      </c>
      <c r="T21" s="519">
        <f t="shared" si="7"/>
        <v>57.375804803535665</v>
      </c>
      <c r="U21" s="519">
        <f t="shared" si="7"/>
        <v>56.877117358775145</v>
      </c>
      <c r="V21" s="519">
        <f t="shared" si="7"/>
        <v>55.719023575821524</v>
      </c>
      <c r="W21" s="519">
        <f t="shared" si="7"/>
        <v>55.782436849973251</v>
      </c>
      <c r="X21" s="519">
        <f t="shared" si="7"/>
        <v>55.916930476281536</v>
      </c>
      <c r="Y21" s="519">
        <f t="shared" si="7"/>
        <v>56.447531476951063</v>
      </c>
      <c r="Z21" s="519">
        <f t="shared" si="7"/>
        <v>52.499920914366086</v>
      </c>
      <c r="AA21" s="519">
        <f t="shared" si="7"/>
        <v>53.140993934616262</v>
      </c>
      <c r="AB21" s="519">
        <f t="shared" si="7"/>
        <v>54.021927198910738</v>
      </c>
      <c r="AC21" s="519">
        <f t="shared" si="7"/>
        <v>54.099381050690511</v>
      </c>
      <c r="AD21" s="519">
        <f t="shared" si="7"/>
        <v>52.212570723704651</v>
      </c>
      <c r="AE21" s="519">
        <f t="shared" si="7"/>
        <v>52.461651947576861</v>
      </c>
      <c r="AF21" s="519">
        <f t="shared" si="7"/>
        <v>55.609618495142968</v>
      </c>
      <c r="AG21" s="519">
        <f t="shared" si="7"/>
        <v>53.929012784347542</v>
      </c>
      <c r="AH21" s="519">
        <f t="shared" ref="AH21:AO21" si="8">(AH8/AH6)*100</f>
        <v>51.977797603577649</v>
      </c>
      <c r="AI21" s="519">
        <f t="shared" si="8"/>
        <v>51.722653837297571</v>
      </c>
      <c r="AJ21" s="519">
        <f t="shared" si="8"/>
        <v>52.733815610569579</v>
      </c>
      <c r="AK21" s="519">
        <f t="shared" si="8"/>
        <v>53.088801069706292</v>
      </c>
      <c r="AL21" s="519">
        <f t="shared" si="8"/>
        <v>51.065741056375757</v>
      </c>
      <c r="AM21" s="519">
        <f t="shared" si="8"/>
        <v>50.161007450067153</v>
      </c>
      <c r="AN21" s="519">
        <f t="shared" si="8"/>
        <v>48.415982843875724</v>
      </c>
      <c r="AO21" s="519">
        <f t="shared" si="8"/>
        <v>50.170925942571621</v>
      </c>
    </row>
    <row r="22" spans="1:41" ht="24" customHeight="1">
      <c r="A22" s="50" t="s">
        <v>17</v>
      </c>
      <c r="B22" s="519">
        <f>(B9/B6)*100</f>
        <v>52.29833923817737</v>
      </c>
      <c r="C22" s="519">
        <f t="shared" ref="C22:C27" si="9">(C9/C$6)*100</f>
        <v>53.678887259792042</v>
      </c>
      <c r="D22" s="520">
        <v>0</v>
      </c>
      <c r="E22" s="519">
        <f t="shared" ref="E22:AG22" si="10">(E9/E6)*100</f>
        <v>55.39206620167333</v>
      </c>
      <c r="F22" s="519">
        <f t="shared" si="10"/>
        <v>51.561742568256918</v>
      </c>
      <c r="G22" s="519">
        <f t="shared" si="10"/>
        <v>53.344373943368062</v>
      </c>
      <c r="H22" s="519">
        <f t="shared" si="10"/>
        <v>55.793670059939693</v>
      </c>
      <c r="I22" s="519">
        <f t="shared" si="10"/>
        <v>56.678810343305976</v>
      </c>
      <c r="J22" s="519">
        <f t="shared" si="10"/>
        <v>52.407955274021731</v>
      </c>
      <c r="K22" s="519">
        <f t="shared" si="10"/>
        <v>55.553645461950161</v>
      </c>
      <c r="L22" s="519">
        <f t="shared" si="10"/>
        <v>57.204712152598269</v>
      </c>
      <c r="M22" s="519">
        <f t="shared" si="10"/>
        <v>58.122867334099084</v>
      </c>
      <c r="N22" s="519">
        <f t="shared" si="10"/>
        <v>18.813424763236597</v>
      </c>
      <c r="O22" s="519">
        <f t="shared" si="10"/>
        <v>54.324452978909534</v>
      </c>
      <c r="P22" s="519">
        <f t="shared" si="10"/>
        <v>58.188802979831841</v>
      </c>
      <c r="Q22" s="519">
        <f t="shared" si="10"/>
        <v>57.368426506917039</v>
      </c>
      <c r="R22" s="519">
        <f t="shared" si="10"/>
        <v>54.873993221145454</v>
      </c>
      <c r="S22" s="519">
        <f t="shared" si="10"/>
        <v>56.843102944999337</v>
      </c>
      <c r="T22" s="519">
        <f t="shared" si="10"/>
        <v>57.30579937892616</v>
      </c>
      <c r="U22" s="519">
        <f t="shared" si="10"/>
        <v>56.868445104832368</v>
      </c>
      <c r="V22" s="519">
        <f t="shared" si="10"/>
        <v>55.441485433877226</v>
      </c>
      <c r="W22" s="519">
        <f t="shared" si="10"/>
        <v>55.54012679196024</v>
      </c>
      <c r="X22" s="519">
        <f t="shared" si="10"/>
        <v>55.807734299143895</v>
      </c>
      <c r="Y22" s="519">
        <f t="shared" si="10"/>
        <v>56.440202198583378</v>
      </c>
      <c r="Z22" s="519">
        <f t="shared" si="10"/>
        <v>52.058730793703425</v>
      </c>
      <c r="AA22" s="519">
        <f t="shared" si="10"/>
        <v>52.355551176024321</v>
      </c>
      <c r="AB22" s="519">
        <f t="shared" si="10"/>
        <v>54.02192759961244</v>
      </c>
      <c r="AC22" s="519">
        <f t="shared" si="10"/>
        <v>54.04885610631176</v>
      </c>
      <c r="AD22" s="519">
        <f t="shared" si="10"/>
        <v>51.280134644219011</v>
      </c>
      <c r="AE22" s="519">
        <f t="shared" si="10"/>
        <v>51.669721193684296</v>
      </c>
      <c r="AF22" s="519">
        <f t="shared" si="10"/>
        <v>55.609618495142968</v>
      </c>
      <c r="AG22" s="519">
        <f t="shared" si="10"/>
        <v>53.623717329491846</v>
      </c>
      <c r="AH22" s="519">
        <f t="shared" ref="AH22:AO22" si="11">(AH9/AH6)*100</f>
        <v>50.677716983716557</v>
      </c>
      <c r="AI22" s="519">
        <f t="shared" si="11"/>
        <v>51.273660746398278</v>
      </c>
      <c r="AJ22" s="519">
        <f t="shared" si="11"/>
        <v>52.699723321778947</v>
      </c>
      <c r="AK22" s="519">
        <f t="shared" si="11"/>
        <v>51.867520865548158</v>
      </c>
      <c r="AL22" s="519">
        <f t="shared" si="11"/>
        <v>48.208793566072082</v>
      </c>
      <c r="AM22" s="519">
        <f t="shared" si="11"/>
        <v>48.196225363726256</v>
      </c>
      <c r="AN22" s="519">
        <f t="shared" si="11"/>
        <v>47.484866745186117</v>
      </c>
      <c r="AO22" s="519">
        <f t="shared" si="11"/>
        <v>49.372505692492922</v>
      </c>
    </row>
    <row r="23" spans="1:41" ht="24" customHeight="1">
      <c r="A23" s="50" t="s">
        <v>16</v>
      </c>
      <c r="B23" s="519">
        <f>(B10/B6)*100</f>
        <v>52.02225060402165</v>
      </c>
      <c r="C23" s="519">
        <f t="shared" si="9"/>
        <v>53.145237731776497</v>
      </c>
      <c r="D23" s="520">
        <v>0</v>
      </c>
      <c r="E23" s="519">
        <f t="shared" ref="E23:AG23" si="12">(E10/E6)*100</f>
        <v>55.08466889597031</v>
      </c>
      <c r="F23" s="519">
        <f t="shared" si="12"/>
        <v>51.126647083270491</v>
      </c>
      <c r="G23" s="519">
        <f t="shared" si="12"/>
        <v>53.126309162546235</v>
      </c>
      <c r="H23" s="519">
        <f t="shared" si="12"/>
        <v>55.430879950643295</v>
      </c>
      <c r="I23" s="519">
        <f t="shared" si="12"/>
        <v>56.357002912364308</v>
      </c>
      <c r="J23" s="519">
        <f t="shared" si="12"/>
        <v>51.972636619412341</v>
      </c>
      <c r="K23" s="519">
        <f t="shared" si="12"/>
        <v>54.899986542130883</v>
      </c>
      <c r="L23" s="519">
        <f t="shared" si="12"/>
        <v>56.690669332463905</v>
      </c>
      <c r="M23" s="519">
        <f t="shared" si="12"/>
        <v>57.541101284851315</v>
      </c>
      <c r="N23" s="519">
        <f t="shared" si="12"/>
        <v>18.555630467035886</v>
      </c>
      <c r="O23" s="519">
        <f t="shared" si="12"/>
        <v>53.960520714140728</v>
      </c>
      <c r="P23" s="519">
        <f t="shared" si="12"/>
        <v>57.510826518633841</v>
      </c>
      <c r="Q23" s="519">
        <f t="shared" si="12"/>
        <v>56.757358456449246</v>
      </c>
      <c r="R23" s="519">
        <f t="shared" si="12"/>
        <v>53.869499665288565</v>
      </c>
      <c r="S23" s="519">
        <f t="shared" si="12"/>
        <v>55.798130719460573</v>
      </c>
      <c r="T23" s="519">
        <f t="shared" si="12"/>
        <v>56.129777591010011</v>
      </c>
      <c r="U23" s="519">
        <f t="shared" si="12"/>
        <v>56.605759735404334</v>
      </c>
      <c r="V23" s="519">
        <f t="shared" si="12"/>
        <v>54.475819080787232</v>
      </c>
      <c r="W23" s="519">
        <f t="shared" si="12"/>
        <v>54.723695587316648</v>
      </c>
      <c r="X23" s="519">
        <f t="shared" si="12"/>
        <v>54.65895847844029</v>
      </c>
      <c r="Y23" s="519">
        <f t="shared" si="12"/>
        <v>55.625709672357914</v>
      </c>
      <c r="Z23" s="519">
        <f t="shared" si="12"/>
        <v>51.263856503822339</v>
      </c>
      <c r="AA23" s="519">
        <f t="shared" si="12"/>
        <v>51.31332301473045</v>
      </c>
      <c r="AB23" s="519">
        <f t="shared" si="12"/>
        <v>53.398409695057978</v>
      </c>
      <c r="AC23" s="519">
        <f t="shared" si="12"/>
        <v>52.723566976007696</v>
      </c>
      <c r="AD23" s="519">
        <f t="shared" si="12"/>
        <v>49.904458585954991</v>
      </c>
      <c r="AE23" s="519">
        <f t="shared" si="12"/>
        <v>50.711566408786766</v>
      </c>
      <c r="AF23" s="519">
        <f t="shared" si="12"/>
        <v>54.626935622434701</v>
      </c>
      <c r="AG23" s="519">
        <f t="shared" si="12"/>
        <v>52.468059205798198</v>
      </c>
      <c r="AH23" s="519">
        <f t="shared" ref="AH23:AO23" si="13">(AH10/AH6)*100</f>
        <v>49.663682218761416</v>
      </c>
      <c r="AI23" s="519">
        <f t="shared" si="13"/>
        <v>50.334363824651184</v>
      </c>
      <c r="AJ23" s="519">
        <f t="shared" si="13"/>
        <v>52.256523567500722</v>
      </c>
      <c r="AK23" s="519">
        <f t="shared" si="13"/>
        <v>50.809480288151335</v>
      </c>
      <c r="AL23" s="519">
        <f t="shared" si="13"/>
        <v>47.657647614221901</v>
      </c>
      <c r="AM23" s="519">
        <f t="shared" si="13"/>
        <v>47.15054256974171</v>
      </c>
      <c r="AN23" s="519">
        <f t="shared" si="13"/>
        <v>46.899958591999074</v>
      </c>
      <c r="AO23" s="519">
        <f t="shared" si="13"/>
        <v>48.317847683440554</v>
      </c>
    </row>
    <row r="24" spans="1:41" ht="24" customHeight="1">
      <c r="A24" s="50" t="s">
        <v>15</v>
      </c>
      <c r="B24" s="519">
        <f>(B11/B6)*100</f>
        <v>0.27608863415572221</v>
      </c>
      <c r="C24" s="519">
        <f t="shared" si="9"/>
        <v>0.53364952801553522</v>
      </c>
      <c r="D24" s="520">
        <v>0</v>
      </c>
      <c r="E24" s="519">
        <f t="shared" ref="E24:AG24" si="14">(E11/E$6)*100</f>
        <v>0.30736187493932482</v>
      </c>
      <c r="F24" s="519">
        <f t="shared" si="14"/>
        <v>0.43509548498641692</v>
      </c>
      <c r="G24" s="519">
        <f t="shared" si="14"/>
        <v>0.21806478082182093</v>
      </c>
      <c r="H24" s="519">
        <f t="shared" si="14"/>
        <v>0.36279010929639499</v>
      </c>
      <c r="I24" s="519">
        <f t="shared" si="14"/>
        <v>0.32180743094166447</v>
      </c>
      <c r="J24" s="519">
        <f t="shared" si="14"/>
        <v>0.43529044166656677</v>
      </c>
      <c r="K24" s="519">
        <f t="shared" si="14"/>
        <v>0.65365891981928403</v>
      </c>
      <c r="L24" s="519">
        <f t="shared" si="14"/>
        <v>0.51404282013436009</v>
      </c>
      <c r="M24" s="519">
        <f t="shared" si="14"/>
        <v>0.58178990477017878</v>
      </c>
      <c r="N24" s="519">
        <f t="shared" si="14"/>
        <v>0.25779429620071237</v>
      </c>
      <c r="O24" s="519">
        <f t="shared" si="14"/>
        <v>0.36393226476880602</v>
      </c>
      <c r="P24" s="519">
        <f t="shared" si="14"/>
        <v>0.67797646119800892</v>
      </c>
      <c r="Q24" s="519">
        <f t="shared" si="14"/>
        <v>0.61106805046778867</v>
      </c>
      <c r="R24" s="519">
        <f t="shared" si="14"/>
        <v>1.004493555856891</v>
      </c>
      <c r="S24" s="519">
        <f t="shared" si="14"/>
        <v>1.0449726248552977</v>
      </c>
      <c r="T24" s="519">
        <f t="shared" si="14"/>
        <v>1.176021787916143</v>
      </c>
      <c r="U24" s="519">
        <f t="shared" si="14"/>
        <v>0.26268536942802689</v>
      </c>
      <c r="V24" s="519">
        <f t="shared" si="14"/>
        <v>0.96566635308999627</v>
      </c>
      <c r="W24" s="519">
        <f t="shared" si="14"/>
        <v>0.81643120464359953</v>
      </c>
      <c r="X24" s="519">
        <f t="shared" si="14"/>
        <v>1.1487758207036105</v>
      </c>
      <c r="Y24" s="519">
        <f t="shared" si="14"/>
        <v>0.81449252622545554</v>
      </c>
      <c r="Z24" s="519">
        <f t="shared" si="14"/>
        <v>0.79487428988108333</v>
      </c>
      <c r="AA24" s="519">
        <f t="shared" si="14"/>
        <v>1.0422281612938631</v>
      </c>
      <c r="AB24" s="519">
        <f t="shared" si="14"/>
        <v>0.62351790455445577</v>
      </c>
      <c r="AC24" s="519">
        <f t="shared" si="14"/>
        <v>1.3252891303040628</v>
      </c>
      <c r="AD24" s="519">
        <f t="shared" si="14"/>
        <v>1.3756760582640215</v>
      </c>
      <c r="AE24" s="519">
        <f t="shared" si="14"/>
        <v>0.95815478489751982</v>
      </c>
      <c r="AF24" s="519">
        <f t="shared" si="14"/>
        <v>0.98268287270826038</v>
      </c>
      <c r="AG24" s="519">
        <f t="shared" si="14"/>
        <v>1.1556581236936414</v>
      </c>
      <c r="AH24" s="519">
        <f t="shared" ref="AH24:AO30" si="15">(AH11/AH$6)*100</f>
        <v>1.0140347649551449</v>
      </c>
      <c r="AI24" s="519">
        <f t="shared" si="15"/>
        <v>0.93929692174709067</v>
      </c>
      <c r="AJ24" s="519">
        <f t="shared" si="15"/>
        <v>0.44319975427822039</v>
      </c>
      <c r="AK24" s="519">
        <f t="shared" si="15"/>
        <v>1.0580405773968227</v>
      </c>
      <c r="AL24" s="519">
        <f t="shared" si="15"/>
        <v>0.55113226812218596</v>
      </c>
      <c r="AM24" s="519">
        <f t="shared" si="15"/>
        <v>1.0456827939845459</v>
      </c>
      <c r="AN24" s="519">
        <f t="shared" si="15"/>
        <v>0.58490815318704648</v>
      </c>
      <c r="AO24" s="519">
        <f t="shared" si="15"/>
        <v>1.0546580090523636</v>
      </c>
    </row>
    <row r="25" spans="1:41" ht="24" customHeight="1">
      <c r="A25" s="50" t="s">
        <v>14</v>
      </c>
      <c r="B25" s="519">
        <f>(B12/B6)*100</f>
        <v>1.2108514527978014</v>
      </c>
      <c r="C25" s="519">
        <f t="shared" si="9"/>
        <v>0.81708871319887966</v>
      </c>
      <c r="D25" s="520">
        <v>0</v>
      </c>
      <c r="E25" s="519">
        <f t="shared" ref="E25:AG25" si="16">(E12/E$6)*100</f>
        <v>0</v>
      </c>
      <c r="F25" s="519">
        <f t="shared" si="16"/>
        <v>1.630743595571009</v>
      </c>
      <c r="G25" s="519">
        <f t="shared" si="16"/>
        <v>1.3095933337577546</v>
      </c>
      <c r="H25" s="519">
        <f t="shared" si="16"/>
        <v>0</v>
      </c>
      <c r="I25" s="519">
        <f t="shared" si="16"/>
        <v>0.53816962315770889</v>
      </c>
      <c r="J25" s="519">
        <f t="shared" si="16"/>
        <v>2.0817596976701047</v>
      </c>
      <c r="K25" s="519">
        <f t="shared" si="16"/>
        <v>0.86473643714540982</v>
      </c>
      <c r="L25" s="519">
        <f t="shared" si="16"/>
        <v>0</v>
      </c>
      <c r="M25" s="519">
        <f t="shared" si="16"/>
        <v>0</v>
      </c>
      <c r="N25" s="519">
        <f t="shared" si="16"/>
        <v>0.26285698316507983</v>
      </c>
      <c r="O25" s="519">
        <f t="shared" si="16"/>
        <v>0.85339062362470075</v>
      </c>
      <c r="P25" s="519">
        <f t="shared" si="16"/>
        <v>0</v>
      </c>
      <c r="Q25" s="519">
        <f t="shared" si="16"/>
        <v>0</v>
      </c>
      <c r="R25" s="519">
        <f t="shared" si="16"/>
        <v>1.2564552203207562</v>
      </c>
      <c r="S25" s="519">
        <f t="shared" si="16"/>
        <v>0.31221760834156259</v>
      </c>
      <c r="T25" s="519">
        <f t="shared" si="16"/>
        <v>7.0005424609511993E-2</v>
      </c>
      <c r="U25" s="519">
        <f t="shared" si="16"/>
        <v>8.6722539427783116E-3</v>
      </c>
      <c r="V25" s="519">
        <f t="shared" si="16"/>
        <v>0.27753774214402482</v>
      </c>
      <c r="W25" s="519">
        <f t="shared" si="16"/>
        <v>0.24231005801300071</v>
      </c>
      <c r="X25" s="519">
        <f t="shared" si="16"/>
        <v>0.10919617713763802</v>
      </c>
      <c r="Y25" s="519">
        <f t="shared" si="16"/>
        <v>7.32927836768153E-3</v>
      </c>
      <c r="Z25" s="519">
        <f t="shared" si="16"/>
        <v>0.44119012066265345</v>
      </c>
      <c r="AA25" s="519">
        <f t="shared" si="16"/>
        <v>0.78544275859195933</v>
      </c>
      <c r="AB25" s="519">
        <f t="shared" si="16"/>
        <v>0</v>
      </c>
      <c r="AC25" s="519">
        <f t="shared" si="16"/>
        <v>5.0504900683490006E-2</v>
      </c>
      <c r="AD25" s="519">
        <f t="shared" si="16"/>
        <v>0.93243607948564433</v>
      </c>
      <c r="AE25" s="519">
        <f t="shared" si="16"/>
        <v>0.79193075389256651</v>
      </c>
      <c r="AF25" s="519">
        <f t="shared" si="16"/>
        <v>0</v>
      </c>
      <c r="AG25" s="519">
        <f t="shared" si="16"/>
        <v>0.30529545485569931</v>
      </c>
      <c r="AH25" s="519">
        <f t="shared" si="15"/>
        <v>1.3000806198610864</v>
      </c>
      <c r="AI25" s="519">
        <f t="shared" si="15"/>
        <v>0.44899309089930028</v>
      </c>
      <c r="AJ25" s="519">
        <f t="shared" si="15"/>
        <v>3.4092288790632343E-2</v>
      </c>
      <c r="AK25" s="519">
        <f t="shared" si="15"/>
        <v>1.2212802041581454</v>
      </c>
      <c r="AL25" s="519">
        <f t="shared" si="15"/>
        <v>2.8569611740316652</v>
      </c>
      <c r="AM25" s="519">
        <f t="shared" si="15"/>
        <v>1.9647820863408993</v>
      </c>
      <c r="AN25" s="519">
        <f t="shared" si="15"/>
        <v>0.93111609868960599</v>
      </c>
      <c r="AO25" s="519">
        <f t="shared" si="15"/>
        <v>0.79842025007870132</v>
      </c>
    </row>
    <row r="26" spans="1:41" ht="24" customHeight="1">
      <c r="A26" s="50" t="s">
        <v>13</v>
      </c>
      <c r="B26" s="519">
        <f>(B13/B6)*100</f>
        <v>24.291072138864017</v>
      </c>
      <c r="C26" s="519">
        <f t="shared" si="9"/>
        <v>23.433540540252697</v>
      </c>
      <c r="D26" s="520">
        <v>0</v>
      </c>
      <c r="E26" s="519">
        <f t="shared" ref="E26:L26" si="17">(E13/E$6)*100</f>
        <v>22.774894894639537</v>
      </c>
      <c r="F26" s="519">
        <f t="shared" si="17"/>
        <v>25.087502593065388</v>
      </c>
      <c r="G26" s="519">
        <f t="shared" si="17"/>
        <v>23.738785023590747</v>
      </c>
      <c r="H26" s="519">
        <f t="shared" si="17"/>
        <v>22.705388777640795</v>
      </c>
      <c r="I26" s="519">
        <f t="shared" si="17"/>
        <v>21.376259818197866</v>
      </c>
      <c r="J26" s="519">
        <f t="shared" si="17"/>
        <v>24.197628490558188</v>
      </c>
      <c r="K26" s="519">
        <f t="shared" si="17"/>
        <v>22.363032713190968</v>
      </c>
      <c r="L26" s="519">
        <f t="shared" si="17"/>
        <v>21.535790591112484</v>
      </c>
      <c r="M26" s="519">
        <f t="shared" ref="M26:AC26" si="18">ROUNDUP((M13/M$6)*100,1)</f>
        <v>20.5</v>
      </c>
      <c r="N26" s="519">
        <f t="shared" si="18"/>
        <v>8</v>
      </c>
      <c r="O26" s="519">
        <f t="shared" si="18"/>
        <v>23.200000000000003</v>
      </c>
      <c r="P26" s="519">
        <f t="shared" si="18"/>
        <v>20.200000000000003</v>
      </c>
      <c r="Q26" s="519">
        <f t="shared" si="18"/>
        <v>21.3</v>
      </c>
      <c r="R26" s="519">
        <f t="shared" si="18"/>
        <v>24.200000000000003</v>
      </c>
      <c r="S26" s="519">
        <f t="shared" si="18"/>
        <v>23.3</v>
      </c>
      <c r="T26" s="519">
        <f t="shared" si="18"/>
        <v>23.3</v>
      </c>
      <c r="U26" s="519">
        <f t="shared" si="18"/>
        <v>23.900000000000002</v>
      </c>
      <c r="V26" s="519">
        <f t="shared" si="18"/>
        <v>25.1</v>
      </c>
      <c r="W26" s="519">
        <f t="shared" si="18"/>
        <v>25.200000000000003</v>
      </c>
      <c r="X26" s="519">
        <f t="shared" si="18"/>
        <v>25.200000000000003</v>
      </c>
      <c r="Y26" s="519">
        <f t="shared" si="18"/>
        <v>24.8</v>
      </c>
      <c r="Z26" s="519">
        <f t="shared" si="18"/>
        <v>28.8</v>
      </c>
      <c r="AA26" s="519">
        <f t="shared" si="18"/>
        <v>28.3</v>
      </c>
      <c r="AB26" s="519">
        <f t="shared" si="18"/>
        <v>27.5</v>
      </c>
      <c r="AC26" s="519">
        <f t="shared" si="18"/>
        <v>27.6</v>
      </c>
      <c r="AD26" s="519">
        <f t="shared" ref="AD26:AG30" si="19">(AD13/AD$6)*100</f>
        <v>29.503108454442682</v>
      </c>
      <c r="AE26" s="519">
        <f t="shared" si="19"/>
        <v>29.358918356483958</v>
      </c>
      <c r="AF26" s="519">
        <f t="shared" si="19"/>
        <v>26.311143318819802</v>
      </c>
      <c r="AG26" s="519">
        <f t="shared" si="19"/>
        <v>28.096938132301659</v>
      </c>
      <c r="AH26" s="519">
        <f t="shared" si="15"/>
        <v>30.133229642882537</v>
      </c>
      <c r="AI26" s="519">
        <f t="shared" si="15"/>
        <v>30.493635212503168</v>
      </c>
      <c r="AJ26" s="519">
        <f t="shared" si="15"/>
        <v>29.582538315631879</v>
      </c>
      <c r="AK26" s="519">
        <f t="shared" si="15"/>
        <v>29.317482972071463</v>
      </c>
      <c r="AL26" s="519">
        <f t="shared" si="15"/>
        <v>31.432489114393146</v>
      </c>
      <c r="AM26" s="519">
        <f t="shared" si="15"/>
        <v>32.430499859888492</v>
      </c>
      <c r="AN26" s="519">
        <f t="shared" si="15"/>
        <v>34.265161048121897</v>
      </c>
      <c r="AO26" s="519">
        <f t="shared" si="15"/>
        <v>32.591209879966897</v>
      </c>
    </row>
    <row r="27" spans="1:41" ht="24" customHeight="1">
      <c r="A27" s="50" t="s">
        <v>12</v>
      </c>
      <c r="B27" s="519">
        <f>(B14/B6)*100</f>
        <v>7.4260982139016871</v>
      </c>
      <c r="C27" s="519">
        <f t="shared" si="9"/>
        <v>7.1396569903047045</v>
      </c>
      <c r="D27" s="520">
        <v>0</v>
      </c>
      <c r="E27" s="519">
        <f t="shared" ref="E27:AC27" si="20">(E14/E6)*100</f>
        <v>4.9859233575892343</v>
      </c>
      <c r="F27" s="519">
        <f t="shared" si="20"/>
        <v>6.4517672138831124</v>
      </c>
      <c r="G27" s="519">
        <f t="shared" si="20"/>
        <v>6.6646234322942091</v>
      </c>
      <c r="H27" s="519">
        <f t="shared" si="20"/>
        <v>5.8177865739744474</v>
      </c>
      <c r="I27" s="519">
        <f t="shared" si="20"/>
        <v>4.3448945371105818</v>
      </c>
      <c r="J27" s="519">
        <f t="shared" si="20"/>
        <v>6.419681278384866</v>
      </c>
      <c r="K27" s="519">
        <f t="shared" si="20"/>
        <v>5.4441685150685863</v>
      </c>
      <c r="L27" s="519">
        <f t="shared" si="20"/>
        <v>3.9427841361961189</v>
      </c>
      <c r="M27" s="519">
        <f t="shared" si="20"/>
        <v>3.7692149111969275</v>
      </c>
      <c r="N27" s="519">
        <f t="shared" si="20"/>
        <v>2.1096215839963119</v>
      </c>
      <c r="O27" s="519">
        <f t="shared" si="20"/>
        <v>5.7052579769605369</v>
      </c>
      <c r="P27" s="519">
        <f t="shared" si="20"/>
        <v>4.1019787047007501</v>
      </c>
      <c r="Q27" s="519">
        <f t="shared" si="20"/>
        <v>4.7369209102841321</v>
      </c>
      <c r="R27" s="519">
        <f t="shared" si="20"/>
        <v>5.3264823604880034</v>
      </c>
      <c r="S27" s="519">
        <f t="shared" si="20"/>
        <v>4.9684987175949651</v>
      </c>
      <c r="T27" s="519">
        <f t="shared" si="20"/>
        <v>5.5693239530463696</v>
      </c>
      <c r="U27" s="519">
        <f t="shared" si="20"/>
        <v>5.1816517486580986</v>
      </c>
      <c r="V27" s="519">
        <f t="shared" si="20"/>
        <v>5.8462919925205377</v>
      </c>
      <c r="W27" s="519">
        <f t="shared" si="20"/>
        <v>5.4790923640877693</v>
      </c>
      <c r="X27" s="519">
        <f t="shared" si="20"/>
        <v>5.7227316607143646</v>
      </c>
      <c r="Y27" s="519">
        <f t="shared" si="20"/>
        <v>5.3229829774698043</v>
      </c>
      <c r="Z27" s="519">
        <f t="shared" si="20"/>
        <v>6.1551848341384048</v>
      </c>
      <c r="AA27" s="519">
        <f t="shared" si="20"/>
        <v>6.3639919213671199</v>
      </c>
      <c r="AB27" s="519">
        <f t="shared" si="20"/>
        <v>5.9668595644692992</v>
      </c>
      <c r="AC27" s="519">
        <f t="shared" si="20"/>
        <v>5.7947124731915576</v>
      </c>
      <c r="AD27" s="519">
        <f t="shared" si="19"/>
        <v>6.8791823178808205</v>
      </c>
      <c r="AE27" s="519">
        <f t="shared" si="19"/>
        <v>6.8183942293305986</v>
      </c>
      <c r="AF27" s="519">
        <f t="shared" si="19"/>
        <v>4.9997652635849192</v>
      </c>
      <c r="AG27" s="519">
        <f t="shared" si="19"/>
        <v>6.4416377390791828</v>
      </c>
      <c r="AH27" s="519">
        <f t="shared" si="15"/>
        <v>7.5751739031059335</v>
      </c>
      <c r="AI27" s="519">
        <f t="shared" si="15"/>
        <v>8.3061109755965248</v>
      </c>
      <c r="AJ27" s="519">
        <f t="shared" si="15"/>
        <v>8.0910489248466035</v>
      </c>
      <c r="AK27" s="519">
        <f t="shared" si="15"/>
        <v>7.1512874932218136</v>
      </c>
      <c r="AL27" s="519">
        <f t="shared" si="15"/>
        <v>7.6426840551969395</v>
      </c>
      <c r="AM27" s="519">
        <f t="shared" si="15"/>
        <v>7.6682062827933395</v>
      </c>
      <c r="AN27" s="519">
        <f t="shared" si="15"/>
        <v>9.3207879443102666</v>
      </c>
      <c r="AO27" s="519">
        <f t="shared" si="15"/>
        <v>7.6332813226173259</v>
      </c>
    </row>
    <row r="28" spans="1:41" ht="24" customHeight="1">
      <c r="A28" s="50" t="s">
        <v>11</v>
      </c>
      <c r="B28" s="519">
        <f>(B15/B6)*100</f>
        <v>6.8786486124297834</v>
      </c>
      <c r="C28" s="519">
        <f>(C15/C6)*100</f>
        <v>5.0294479965067111</v>
      </c>
      <c r="D28" s="520">
        <v>0</v>
      </c>
      <c r="E28" s="519">
        <f t="shared" ref="E28:AC28" si="21">(E15/E6)*100</f>
        <v>6.1727122178736868</v>
      </c>
      <c r="F28" s="519">
        <f t="shared" si="21"/>
        <v>7.0820332606213023</v>
      </c>
      <c r="G28" s="519">
        <f t="shared" si="21"/>
        <v>6.8412629360043571</v>
      </c>
      <c r="H28" s="519">
        <f t="shared" si="21"/>
        <v>6.5028369147681762</v>
      </c>
      <c r="I28" s="519">
        <f t="shared" si="21"/>
        <v>7.1000264760391838</v>
      </c>
      <c r="J28" s="519">
        <f t="shared" si="21"/>
        <v>5.7157330886330762</v>
      </c>
      <c r="K28" s="519">
        <f t="shared" si="21"/>
        <v>3.4837357071793154</v>
      </c>
      <c r="L28" s="519">
        <f t="shared" si="21"/>
        <v>6.4080872810494762</v>
      </c>
      <c r="M28" s="519">
        <f t="shared" si="21"/>
        <v>5.770445072837675</v>
      </c>
      <c r="N28" s="519">
        <f t="shared" si="21"/>
        <v>2.1491302411052398</v>
      </c>
      <c r="O28" s="519">
        <f t="shared" si="21"/>
        <v>5.1383068347772669</v>
      </c>
      <c r="P28" s="519">
        <f t="shared" si="21"/>
        <v>5.7788531889917358</v>
      </c>
      <c r="Q28" s="519">
        <f t="shared" si="21"/>
        <v>6.1986600099557636</v>
      </c>
      <c r="R28" s="519">
        <f t="shared" si="21"/>
        <v>6.2703007373231783</v>
      </c>
      <c r="S28" s="519">
        <f t="shared" si="21"/>
        <v>5.5897278218601043</v>
      </c>
      <c r="T28" s="519">
        <f t="shared" si="21"/>
        <v>5.9444556735903005</v>
      </c>
      <c r="U28" s="519">
        <f t="shared" si="21"/>
        <v>6.4377298197250212</v>
      </c>
      <c r="V28" s="519">
        <f t="shared" si="21"/>
        <v>7.3983541822505483</v>
      </c>
      <c r="W28" s="519">
        <f t="shared" si="21"/>
        <v>6.6287475894570385</v>
      </c>
      <c r="X28" s="519">
        <f t="shared" si="21"/>
        <v>6.5143717397192269</v>
      </c>
      <c r="Y28" s="519">
        <f t="shared" si="21"/>
        <v>6.7498126753166909</v>
      </c>
      <c r="Z28" s="519">
        <f t="shared" si="21"/>
        <v>7.9210569204334451</v>
      </c>
      <c r="AA28" s="519">
        <f t="shared" si="21"/>
        <v>6.4506601742786387</v>
      </c>
      <c r="AB28" s="519">
        <f t="shared" si="21"/>
        <v>7.127324971490073</v>
      </c>
      <c r="AC28" s="519">
        <f t="shared" si="21"/>
        <v>6.9867663506444053</v>
      </c>
      <c r="AD28" s="519">
        <f t="shared" si="19"/>
        <v>6.6679686231168915</v>
      </c>
      <c r="AE28" s="519">
        <f t="shared" si="19"/>
        <v>6.1601566934253666</v>
      </c>
      <c r="AF28" s="519">
        <f t="shared" si="19"/>
        <v>6.800093252551906</v>
      </c>
      <c r="AG28" s="519">
        <f t="shared" si="19"/>
        <v>6.4169860545340223</v>
      </c>
      <c r="AH28" s="519">
        <f t="shared" si="15"/>
        <v>7.4129299474866244</v>
      </c>
      <c r="AI28" s="519">
        <f t="shared" si="15"/>
        <v>6.3561877902652126</v>
      </c>
      <c r="AJ28" s="519">
        <f t="shared" si="15"/>
        <v>6.7781741810413108</v>
      </c>
      <c r="AK28" s="519">
        <f t="shared" si="15"/>
        <v>6.5529969636946701</v>
      </c>
      <c r="AL28" s="519">
        <f t="shared" si="15"/>
        <v>7.0175389171261111</v>
      </c>
      <c r="AM28" s="519">
        <f t="shared" si="15"/>
        <v>6.6035601207213652</v>
      </c>
      <c r="AN28" s="519">
        <f t="shared" si="15"/>
        <v>7.2065228074302397</v>
      </c>
      <c r="AO28" s="519">
        <f t="shared" si="15"/>
        <v>6.0772324870943955</v>
      </c>
    </row>
    <row r="29" spans="1:41" ht="25.5" customHeight="1">
      <c r="A29" s="93" t="s">
        <v>10</v>
      </c>
      <c r="B29" s="519">
        <f>(B16/B6)*100</f>
        <v>9.9863253125325464</v>
      </c>
      <c r="C29" s="519">
        <f>(C16/C6)*100</f>
        <v>11.264435553441279</v>
      </c>
      <c r="D29" s="520">
        <v>0</v>
      </c>
      <c r="E29" s="519">
        <f t="shared" ref="E29:AC29" si="22">(E16/E6)*100</f>
        <v>11.616259319176619</v>
      </c>
      <c r="F29" s="519">
        <f t="shared" si="22"/>
        <v>11.553702118560969</v>
      </c>
      <c r="G29" s="519">
        <f t="shared" si="22"/>
        <v>10.232898655292178</v>
      </c>
      <c r="H29" s="519">
        <f t="shared" si="22"/>
        <v>10.384765288898171</v>
      </c>
      <c r="I29" s="519">
        <f t="shared" si="22"/>
        <v>9.9313388050480977</v>
      </c>
      <c r="J29" s="519">
        <f t="shared" si="22"/>
        <v>12.062232109291298</v>
      </c>
      <c r="K29" s="519">
        <f t="shared" si="22"/>
        <v>13.435128138642828</v>
      </c>
      <c r="L29" s="519">
        <f t="shared" si="22"/>
        <v>11.18491952748343</v>
      </c>
      <c r="M29" s="519">
        <f t="shared" si="22"/>
        <v>10.901546478746866</v>
      </c>
      <c r="N29" s="519">
        <f t="shared" si="22"/>
        <v>3.7271561169848604</v>
      </c>
      <c r="O29" s="519">
        <f t="shared" si="22"/>
        <v>12.281510408714254</v>
      </c>
      <c r="P29" s="519">
        <f t="shared" si="22"/>
        <v>10.245472996172742</v>
      </c>
      <c r="Q29" s="519">
        <f t="shared" si="22"/>
        <v>10.298855158647202</v>
      </c>
      <c r="R29" s="519">
        <f t="shared" si="22"/>
        <v>12.56634850784965</v>
      </c>
      <c r="S29" s="519">
        <f t="shared" si="22"/>
        <v>12.720062341296638</v>
      </c>
      <c r="T29" s="519">
        <f t="shared" si="22"/>
        <v>11.689155095098439</v>
      </c>
      <c r="U29" s="519">
        <f t="shared" si="22"/>
        <v>12.197665045581287</v>
      </c>
      <c r="V29" s="519">
        <f t="shared" si="22"/>
        <v>11.850515482464962</v>
      </c>
      <c r="W29" s="519">
        <f t="shared" si="22"/>
        <v>13.044017654252754</v>
      </c>
      <c r="X29" s="519">
        <f t="shared" si="22"/>
        <v>12.895533792901483</v>
      </c>
      <c r="Y29" s="519">
        <f t="shared" si="22"/>
        <v>12.639492846438591</v>
      </c>
      <c r="Z29" s="519">
        <f t="shared" si="22"/>
        <v>14.698996072947788</v>
      </c>
      <c r="AA29" s="519">
        <f t="shared" si="22"/>
        <v>15.434457243891556</v>
      </c>
      <c r="AB29" s="519">
        <f t="shared" si="22"/>
        <v>14.37924333092111</v>
      </c>
      <c r="AC29" s="519">
        <f t="shared" si="22"/>
        <v>14.729715980838229</v>
      </c>
      <c r="AD29" s="519">
        <f t="shared" si="19"/>
        <v>15.955957513444973</v>
      </c>
      <c r="AE29" s="519">
        <f t="shared" si="19"/>
        <v>16.380367433727997</v>
      </c>
      <c r="AF29" s="519">
        <f t="shared" si="19"/>
        <v>14.511284802682978</v>
      </c>
      <c r="AG29" s="519">
        <f t="shared" si="19"/>
        <v>15.238314338688449</v>
      </c>
      <c r="AH29" s="519">
        <f t="shared" si="15"/>
        <v>15.14512579228998</v>
      </c>
      <c r="AI29" s="519">
        <f t="shared" si="15"/>
        <v>15.831336446641433</v>
      </c>
      <c r="AJ29" s="519">
        <f t="shared" si="15"/>
        <v>14.713315209743962</v>
      </c>
      <c r="AK29" s="519">
        <f t="shared" si="15"/>
        <v>15.613198515154977</v>
      </c>
      <c r="AL29" s="519">
        <f t="shared" si="15"/>
        <v>16.772266142070098</v>
      </c>
      <c r="AM29" s="519">
        <f t="shared" si="15"/>
        <v>18.158733456373785</v>
      </c>
      <c r="AN29" s="519">
        <f t="shared" si="15"/>
        <v>17.737850296381392</v>
      </c>
      <c r="AO29" s="519">
        <f t="shared" si="15"/>
        <v>18.88069607025518</v>
      </c>
    </row>
    <row r="30" spans="1:41" ht="24" customHeight="1">
      <c r="A30" s="518" t="s">
        <v>190</v>
      </c>
      <c r="B30" s="516">
        <f>((B17/B6)*100)</f>
        <v>22.199737170160816</v>
      </c>
      <c r="C30" s="516">
        <f>((C17/C6)*100)</f>
        <v>22.070412484956496</v>
      </c>
      <c r="D30" s="517">
        <v>0</v>
      </c>
      <c r="E30" s="516">
        <f t="shared" ref="E30:K30" si="23">ROUNDDOWN((E17/E6)*100,1)</f>
        <v>21.8</v>
      </c>
      <c r="F30" s="516">
        <f t="shared" si="23"/>
        <v>21.7</v>
      </c>
      <c r="G30" s="516">
        <f t="shared" si="23"/>
        <v>21.6</v>
      </c>
      <c r="H30" s="516">
        <f t="shared" si="23"/>
        <v>21.5</v>
      </c>
      <c r="I30" s="516">
        <f t="shared" si="23"/>
        <v>21.4</v>
      </c>
      <c r="J30" s="516">
        <f t="shared" si="23"/>
        <v>21.3</v>
      </c>
      <c r="K30" s="516">
        <f t="shared" si="23"/>
        <v>21.2</v>
      </c>
      <c r="L30" s="516">
        <f>((L17/L6)*100)</f>
        <v>21.259497256289247</v>
      </c>
      <c r="M30" s="516">
        <f t="shared" ref="M30:AC30" si="24">ROUNDDOWN((M17/M6)*100,1)</f>
        <v>21.4</v>
      </c>
      <c r="N30" s="516">
        <f t="shared" si="24"/>
        <v>72.900000000000006</v>
      </c>
      <c r="O30" s="516">
        <f t="shared" si="24"/>
        <v>21.6</v>
      </c>
      <c r="P30" s="516">
        <f t="shared" si="24"/>
        <v>21.6</v>
      </c>
      <c r="Q30" s="516">
        <f t="shared" si="24"/>
        <v>21.3</v>
      </c>
      <c r="R30" s="516">
        <f t="shared" si="24"/>
        <v>19.7</v>
      </c>
      <c r="S30" s="516">
        <f t="shared" si="24"/>
        <v>19.5</v>
      </c>
      <c r="T30" s="516">
        <f t="shared" si="24"/>
        <v>19.399999999999999</v>
      </c>
      <c r="U30" s="516">
        <f t="shared" si="24"/>
        <v>19.3</v>
      </c>
      <c r="V30" s="516">
        <f t="shared" si="24"/>
        <v>19.100000000000001</v>
      </c>
      <c r="W30" s="516">
        <f t="shared" si="24"/>
        <v>19</v>
      </c>
      <c r="X30" s="516">
        <f t="shared" si="24"/>
        <v>18.899999999999999</v>
      </c>
      <c r="Y30" s="516">
        <f t="shared" si="24"/>
        <v>18.8</v>
      </c>
      <c r="Z30" s="516">
        <f t="shared" si="24"/>
        <v>18.7</v>
      </c>
      <c r="AA30" s="516">
        <f t="shared" si="24"/>
        <v>18.600000000000001</v>
      </c>
      <c r="AB30" s="516">
        <f t="shared" si="24"/>
        <v>18.5</v>
      </c>
      <c r="AC30" s="516">
        <f t="shared" si="24"/>
        <v>18.3</v>
      </c>
      <c r="AD30" s="515">
        <f t="shared" si="19"/>
        <v>18.284320821852656</v>
      </c>
      <c r="AE30" s="515">
        <f t="shared" si="19"/>
        <v>18.179389583962589</v>
      </c>
      <c r="AF30" s="515">
        <f t="shared" si="19"/>
        <v>18.079238186037237</v>
      </c>
      <c r="AG30" s="515">
        <f t="shared" si="19"/>
        <v>17.974049083350799</v>
      </c>
      <c r="AH30" s="515">
        <f t="shared" si="15"/>
        <v>17.888972753539822</v>
      </c>
      <c r="AI30" s="515">
        <f t="shared" si="15"/>
        <v>17.783710950199261</v>
      </c>
      <c r="AJ30" s="515">
        <f t="shared" si="15"/>
        <v>17.683646073798549</v>
      </c>
      <c r="AK30" s="515">
        <f t="shared" si="15"/>
        <v>17.593715958222241</v>
      </c>
      <c r="AL30" s="515">
        <f t="shared" si="15"/>
        <v>17.501769829231097</v>
      </c>
      <c r="AM30" s="515">
        <f t="shared" si="15"/>
        <v>17.408492690044351</v>
      </c>
      <c r="AN30" s="515">
        <f t="shared" si="15"/>
        <v>17.318856108002379</v>
      </c>
      <c r="AO30" s="515">
        <f t="shared" si="15"/>
        <v>17.237864177461475</v>
      </c>
    </row>
    <row r="31" spans="1:41" ht="24" customHeight="1">
      <c r="A31" s="514" t="s">
        <v>189</v>
      </c>
    </row>
    <row r="33" spans="30:33" s="512" customFormat="1" ht="24" customHeight="1">
      <c r="AD33" s="512">
        <v>1</v>
      </c>
      <c r="AE33" s="512">
        <v>2</v>
      </c>
      <c r="AF33" s="512">
        <v>3</v>
      </c>
      <c r="AG33" s="512">
        <v>4</v>
      </c>
    </row>
  </sheetData>
  <mergeCells count="13">
    <mergeCell ref="A5:L5"/>
    <mergeCell ref="AH3:AK3"/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6"/>
  <sheetViews>
    <sheetView topLeftCell="Q1" zoomScale="50" zoomScaleNormal="50" workbookViewId="0">
      <selection activeCell="Q27" sqref="Q27"/>
    </sheetView>
  </sheetViews>
  <sheetFormatPr defaultColWidth="9.140625" defaultRowHeight="14.25" customHeight="1"/>
  <cols>
    <col min="1" max="1" width="62.5703125" style="50" customWidth="1"/>
    <col min="2" max="2" width="10.5703125" style="50" customWidth="1"/>
    <col min="3" max="3" width="9.7109375" style="50" customWidth="1"/>
    <col min="4" max="4" width="10.140625" style="229" customWidth="1"/>
    <col min="5" max="5" width="1.5703125" style="50" customWidth="1"/>
    <col min="6" max="6" width="38.85546875" style="50" customWidth="1"/>
    <col min="7" max="7" width="11.28515625" style="50" customWidth="1"/>
    <col min="8" max="8" width="10" style="50" customWidth="1"/>
    <col min="9" max="9" width="9.42578125" style="87" customWidth="1"/>
    <col min="10" max="10" width="0.85546875" style="87" customWidth="1"/>
    <col min="11" max="11" width="39.42578125" style="50" customWidth="1"/>
    <col min="12" max="12" width="11.85546875" style="50" customWidth="1"/>
    <col min="13" max="13" width="9.42578125" style="50" customWidth="1"/>
    <col min="14" max="14" width="9.42578125" style="87" customWidth="1"/>
    <col min="15" max="15" width="1.140625" style="50" customWidth="1"/>
    <col min="16" max="16" width="39.140625" style="50" customWidth="1"/>
    <col min="17" max="18" width="12.85546875" style="50" customWidth="1"/>
    <col min="19" max="19" width="12.85546875" style="87" customWidth="1"/>
    <col min="20" max="20" width="1.140625" style="50" customWidth="1"/>
    <col min="21" max="21" width="39.42578125" style="50" customWidth="1"/>
    <col min="22" max="22" width="11" style="50" customWidth="1"/>
    <col min="23" max="23" width="9.28515625" style="50" customWidth="1"/>
    <col min="24" max="24" width="10" style="87" customWidth="1"/>
    <col min="25" max="16384" width="9.140625" style="50"/>
  </cols>
  <sheetData>
    <row r="1" spans="1:24" s="112" customFormat="1" ht="31.15" customHeight="1">
      <c r="A1" s="113" t="s">
        <v>83</v>
      </c>
      <c r="B1" s="50"/>
      <c r="C1" s="50"/>
      <c r="D1" s="229"/>
      <c r="F1" s="113"/>
      <c r="G1" s="50"/>
      <c r="H1" s="50"/>
      <c r="I1" s="87"/>
      <c r="J1" s="87"/>
      <c r="K1" s="113"/>
      <c r="L1" s="50"/>
      <c r="M1" s="50"/>
      <c r="N1" s="87"/>
      <c r="P1" s="113"/>
      <c r="Q1" s="50"/>
      <c r="R1" s="50"/>
      <c r="S1" s="87"/>
      <c r="U1" s="113"/>
      <c r="V1" s="50"/>
      <c r="W1" s="50"/>
      <c r="X1" s="87"/>
    </row>
    <row r="2" spans="1:24" s="132" customFormat="1" ht="25.15" customHeight="1">
      <c r="A2" s="44" t="s">
        <v>107</v>
      </c>
      <c r="B2" s="44"/>
      <c r="C2" s="44"/>
      <c r="D2" s="230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60" customFormat="1" ht="23.25" customHeight="1">
      <c r="A3" s="111" t="s">
        <v>4</v>
      </c>
      <c r="B3" s="110" t="s">
        <v>0</v>
      </c>
      <c r="C3" s="110" t="s">
        <v>1</v>
      </c>
      <c r="D3" s="231" t="s">
        <v>2</v>
      </c>
      <c r="F3" s="91" t="s">
        <v>4</v>
      </c>
      <c r="G3" s="110" t="s">
        <v>0</v>
      </c>
      <c r="H3" s="110" t="s">
        <v>1</v>
      </c>
      <c r="I3" s="109" t="s">
        <v>2</v>
      </c>
      <c r="J3" s="109"/>
      <c r="K3" s="91" t="s">
        <v>4</v>
      </c>
      <c r="L3" s="110" t="s">
        <v>0</v>
      </c>
      <c r="M3" s="110" t="s">
        <v>1</v>
      </c>
      <c r="N3" s="109" t="s">
        <v>2</v>
      </c>
      <c r="P3" s="91" t="s">
        <v>4</v>
      </c>
      <c r="Q3" s="163" t="s">
        <v>0</v>
      </c>
      <c r="R3" s="163" t="s">
        <v>1</v>
      </c>
      <c r="S3" s="164" t="s">
        <v>2</v>
      </c>
      <c r="U3" s="91" t="s">
        <v>4</v>
      </c>
      <c r="V3" s="163" t="s">
        <v>0</v>
      </c>
      <c r="W3" s="163" t="s">
        <v>1</v>
      </c>
      <c r="X3" s="164" t="s">
        <v>2</v>
      </c>
    </row>
    <row r="4" spans="1:24" s="60" customFormat="1" ht="21.75" customHeight="1">
      <c r="A4" s="103"/>
      <c r="B4" s="671" t="s">
        <v>21</v>
      </c>
      <c r="C4" s="671"/>
      <c r="D4" s="671"/>
      <c r="F4" s="207"/>
      <c r="G4" s="669" t="s">
        <v>21</v>
      </c>
      <c r="H4" s="669"/>
      <c r="I4" s="669"/>
      <c r="J4" s="207"/>
      <c r="K4" s="207"/>
      <c r="L4" s="669" t="s">
        <v>21</v>
      </c>
      <c r="M4" s="669"/>
      <c r="N4" s="669"/>
      <c r="P4" s="207"/>
      <c r="Q4" s="669" t="s">
        <v>21</v>
      </c>
      <c r="R4" s="669"/>
      <c r="S4" s="669"/>
      <c r="U4" s="207"/>
      <c r="V4" s="669" t="s">
        <v>21</v>
      </c>
      <c r="W4" s="669"/>
      <c r="X4" s="669"/>
    </row>
    <row r="5" spans="1:24" s="60" customFormat="1" ht="20.25" customHeight="1">
      <c r="A5" s="108" t="s">
        <v>38</v>
      </c>
      <c r="B5" s="227">
        <v>1184151</v>
      </c>
      <c r="C5" s="227">
        <v>650780</v>
      </c>
      <c r="D5" s="220">
        <v>533371</v>
      </c>
      <c r="F5" s="68" t="s">
        <v>38</v>
      </c>
      <c r="G5" s="228">
        <v>1171095</v>
      </c>
      <c r="H5" s="228">
        <v>644778</v>
      </c>
      <c r="I5" s="228">
        <v>526317</v>
      </c>
      <c r="J5" s="47"/>
      <c r="K5" s="68" t="s">
        <v>38</v>
      </c>
      <c r="L5" s="228">
        <v>1164344</v>
      </c>
      <c r="M5" s="228">
        <v>655575</v>
      </c>
      <c r="N5" s="228">
        <v>508769</v>
      </c>
      <c r="O5" s="50"/>
      <c r="P5" s="68" t="s">
        <v>38</v>
      </c>
      <c r="Q5" s="223">
        <v>1198717</v>
      </c>
      <c r="R5" s="223">
        <v>654869</v>
      </c>
      <c r="S5" s="223">
        <v>543848</v>
      </c>
      <c r="T5" s="50"/>
      <c r="U5" s="68" t="s">
        <v>38</v>
      </c>
      <c r="V5" s="244">
        <f>(B5+G5+L5+Q5)/4</f>
        <v>1179576.75</v>
      </c>
      <c r="W5" s="244">
        <f>(C5+H5+M5+R5)/4</f>
        <v>651500.5</v>
      </c>
      <c r="X5" s="244">
        <f>(D5+I5+N5+S5)/4</f>
        <v>528076.25</v>
      </c>
    </row>
    <row r="6" spans="1:24" s="60" customFormat="1" ht="3" customHeight="1">
      <c r="A6" s="108"/>
      <c r="B6" s="214"/>
      <c r="C6" s="214"/>
      <c r="D6" s="214"/>
      <c r="F6" s="68"/>
      <c r="G6" s="235"/>
      <c r="H6" s="235"/>
      <c r="I6" s="235"/>
      <c r="J6" s="107"/>
      <c r="K6" s="68"/>
      <c r="L6" s="235"/>
      <c r="M6" s="235"/>
      <c r="N6" s="235"/>
      <c r="O6" s="93"/>
      <c r="P6" s="68"/>
      <c r="Q6" s="235"/>
      <c r="R6" s="235"/>
      <c r="S6" s="235"/>
      <c r="U6" s="68"/>
      <c r="V6" s="245"/>
      <c r="W6" s="245"/>
      <c r="X6" s="245"/>
    </row>
    <row r="7" spans="1:24" ht="16.5" customHeight="1">
      <c r="A7" s="101" t="s">
        <v>82</v>
      </c>
      <c r="B7" s="221">
        <v>363667</v>
      </c>
      <c r="C7" s="221">
        <v>227154</v>
      </c>
      <c r="D7" s="221">
        <v>136513</v>
      </c>
      <c r="F7" s="215" t="s">
        <v>81</v>
      </c>
      <c r="G7" s="236">
        <v>334071</v>
      </c>
      <c r="H7" s="236">
        <v>202681</v>
      </c>
      <c r="I7" s="236">
        <v>131390</v>
      </c>
      <c r="J7" s="106"/>
      <c r="K7" s="215" t="s">
        <v>81</v>
      </c>
      <c r="L7" s="236">
        <v>386337</v>
      </c>
      <c r="M7" s="236">
        <v>247940</v>
      </c>
      <c r="N7" s="236">
        <v>138397</v>
      </c>
      <c r="P7" s="215" t="s">
        <v>81</v>
      </c>
      <c r="Q7" s="236">
        <v>439634</v>
      </c>
      <c r="R7" s="236">
        <v>271677</v>
      </c>
      <c r="S7" s="236">
        <v>167957</v>
      </c>
      <c r="U7" s="215" t="s">
        <v>81</v>
      </c>
      <c r="V7" s="246">
        <f>(B7+G7+L7+Q7)/4</f>
        <v>380927.25</v>
      </c>
      <c r="W7" s="246">
        <f>(C7+H7+M7+R7)/4</f>
        <v>237363</v>
      </c>
      <c r="X7" s="246">
        <f>(D7+I7+N7+S7)/4</f>
        <v>143564.25</v>
      </c>
    </row>
    <row r="8" spans="1:24" ht="16.5" customHeight="1">
      <c r="A8" s="101" t="s">
        <v>78</v>
      </c>
      <c r="B8" s="222">
        <v>0</v>
      </c>
      <c r="C8" s="222">
        <v>0</v>
      </c>
      <c r="D8" s="222">
        <v>0</v>
      </c>
      <c r="F8" s="215" t="s">
        <v>78</v>
      </c>
      <c r="G8" s="222">
        <v>0</v>
      </c>
      <c r="H8" s="222">
        <v>0</v>
      </c>
      <c r="I8" s="222">
        <v>0</v>
      </c>
      <c r="J8" s="106"/>
      <c r="K8" s="215" t="s">
        <v>78</v>
      </c>
      <c r="L8" s="222">
        <v>0</v>
      </c>
      <c r="M8" s="222">
        <v>0</v>
      </c>
      <c r="N8" s="222">
        <v>0</v>
      </c>
      <c r="P8" s="215" t="s">
        <v>78</v>
      </c>
      <c r="Q8" s="222">
        <v>0</v>
      </c>
      <c r="R8" s="222">
        <v>0</v>
      </c>
      <c r="S8" s="222">
        <v>0</v>
      </c>
      <c r="U8" s="215" t="s">
        <v>78</v>
      </c>
      <c r="V8" s="222">
        <v>0</v>
      </c>
      <c r="W8" s="222">
        <v>0</v>
      </c>
      <c r="X8" s="222">
        <v>0</v>
      </c>
    </row>
    <row r="9" spans="1:24" ht="16.5" customHeight="1">
      <c r="A9" s="101" t="s">
        <v>77</v>
      </c>
      <c r="B9" s="221">
        <v>231531</v>
      </c>
      <c r="C9" s="221">
        <v>101821</v>
      </c>
      <c r="D9" s="221">
        <v>129710</v>
      </c>
      <c r="F9" s="215" t="s">
        <v>77</v>
      </c>
      <c r="G9" s="236">
        <v>260967</v>
      </c>
      <c r="H9" s="236">
        <v>136572</v>
      </c>
      <c r="I9" s="236">
        <v>124395</v>
      </c>
      <c r="J9" s="106"/>
      <c r="K9" s="215" t="s">
        <v>77</v>
      </c>
      <c r="L9" s="236">
        <v>263063</v>
      </c>
      <c r="M9" s="236">
        <v>131383</v>
      </c>
      <c r="N9" s="236">
        <v>131680</v>
      </c>
      <c r="P9" s="215" t="s">
        <v>77</v>
      </c>
      <c r="Q9" s="236">
        <v>248453</v>
      </c>
      <c r="R9" s="236">
        <v>115547</v>
      </c>
      <c r="S9" s="236">
        <v>132906</v>
      </c>
      <c r="U9" s="215" t="s">
        <v>77</v>
      </c>
      <c r="V9" s="246">
        <f t="shared" ref="V9:V26" si="0">(B9+G9+L9+Q9)/4</f>
        <v>251003.5</v>
      </c>
      <c r="W9" s="246">
        <f t="shared" ref="W9:W26" si="1">(C9+H9+M9+R9)/4</f>
        <v>121330.75</v>
      </c>
      <c r="X9" s="246">
        <f t="shared" ref="X9:X26" si="2">(D9+I9+N9+S9)/4</f>
        <v>129672.75</v>
      </c>
    </row>
    <row r="10" spans="1:24" ht="16.5" customHeight="1">
      <c r="A10" s="101" t="s">
        <v>76</v>
      </c>
      <c r="B10" s="221">
        <v>5526</v>
      </c>
      <c r="C10" s="221">
        <v>1511</v>
      </c>
      <c r="D10" s="221">
        <v>4015.25</v>
      </c>
      <c r="F10" s="215" t="s">
        <v>76</v>
      </c>
      <c r="G10" s="236">
        <v>7518</v>
      </c>
      <c r="H10" s="236">
        <v>7518</v>
      </c>
      <c r="I10" s="222">
        <v>0</v>
      </c>
      <c r="J10" s="106"/>
      <c r="K10" s="215" t="s">
        <v>76</v>
      </c>
      <c r="L10" s="236">
        <v>2053</v>
      </c>
      <c r="M10" s="236">
        <v>2053</v>
      </c>
      <c r="N10" s="222">
        <v>0</v>
      </c>
      <c r="P10" s="215" t="s">
        <v>76</v>
      </c>
      <c r="Q10" s="236">
        <v>2914</v>
      </c>
      <c r="R10" s="236">
        <v>2036</v>
      </c>
      <c r="S10" s="236">
        <v>878</v>
      </c>
      <c r="U10" s="215" t="s">
        <v>76</v>
      </c>
      <c r="V10" s="246">
        <f t="shared" si="0"/>
        <v>4502.75</v>
      </c>
      <c r="W10" s="246">
        <f t="shared" si="1"/>
        <v>3279.5</v>
      </c>
      <c r="X10" s="246">
        <f t="shared" si="2"/>
        <v>1223.3125</v>
      </c>
    </row>
    <row r="11" spans="1:24" ht="16.5" customHeight="1">
      <c r="A11" s="102" t="s">
        <v>75</v>
      </c>
      <c r="B11" s="221">
        <v>263</v>
      </c>
      <c r="C11" s="221">
        <v>263</v>
      </c>
      <c r="D11" s="222">
        <v>0</v>
      </c>
      <c r="F11" s="215" t="s">
        <v>75</v>
      </c>
      <c r="G11" s="236">
        <v>659</v>
      </c>
      <c r="H11" s="236">
        <v>450</v>
      </c>
      <c r="I11" s="236">
        <v>209</v>
      </c>
      <c r="J11" s="106"/>
      <c r="K11" s="215" t="s">
        <v>75</v>
      </c>
      <c r="L11" s="236">
        <v>3356</v>
      </c>
      <c r="M11" s="236">
        <v>1847</v>
      </c>
      <c r="N11" s="236">
        <v>1509</v>
      </c>
      <c r="P11" s="215" t="s">
        <v>75</v>
      </c>
      <c r="Q11" s="236">
        <v>10444</v>
      </c>
      <c r="R11" s="236">
        <v>7534</v>
      </c>
      <c r="S11" s="236">
        <v>2910</v>
      </c>
      <c r="U11" s="215" t="s">
        <v>75</v>
      </c>
      <c r="V11" s="246">
        <f t="shared" si="0"/>
        <v>3680.5</v>
      </c>
      <c r="W11" s="246">
        <f t="shared" si="1"/>
        <v>2523.5</v>
      </c>
      <c r="X11" s="246">
        <f t="shared" si="2"/>
        <v>1157</v>
      </c>
    </row>
    <row r="12" spans="1:24" ht="16.5" customHeight="1">
      <c r="A12" s="98" t="s">
        <v>74</v>
      </c>
      <c r="B12" s="221">
        <v>84627</v>
      </c>
      <c r="C12" s="221">
        <v>76762</v>
      </c>
      <c r="D12" s="221">
        <v>7865</v>
      </c>
      <c r="F12" s="215" t="s">
        <v>74</v>
      </c>
      <c r="G12" s="236">
        <v>87215</v>
      </c>
      <c r="H12" s="236">
        <v>77562</v>
      </c>
      <c r="I12" s="236">
        <v>9653</v>
      </c>
      <c r="J12" s="106"/>
      <c r="K12" s="215" t="s">
        <v>74</v>
      </c>
      <c r="L12" s="236">
        <v>53312</v>
      </c>
      <c r="M12" s="236">
        <v>52009</v>
      </c>
      <c r="N12" s="236">
        <v>1303</v>
      </c>
      <c r="P12" s="215" t="s">
        <v>74</v>
      </c>
      <c r="Q12" s="236">
        <v>63205</v>
      </c>
      <c r="R12" s="236">
        <v>55778</v>
      </c>
      <c r="S12" s="236">
        <v>7427</v>
      </c>
      <c r="U12" s="215" t="s">
        <v>74</v>
      </c>
      <c r="V12" s="246">
        <f t="shared" si="0"/>
        <v>72089.75</v>
      </c>
      <c r="W12" s="246">
        <f t="shared" si="1"/>
        <v>65527.75</v>
      </c>
      <c r="X12" s="246">
        <f t="shared" si="2"/>
        <v>6562</v>
      </c>
    </row>
    <row r="13" spans="1:24" ht="16.5" customHeight="1">
      <c r="A13" s="219" t="s">
        <v>114</v>
      </c>
      <c r="B13" s="221">
        <v>193625</v>
      </c>
      <c r="C13" s="221">
        <v>106965</v>
      </c>
      <c r="D13" s="221">
        <v>86660</v>
      </c>
      <c r="F13" s="215" t="s">
        <v>73</v>
      </c>
      <c r="G13" s="236">
        <v>165590</v>
      </c>
      <c r="H13" s="236">
        <v>76246</v>
      </c>
      <c r="I13" s="236">
        <v>89344</v>
      </c>
      <c r="J13" s="106"/>
      <c r="K13" s="215" t="s">
        <v>73</v>
      </c>
      <c r="L13" s="236">
        <v>188017</v>
      </c>
      <c r="M13" s="236">
        <v>102129</v>
      </c>
      <c r="N13" s="236">
        <v>85888</v>
      </c>
      <c r="P13" s="215" t="s">
        <v>73</v>
      </c>
      <c r="Q13" s="236">
        <v>195265</v>
      </c>
      <c r="R13" s="236">
        <v>97533</v>
      </c>
      <c r="S13" s="236">
        <v>97732</v>
      </c>
      <c r="U13" s="215" t="s">
        <v>73</v>
      </c>
      <c r="V13" s="246">
        <f t="shared" si="0"/>
        <v>185624.25</v>
      </c>
      <c r="W13" s="246">
        <f t="shared" si="1"/>
        <v>95718.25</v>
      </c>
      <c r="X13" s="246">
        <f t="shared" si="2"/>
        <v>89906</v>
      </c>
    </row>
    <row r="14" spans="1:24" ht="16.5" customHeight="1">
      <c r="A14" s="98" t="s">
        <v>72</v>
      </c>
      <c r="B14" s="221">
        <v>23908</v>
      </c>
      <c r="C14" s="221">
        <v>22916</v>
      </c>
      <c r="D14" s="221">
        <v>992</v>
      </c>
      <c r="F14" s="215" t="s">
        <v>72</v>
      </c>
      <c r="G14" s="236">
        <v>14889</v>
      </c>
      <c r="H14" s="236">
        <v>13187</v>
      </c>
      <c r="I14" s="236">
        <v>1702</v>
      </c>
      <c r="J14" s="106"/>
      <c r="K14" s="215" t="s">
        <v>72</v>
      </c>
      <c r="L14" s="236">
        <v>14563</v>
      </c>
      <c r="M14" s="236">
        <v>14078</v>
      </c>
      <c r="N14" s="236">
        <v>485</v>
      </c>
      <c r="P14" s="215" t="s">
        <v>72</v>
      </c>
      <c r="Q14" s="236">
        <v>14197</v>
      </c>
      <c r="R14" s="236">
        <v>13922</v>
      </c>
      <c r="S14" s="236">
        <v>275</v>
      </c>
      <c r="T14" s="93"/>
      <c r="U14" s="215" t="s">
        <v>72</v>
      </c>
      <c r="V14" s="246">
        <f t="shared" si="0"/>
        <v>16889.25</v>
      </c>
      <c r="W14" s="246">
        <f t="shared" si="1"/>
        <v>16025.75</v>
      </c>
      <c r="X14" s="246">
        <f t="shared" si="2"/>
        <v>863.5</v>
      </c>
    </row>
    <row r="15" spans="1:24" s="93" customFormat="1" ht="16.5" customHeight="1">
      <c r="A15" s="101" t="s">
        <v>71</v>
      </c>
      <c r="B15" s="221">
        <v>94207</v>
      </c>
      <c r="C15" s="221">
        <v>32162</v>
      </c>
      <c r="D15" s="221">
        <v>62045</v>
      </c>
      <c r="F15" s="216" t="s">
        <v>70</v>
      </c>
      <c r="G15" s="236">
        <v>115453</v>
      </c>
      <c r="H15" s="236">
        <v>38987</v>
      </c>
      <c r="I15" s="236">
        <v>76466</v>
      </c>
      <c r="J15" s="106"/>
      <c r="K15" s="216" t="s">
        <v>70</v>
      </c>
      <c r="L15" s="236">
        <v>79797</v>
      </c>
      <c r="M15" s="236">
        <v>29591</v>
      </c>
      <c r="N15" s="236">
        <v>50206</v>
      </c>
      <c r="O15" s="50"/>
      <c r="P15" s="216" t="s">
        <v>70</v>
      </c>
      <c r="Q15" s="236">
        <v>76193</v>
      </c>
      <c r="R15" s="236">
        <v>22919</v>
      </c>
      <c r="S15" s="236">
        <v>53274</v>
      </c>
      <c r="T15" s="50"/>
      <c r="U15" s="216" t="s">
        <v>70</v>
      </c>
      <c r="V15" s="246">
        <f t="shared" si="0"/>
        <v>91412.5</v>
      </c>
      <c r="W15" s="246">
        <f t="shared" si="1"/>
        <v>30914.75</v>
      </c>
      <c r="X15" s="246">
        <f t="shared" si="2"/>
        <v>60497.75</v>
      </c>
    </row>
    <row r="16" spans="1:24" ht="16.5" customHeight="1">
      <c r="A16" s="98" t="s">
        <v>69</v>
      </c>
      <c r="B16" s="221">
        <v>3793</v>
      </c>
      <c r="C16" s="222">
        <v>0</v>
      </c>
      <c r="D16" s="221">
        <v>3793.13</v>
      </c>
      <c r="F16" s="217" t="s">
        <v>69</v>
      </c>
      <c r="G16" s="236">
        <v>211</v>
      </c>
      <c r="H16" s="236">
        <v>211</v>
      </c>
      <c r="I16" s="222">
        <v>0</v>
      </c>
      <c r="J16" s="106"/>
      <c r="K16" s="217" t="s">
        <v>69</v>
      </c>
      <c r="L16" s="236">
        <v>3876</v>
      </c>
      <c r="M16" s="236">
        <v>1647</v>
      </c>
      <c r="N16" s="236">
        <v>2229</v>
      </c>
      <c r="P16" s="217" t="s">
        <v>69</v>
      </c>
      <c r="Q16" s="236">
        <v>3473</v>
      </c>
      <c r="R16" s="236">
        <v>2731</v>
      </c>
      <c r="S16" s="236">
        <v>742</v>
      </c>
      <c r="U16" s="217" t="s">
        <v>69</v>
      </c>
      <c r="V16" s="246">
        <f t="shared" si="0"/>
        <v>2838.25</v>
      </c>
      <c r="W16" s="246">
        <f t="shared" si="1"/>
        <v>1147.25</v>
      </c>
      <c r="X16" s="246">
        <f t="shared" si="2"/>
        <v>1691.0325</v>
      </c>
    </row>
    <row r="17" spans="1:24" ht="16.5" customHeight="1">
      <c r="A17" s="100" t="s">
        <v>68</v>
      </c>
      <c r="B17" s="221">
        <v>11787</v>
      </c>
      <c r="C17" s="221">
        <v>3405</v>
      </c>
      <c r="D17" s="221">
        <v>8382</v>
      </c>
      <c r="F17" s="217" t="s">
        <v>68</v>
      </c>
      <c r="G17" s="236">
        <v>13337</v>
      </c>
      <c r="H17" s="236">
        <v>6240</v>
      </c>
      <c r="I17" s="236">
        <v>7097</v>
      </c>
      <c r="J17" s="106"/>
      <c r="K17" s="217" t="s">
        <v>68</v>
      </c>
      <c r="L17" s="236">
        <v>11466</v>
      </c>
      <c r="M17" s="236">
        <v>5405</v>
      </c>
      <c r="N17" s="236">
        <v>6061</v>
      </c>
      <c r="P17" s="217" t="s">
        <v>68</v>
      </c>
      <c r="Q17" s="236">
        <v>8360</v>
      </c>
      <c r="R17" s="236">
        <v>3325</v>
      </c>
      <c r="S17" s="236">
        <v>5035</v>
      </c>
      <c r="U17" s="217" t="s">
        <v>68</v>
      </c>
      <c r="V17" s="246">
        <f t="shared" si="0"/>
        <v>11237.5</v>
      </c>
      <c r="W17" s="246">
        <f t="shared" si="1"/>
        <v>4593.75</v>
      </c>
      <c r="X17" s="246">
        <f t="shared" si="2"/>
        <v>6643.75</v>
      </c>
    </row>
    <row r="18" spans="1:24" ht="16.5" customHeight="1">
      <c r="A18" s="98" t="s">
        <v>67</v>
      </c>
      <c r="B18" s="221">
        <v>1477</v>
      </c>
      <c r="C18" s="222">
        <v>0</v>
      </c>
      <c r="D18" s="221">
        <v>1477.29</v>
      </c>
      <c r="F18" s="217" t="s">
        <v>67</v>
      </c>
      <c r="G18" s="236">
        <v>3891</v>
      </c>
      <c r="H18" s="236">
        <v>2154</v>
      </c>
      <c r="I18" s="236">
        <v>1737</v>
      </c>
      <c r="J18" s="106"/>
      <c r="K18" s="217" t="s">
        <v>67</v>
      </c>
      <c r="L18" s="236">
        <v>2495</v>
      </c>
      <c r="M18" s="236">
        <v>1146</v>
      </c>
      <c r="N18" s="236">
        <v>1349</v>
      </c>
      <c r="O18" s="60"/>
      <c r="P18" s="217" t="s">
        <v>67</v>
      </c>
      <c r="Q18" s="236">
        <v>3324</v>
      </c>
      <c r="R18" s="236">
        <v>1674</v>
      </c>
      <c r="S18" s="236">
        <v>1650</v>
      </c>
      <c r="U18" s="217" t="s">
        <v>67</v>
      </c>
      <c r="V18" s="246">
        <f t="shared" si="0"/>
        <v>2796.75</v>
      </c>
      <c r="W18" s="246">
        <f t="shared" si="1"/>
        <v>1243.5</v>
      </c>
      <c r="X18" s="246">
        <f t="shared" si="2"/>
        <v>1553.3225</v>
      </c>
    </row>
    <row r="19" spans="1:24" ht="16.5" customHeight="1">
      <c r="A19" s="98" t="s">
        <v>66</v>
      </c>
      <c r="B19" s="221">
        <v>9091</v>
      </c>
      <c r="C19" s="221">
        <v>970</v>
      </c>
      <c r="D19" s="221">
        <v>8121.24</v>
      </c>
      <c r="F19" s="218" t="s">
        <v>66</v>
      </c>
      <c r="G19" s="236">
        <v>3485</v>
      </c>
      <c r="H19" s="236">
        <v>3160</v>
      </c>
      <c r="I19" s="236">
        <v>325</v>
      </c>
      <c r="J19" s="106"/>
      <c r="K19" s="218" t="s">
        <v>66</v>
      </c>
      <c r="L19" s="236">
        <v>2056</v>
      </c>
      <c r="M19" s="236">
        <v>671</v>
      </c>
      <c r="N19" s="236">
        <v>1385</v>
      </c>
      <c r="O19" s="60"/>
      <c r="P19" s="218" t="s">
        <v>66</v>
      </c>
      <c r="Q19" s="236">
        <v>3514</v>
      </c>
      <c r="R19" s="236">
        <v>947</v>
      </c>
      <c r="S19" s="236">
        <v>2567</v>
      </c>
      <c r="U19" s="218" t="s">
        <v>66</v>
      </c>
      <c r="V19" s="246">
        <f t="shared" si="0"/>
        <v>4536.5</v>
      </c>
      <c r="W19" s="246">
        <f t="shared" si="1"/>
        <v>1437</v>
      </c>
      <c r="X19" s="246">
        <f t="shared" si="2"/>
        <v>3099.56</v>
      </c>
    </row>
    <row r="20" spans="1:24" ht="16.5" customHeight="1">
      <c r="A20" s="101" t="s">
        <v>65</v>
      </c>
      <c r="B20" s="221">
        <v>3971</v>
      </c>
      <c r="C20" s="221">
        <v>1324</v>
      </c>
      <c r="D20" s="221">
        <v>2647</v>
      </c>
      <c r="F20" s="218" t="s">
        <v>65</v>
      </c>
      <c r="G20" s="236">
        <v>6831</v>
      </c>
      <c r="H20" s="236">
        <v>4197</v>
      </c>
      <c r="I20" s="236">
        <v>2634</v>
      </c>
      <c r="J20" s="106"/>
      <c r="K20" s="218" t="s">
        <v>65</v>
      </c>
      <c r="L20" s="236">
        <v>2067</v>
      </c>
      <c r="M20" s="236">
        <v>1799</v>
      </c>
      <c r="N20" s="236">
        <v>268</v>
      </c>
      <c r="P20" s="218" t="s">
        <v>65</v>
      </c>
      <c r="Q20" s="236">
        <v>4014</v>
      </c>
      <c r="R20" s="236">
        <v>2714</v>
      </c>
      <c r="S20" s="236">
        <v>1300</v>
      </c>
      <c r="U20" s="218" t="s">
        <v>65</v>
      </c>
      <c r="V20" s="246">
        <f t="shared" si="0"/>
        <v>4220.75</v>
      </c>
      <c r="W20" s="246">
        <f t="shared" si="1"/>
        <v>2508.5</v>
      </c>
      <c r="X20" s="246">
        <f t="shared" si="2"/>
        <v>1712.25</v>
      </c>
    </row>
    <row r="21" spans="1:24" ht="16.5" customHeight="1">
      <c r="A21" s="100" t="s">
        <v>64</v>
      </c>
      <c r="B21" s="221">
        <v>35526</v>
      </c>
      <c r="C21" s="221">
        <v>21171</v>
      </c>
      <c r="D21" s="221">
        <v>14355</v>
      </c>
      <c r="F21" s="218" t="s">
        <v>64</v>
      </c>
      <c r="G21" s="236">
        <v>50135</v>
      </c>
      <c r="H21" s="236">
        <v>31433</v>
      </c>
      <c r="I21" s="236">
        <v>18702</v>
      </c>
      <c r="J21" s="106"/>
      <c r="K21" s="218" t="s">
        <v>64</v>
      </c>
      <c r="L21" s="236">
        <v>60283</v>
      </c>
      <c r="M21" s="236">
        <v>36567</v>
      </c>
      <c r="N21" s="236">
        <v>23716</v>
      </c>
      <c r="P21" s="218" t="s">
        <v>64</v>
      </c>
      <c r="Q21" s="236">
        <v>44097</v>
      </c>
      <c r="R21" s="236">
        <v>26031</v>
      </c>
      <c r="S21" s="236">
        <v>18066</v>
      </c>
      <c r="U21" s="218" t="s">
        <v>64</v>
      </c>
      <c r="V21" s="246">
        <f t="shared" si="0"/>
        <v>47510.25</v>
      </c>
      <c r="W21" s="246">
        <f t="shared" si="1"/>
        <v>28800.5</v>
      </c>
      <c r="X21" s="246">
        <f t="shared" si="2"/>
        <v>18709.75</v>
      </c>
    </row>
    <row r="22" spans="1:24" ht="16.5" customHeight="1">
      <c r="A22" s="100" t="s">
        <v>63</v>
      </c>
      <c r="B22" s="221">
        <v>43355</v>
      </c>
      <c r="C22" s="221">
        <v>15920</v>
      </c>
      <c r="D22" s="221">
        <v>27435.4</v>
      </c>
      <c r="F22" s="218" t="s">
        <v>63</v>
      </c>
      <c r="G22" s="236">
        <v>39741</v>
      </c>
      <c r="H22" s="236">
        <v>13799</v>
      </c>
      <c r="I22" s="236">
        <v>25942</v>
      </c>
      <c r="J22" s="106"/>
      <c r="K22" s="218" t="s">
        <v>63</v>
      </c>
      <c r="L22" s="236">
        <v>51483</v>
      </c>
      <c r="M22" s="236">
        <v>15148</v>
      </c>
      <c r="N22" s="236">
        <v>36335</v>
      </c>
      <c r="P22" s="218" t="s">
        <v>63</v>
      </c>
      <c r="Q22" s="236">
        <v>38459</v>
      </c>
      <c r="R22" s="236">
        <v>15308</v>
      </c>
      <c r="S22" s="236">
        <v>23151</v>
      </c>
      <c r="U22" s="218" t="s">
        <v>63</v>
      </c>
      <c r="V22" s="246">
        <f t="shared" si="0"/>
        <v>43259.5</v>
      </c>
      <c r="W22" s="246">
        <f t="shared" si="1"/>
        <v>15043.75</v>
      </c>
      <c r="X22" s="246">
        <f t="shared" si="2"/>
        <v>28215.85</v>
      </c>
    </row>
    <row r="23" spans="1:24" ht="16.5" customHeight="1">
      <c r="A23" s="101" t="s">
        <v>62</v>
      </c>
      <c r="B23" s="221">
        <v>20071</v>
      </c>
      <c r="C23" s="221">
        <v>6151</v>
      </c>
      <c r="D23" s="221">
        <v>13920.3</v>
      </c>
      <c r="F23" s="218" t="s">
        <v>62</v>
      </c>
      <c r="G23" s="236">
        <v>17743</v>
      </c>
      <c r="H23" s="236">
        <v>2641</v>
      </c>
      <c r="I23" s="236">
        <v>15102</v>
      </c>
      <c r="J23" s="106"/>
      <c r="K23" s="218" t="s">
        <v>62</v>
      </c>
      <c r="L23" s="236">
        <v>15606</v>
      </c>
      <c r="M23" s="236">
        <v>2178</v>
      </c>
      <c r="N23" s="236">
        <v>13428</v>
      </c>
      <c r="P23" s="218" t="s">
        <v>62</v>
      </c>
      <c r="Q23" s="236">
        <v>13830</v>
      </c>
      <c r="R23" s="236">
        <v>3768</v>
      </c>
      <c r="S23" s="236">
        <v>10062</v>
      </c>
      <c r="U23" s="218" t="s">
        <v>62</v>
      </c>
      <c r="V23" s="246">
        <f t="shared" si="0"/>
        <v>16812.5</v>
      </c>
      <c r="W23" s="246">
        <f t="shared" si="1"/>
        <v>3684.5</v>
      </c>
      <c r="X23" s="246">
        <f t="shared" si="2"/>
        <v>13128.075000000001</v>
      </c>
    </row>
    <row r="24" spans="1:24" ht="21" customHeight="1">
      <c r="A24" s="101" t="s">
        <v>61</v>
      </c>
      <c r="B24" s="221">
        <v>6238</v>
      </c>
      <c r="C24" s="221">
        <v>3772</v>
      </c>
      <c r="D24" s="221">
        <v>2466.17</v>
      </c>
      <c r="F24" s="218" t="s">
        <v>61</v>
      </c>
      <c r="G24" s="236">
        <v>12641</v>
      </c>
      <c r="H24" s="236">
        <v>8793</v>
      </c>
      <c r="I24" s="236">
        <v>3848</v>
      </c>
      <c r="J24" s="106"/>
      <c r="K24" s="218" t="s">
        <v>61</v>
      </c>
      <c r="L24" s="236">
        <v>9886</v>
      </c>
      <c r="M24" s="236">
        <v>4847</v>
      </c>
      <c r="N24" s="236">
        <v>5039</v>
      </c>
      <c r="P24" s="218" t="s">
        <v>61</v>
      </c>
      <c r="Q24" s="236">
        <v>7309</v>
      </c>
      <c r="R24" s="236">
        <v>3840</v>
      </c>
      <c r="S24" s="236">
        <v>3469</v>
      </c>
      <c r="U24" s="218" t="s">
        <v>61</v>
      </c>
      <c r="V24" s="246">
        <f t="shared" si="0"/>
        <v>9018.5</v>
      </c>
      <c r="W24" s="246">
        <f t="shared" si="1"/>
        <v>5313</v>
      </c>
      <c r="X24" s="246">
        <f t="shared" si="2"/>
        <v>3705.5425</v>
      </c>
    </row>
    <row r="25" spans="1:24" ht="16.5" customHeight="1">
      <c r="A25" s="98" t="s">
        <v>60</v>
      </c>
      <c r="B25" s="221">
        <v>46328</v>
      </c>
      <c r="C25" s="221">
        <v>28513</v>
      </c>
      <c r="D25" s="221">
        <v>17815</v>
      </c>
      <c r="F25" s="218" t="s">
        <v>60</v>
      </c>
      <c r="G25" s="236">
        <v>26172</v>
      </c>
      <c r="H25" s="236">
        <v>14764</v>
      </c>
      <c r="I25" s="236">
        <v>11408</v>
      </c>
      <c r="J25" s="106"/>
      <c r="K25" s="218" t="s">
        <v>60</v>
      </c>
      <c r="L25" s="236">
        <v>10717</v>
      </c>
      <c r="M25" s="236">
        <v>3903</v>
      </c>
      <c r="N25" s="236">
        <v>6814</v>
      </c>
      <c r="P25" s="218" t="s">
        <v>60</v>
      </c>
      <c r="Q25" s="236">
        <v>13316</v>
      </c>
      <c r="R25" s="236">
        <v>4414</v>
      </c>
      <c r="S25" s="236">
        <v>8902</v>
      </c>
      <c r="U25" s="218" t="s">
        <v>60</v>
      </c>
      <c r="V25" s="246">
        <f t="shared" si="0"/>
        <v>24133.25</v>
      </c>
      <c r="W25" s="246">
        <f t="shared" si="1"/>
        <v>12898.5</v>
      </c>
      <c r="X25" s="246">
        <f t="shared" si="2"/>
        <v>11234.75</v>
      </c>
    </row>
    <row r="26" spans="1:24" ht="16.5" customHeight="1">
      <c r="A26" s="100" t="s">
        <v>59</v>
      </c>
      <c r="B26" s="223">
        <v>5160</v>
      </c>
      <c r="C26" s="222">
        <v>0</v>
      </c>
      <c r="D26" s="223">
        <v>5160</v>
      </c>
      <c r="F26" s="217" t="s">
        <v>59</v>
      </c>
      <c r="G26" s="236">
        <v>10546</v>
      </c>
      <c r="H26" s="236">
        <v>4183</v>
      </c>
      <c r="I26" s="236">
        <v>6363</v>
      </c>
      <c r="J26" s="106"/>
      <c r="K26" s="217" t="s">
        <v>59</v>
      </c>
      <c r="L26" s="236">
        <v>3911</v>
      </c>
      <c r="M26" s="236">
        <v>1234</v>
      </c>
      <c r="N26" s="236">
        <v>2677</v>
      </c>
      <c r="P26" s="217" t="s">
        <v>59</v>
      </c>
      <c r="Q26" s="236">
        <v>8716</v>
      </c>
      <c r="R26" s="236">
        <v>3171</v>
      </c>
      <c r="S26" s="236">
        <v>5545</v>
      </c>
      <c r="U26" s="217" t="s">
        <v>59</v>
      </c>
      <c r="V26" s="246">
        <f t="shared" si="0"/>
        <v>7083.25</v>
      </c>
      <c r="W26" s="246">
        <f t="shared" si="1"/>
        <v>2147</v>
      </c>
      <c r="X26" s="246">
        <f t="shared" si="2"/>
        <v>4936.25</v>
      </c>
    </row>
    <row r="27" spans="1:24" ht="16.5" customHeight="1">
      <c r="A27" s="98" t="s">
        <v>58</v>
      </c>
      <c r="B27" s="222">
        <v>0</v>
      </c>
      <c r="C27" s="222">
        <v>0</v>
      </c>
      <c r="D27" s="222">
        <v>0</v>
      </c>
      <c r="F27" s="218" t="s">
        <v>58</v>
      </c>
      <c r="G27" s="222">
        <v>0</v>
      </c>
      <c r="H27" s="222">
        <v>0</v>
      </c>
      <c r="I27" s="222">
        <v>0</v>
      </c>
      <c r="J27" s="106"/>
      <c r="K27" s="218" t="s">
        <v>58</v>
      </c>
      <c r="L27" s="222">
        <v>0</v>
      </c>
      <c r="M27" s="222">
        <v>0</v>
      </c>
      <c r="N27" s="222">
        <v>0</v>
      </c>
      <c r="P27" s="218" t="s">
        <v>58</v>
      </c>
      <c r="Q27" s="222">
        <v>0</v>
      </c>
      <c r="R27" s="222">
        <v>0</v>
      </c>
      <c r="S27" s="222">
        <v>0</v>
      </c>
      <c r="T27" s="60"/>
      <c r="U27" s="218" t="s">
        <v>58</v>
      </c>
      <c r="V27" s="222">
        <v>0</v>
      </c>
      <c r="W27" s="222">
        <v>0</v>
      </c>
      <c r="X27" s="222">
        <v>0</v>
      </c>
    </row>
    <row r="28" spans="1:24" s="60" customFormat="1" ht="16.5" customHeight="1">
      <c r="A28" s="98" t="s">
        <v>57</v>
      </c>
      <c r="B28" s="222">
        <v>0</v>
      </c>
      <c r="C28" s="222">
        <v>0</v>
      </c>
      <c r="D28" s="222">
        <v>0</v>
      </c>
      <c r="F28" s="218" t="s">
        <v>57</v>
      </c>
      <c r="G28" s="222">
        <v>0</v>
      </c>
      <c r="H28" s="222">
        <v>0</v>
      </c>
      <c r="I28" s="222">
        <v>0</v>
      </c>
      <c r="J28" s="106"/>
      <c r="K28" s="218" t="s">
        <v>57</v>
      </c>
      <c r="L28" s="222">
        <v>0</v>
      </c>
      <c r="M28" s="222">
        <v>0</v>
      </c>
      <c r="N28" s="222">
        <v>0</v>
      </c>
      <c r="O28" s="93"/>
      <c r="P28" s="218" t="s">
        <v>57</v>
      </c>
      <c r="Q28" s="222">
        <v>0</v>
      </c>
      <c r="R28" s="222">
        <v>0</v>
      </c>
      <c r="S28" s="222">
        <v>0</v>
      </c>
      <c r="U28" s="218" t="s">
        <v>57</v>
      </c>
      <c r="V28" s="222">
        <v>0</v>
      </c>
      <c r="W28" s="222">
        <v>0</v>
      </c>
      <c r="X28" s="222">
        <v>0</v>
      </c>
    </row>
    <row r="29" spans="1:24" s="60" customFormat="1" ht="25.9" customHeight="1">
      <c r="A29" s="105"/>
      <c r="B29" s="224"/>
      <c r="C29" s="224" t="s">
        <v>20</v>
      </c>
      <c r="D29" s="224"/>
      <c r="F29" s="213"/>
      <c r="G29" s="237"/>
      <c r="H29" s="237" t="s">
        <v>20</v>
      </c>
      <c r="I29" s="237"/>
      <c r="J29" s="104"/>
      <c r="K29" s="213"/>
      <c r="L29" s="237"/>
      <c r="M29" s="240" t="s">
        <v>20</v>
      </c>
      <c r="N29" s="240"/>
      <c r="O29" s="93"/>
      <c r="P29" s="213"/>
      <c r="Q29" s="237"/>
      <c r="R29" s="240" t="s">
        <v>20</v>
      </c>
      <c r="S29" s="240"/>
      <c r="T29" s="50"/>
      <c r="U29" s="213"/>
      <c r="V29" s="237"/>
      <c r="W29" s="240" t="s">
        <v>20</v>
      </c>
      <c r="X29" s="240"/>
    </row>
    <row r="30" spans="1:24" s="60" customFormat="1" ht="18" customHeight="1">
      <c r="A30" s="68" t="s">
        <v>38</v>
      </c>
      <c r="B30" s="225">
        <f>B5/$B$5*100</f>
        <v>100</v>
      </c>
      <c r="C30" s="225">
        <f>C5/$C$5*100</f>
        <v>100</v>
      </c>
      <c r="D30" s="225">
        <f>D5/$D$5*100</f>
        <v>100</v>
      </c>
      <c r="E30" s="50"/>
      <c r="F30" s="68" t="s">
        <v>38</v>
      </c>
      <c r="G30" s="238">
        <f>G5*100/$G$5</f>
        <v>100</v>
      </c>
      <c r="H30" s="238">
        <f>H5*100/$H$5</f>
        <v>100</v>
      </c>
      <c r="I30" s="238">
        <f>I5*100/$I$5</f>
        <v>100</v>
      </c>
      <c r="K30" s="68" t="s">
        <v>38</v>
      </c>
      <c r="L30" s="238">
        <f>L5*100/$L$5</f>
        <v>100</v>
      </c>
      <c r="M30" s="238">
        <f>M5*100/$M$5</f>
        <v>100</v>
      </c>
      <c r="N30" s="238">
        <f>N5*100/$N$5</f>
        <v>100</v>
      </c>
      <c r="P30" s="68" t="s">
        <v>38</v>
      </c>
      <c r="Q30" s="243">
        <f>Q5*100/$Q$5</f>
        <v>100</v>
      </c>
      <c r="R30" s="243">
        <f>R5*100/$R$5</f>
        <v>100</v>
      </c>
      <c r="S30" s="243">
        <f>S5*100/$S$5</f>
        <v>100</v>
      </c>
      <c r="U30" s="68" t="s">
        <v>38</v>
      </c>
      <c r="V30" s="243">
        <f>V5*100/$V$5</f>
        <v>100</v>
      </c>
      <c r="W30" s="243">
        <f>W5*100/$W$5</f>
        <v>100</v>
      </c>
      <c r="X30" s="243">
        <f>X5*100/$X$5</f>
        <v>100</v>
      </c>
    </row>
    <row r="31" spans="1:24" s="60" customFormat="1" ht="6" customHeight="1">
      <c r="A31" s="68"/>
      <c r="B31" s="225"/>
      <c r="C31" s="225"/>
      <c r="D31" s="225"/>
      <c r="E31" s="50"/>
      <c r="F31" s="68"/>
      <c r="G31" s="238"/>
      <c r="H31" s="238"/>
      <c r="I31" s="238"/>
      <c r="K31" s="68"/>
      <c r="L31" s="238"/>
      <c r="M31" s="238"/>
      <c r="N31" s="238"/>
      <c r="P31" s="68"/>
      <c r="Q31" s="243"/>
      <c r="R31" s="243"/>
      <c r="S31" s="243"/>
      <c r="U31" s="68"/>
      <c r="V31" s="243"/>
      <c r="W31" s="243"/>
      <c r="X31" s="243"/>
    </row>
    <row r="32" spans="1:24" ht="16.5" customHeight="1">
      <c r="A32" s="101" t="s">
        <v>80</v>
      </c>
      <c r="B32" s="247">
        <f t="shared" ref="B32:B51" si="3">B7/$B$5*100</f>
        <v>30.711201527507892</v>
      </c>
      <c r="C32" s="247">
        <f t="shared" ref="C32:C51" si="4">C7/$C$5*100</f>
        <v>34.904883370724363</v>
      </c>
      <c r="D32" s="247">
        <f t="shared" ref="D32:D51" si="5">D7/$D$5*100</f>
        <v>25.594379896919779</v>
      </c>
      <c r="F32" s="215" t="s">
        <v>79</v>
      </c>
      <c r="G32" s="238">
        <f t="shared" ref="G32:G51" si="6">G7*100/$G$5</f>
        <v>28.526379157967543</v>
      </c>
      <c r="H32" s="238">
        <f t="shared" ref="H32:H51" si="7">H7*100/$H$5</f>
        <v>31.434230076088205</v>
      </c>
      <c r="I32" s="238">
        <f t="shared" ref="I32:I51" si="8">I7*100/$I$5</f>
        <v>24.96404258270206</v>
      </c>
      <c r="J32" s="99"/>
      <c r="K32" s="215" t="s">
        <v>79</v>
      </c>
      <c r="L32" s="238">
        <f t="shared" ref="L32:L52" si="9">L7*100/$L$5</f>
        <v>33.180657949884228</v>
      </c>
      <c r="M32" s="238">
        <f t="shared" ref="M32:M52" si="10">M7*100/$M$5</f>
        <v>37.820234145597375</v>
      </c>
      <c r="N32" s="238">
        <f t="shared" ref="N32:N52" si="11">N7*100/$N$5</f>
        <v>27.202325613392325</v>
      </c>
      <c r="O32" s="93"/>
      <c r="P32" s="215" t="s">
        <v>79</v>
      </c>
      <c r="Q32" s="248">
        <f t="shared" ref="Q32:Q51" si="12">Q7*100/$Q$5</f>
        <v>36.675378759123298</v>
      </c>
      <c r="R32" s="248">
        <f t="shared" ref="R32:R51" si="13">R7*100/$R$5</f>
        <v>41.48570172049677</v>
      </c>
      <c r="S32" s="248">
        <f t="shared" ref="S32:S51" si="14">S7*100/$S$5</f>
        <v>30.88307762463041</v>
      </c>
      <c r="U32" s="215" t="s">
        <v>79</v>
      </c>
      <c r="V32" s="243">
        <f t="shared" ref="V32:V51" si="15">V7*100/$V$5</f>
        <v>32.293553598780242</v>
      </c>
      <c r="W32" s="243">
        <f t="shared" ref="W32:W51" si="16">W7*100/$W$5</f>
        <v>36.43327979026877</v>
      </c>
      <c r="X32" s="243">
        <f t="shared" ref="X32:X51" si="17">X7*100/$X$5</f>
        <v>27.186272815715533</v>
      </c>
    </row>
    <row r="33" spans="1:24" ht="16.5" customHeight="1">
      <c r="A33" s="101" t="s">
        <v>78</v>
      </c>
      <c r="B33" s="247">
        <f t="shared" si="3"/>
        <v>0</v>
      </c>
      <c r="C33" s="247">
        <f t="shared" si="4"/>
        <v>0</v>
      </c>
      <c r="D33" s="247">
        <f t="shared" si="5"/>
        <v>0</v>
      </c>
      <c r="F33" s="215" t="s">
        <v>78</v>
      </c>
      <c r="G33" s="222">
        <f t="shared" si="6"/>
        <v>0</v>
      </c>
      <c r="H33" s="222">
        <f t="shared" si="7"/>
        <v>0</v>
      </c>
      <c r="I33" s="222">
        <f t="shared" si="8"/>
        <v>0</v>
      </c>
      <c r="J33" s="97"/>
      <c r="K33" s="215" t="s">
        <v>78</v>
      </c>
      <c r="L33" s="222">
        <f t="shared" si="9"/>
        <v>0</v>
      </c>
      <c r="M33" s="222">
        <f t="shared" si="10"/>
        <v>0</v>
      </c>
      <c r="N33" s="222">
        <f t="shared" si="11"/>
        <v>0</v>
      </c>
      <c r="O33" s="93"/>
      <c r="P33" s="215" t="s">
        <v>78</v>
      </c>
      <c r="Q33" s="222">
        <f t="shared" si="12"/>
        <v>0</v>
      </c>
      <c r="R33" s="222">
        <f t="shared" si="13"/>
        <v>0</v>
      </c>
      <c r="S33" s="222">
        <f t="shared" si="14"/>
        <v>0</v>
      </c>
      <c r="U33" s="215" t="s">
        <v>78</v>
      </c>
      <c r="V33" s="222">
        <f t="shared" si="15"/>
        <v>0</v>
      </c>
      <c r="W33" s="222">
        <f t="shared" si="16"/>
        <v>0</v>
      </c>
      <c r="X33" s="222">
        <f t="shared" si="17"/>
        <v>0</v>
      </c>
    </row>
    <row r="34" spans="1:24" ht="16.5" customHeight="1">
      <c r="A34" s="101" t="s">
        <v>77</v>
      </c>
      <c r="B34" s="247">
        <f t="shared" si="3"/>
        <v>19.552489505139125</v>
      </c>
      <c r="C34" s="247">
        <f t="shared" si="4"/>
        <v>15.645994037923721</v>
      </c>
      <c r="D34" s="247">
        <f t="shared" si="5"/>
        <v>24.318907477159428</v>
      </c>
      <c r="F34" s="215" t="s">
        <v>77</v>
      </c>
      <c r="G34" s="238">
        <f t="shared" si="6"/>
        <v>22.28401624121015</v>
      </c>
      <c r="H34" s="238">
        <f t="shared" si="7"/>
        <v>21.181243776927872</v>
      </c>
      <c r="I34" s="238">
        <f t="shared" si="8"/>
        <v>23.634995639510031</v>
      </c>
      <c r="J34" s="99"/>
      <c r="K34" s="215" t="s">
        <v>77</v>
      </c>
      <c r="L34" s="238">
        <f t="shared" si="9"/>
        <v>22.593237050218836</v>
      </c>
      <c r="M34" s="238">
        <f t="shared" si="10"/>
        <v>20.040880143385579</v>
      </c>
      <c r="N34" s="238">
        <f t="shared" si="11"/>
        <v>25.882080079564595</v>
      </c>
      <c r="O34" s="93"/>
      <c r="P34" s="215" t="s">
        <v>77</v>
      </c>
      <c r="Q34" s="243">
        <f t="shared" si="12"/>
        <v>20.726576831729258</v>
      </c>
      <c r="R34" s="243">
        <f t="shared" si="13"/>
        <v>17.64429221722207</v>
      </c>
      <c r="S34" s="243">
        <f t="shared" si="14"/>
        <v>24.438078286580073</v>
      </c>
      <c r="U34" s="215" t="s">
        <v>77</v>
      </c>
      <c r="V34" s="243">
        <f t="shared" si="15"/>
        <v>21.27911558107601</v>
      </c>
      <c r="W34" s="243">
        <f t="shared" si="16"/>
        <v>18.623278109533299</v>
      </c>
      <c r="X34" s="243">
        <f t="shared" si="17"/>
        <v>24.555686797124469</v>
      </c>
    </row>
    <row r="35" spans="1:24" ht="16.5" customHeight="1">
      <c r="A35" s="101" t="s">
        <v>76</v>
      </c>
      <c r="B35" s="247">
        <f t="shared" si="3"/>
        <v>0.46666345761646955</v>
      </c>
      <c r="C35" s="247">
        <f t="shared" si="4"/>
        <v>0.23218291895878793</v>
      </c>
      <c r="D35" s="247">
        <f t="shared" si="5"/>
        <v>0.75280620806155563</v>
      </c>
      <c r="F35" s="215" t="s">
        <v>76</v>
      </c>
      <c r="G35" s="238">
        <f t="shared" si="6"/>
        <v>0.64196329076633407</v>
      </c>
      <c r="H35" s="238">
        <f t="shared" si="7"/>
        <v>1.1659827103282059</v>
      </c>
      <c r="I35" s="222">
        <f t="shared" si="8"/>
        <v>0</v>
      </c>
      <c r="J35" s="99"/>
      <c r="K35" s="215" t="s">
        <v>76</v>
      </c>
      <c r="L35" s="238">
        <f t="shared" si="9"/>
        <v>0.17632246140315921</v>
      </c>
      <c r="M35" s="238">
        <f t="shared" si="10"/>
        <v>0.31316020287533847</v>
      </c>
      <c r="N35" s="222">
        <f t="shared" si="11"/>
        <v>0</v>
      </c>
      <c r="O35" s="93"/>
      <c r="P35" s="215" t="s">
        <v>76</v>
      </c>
      <c r="Q35" s="243">
        <f t="shared" si="12"/>
        <v>0.2430932405229925</v>
      </c>
      <c r="R35" s="243">
        <f t="shared" si="13"/>
        <v>0.31090187503149486</v>
      </c>
      <c r="S35" s="243">
        <f t="shared" si="14"/>
        <v>0.16144216766449448</v>
      </c>
      <c r="U35" s="215" t="s">
        <v>76</v>
      </c>
      <c r="V35" s="243">
        <f t="shared" si="15"/>
        <v>0.38172590295629344</v>
      </c>
      <c r="W35" s="243">
        <f t="shared" si="16"/>
        <v>0.50337643639567431</v>
      </c>
      <c r="X35" s="243">
        <f t="shared" si="17"/>
        <v>0.23165451958879044</v>
      </c>
    </row>
    <row r="36" spans="1:24" ht="16.5" customHeight="1">
      <c r="A36" s="102" t="s">
        <v>75</v>
      </c>
      <c r="B36" s="247">
        <f t="shared" si="3"/>
        <v>2.2210005311822566E-2</v>
      </c>
      <c r="C36" s="247">
        <f t="shared" si="4"/>
        <v>4.0413042810166264E-2</v>
      </c>
      <c r="D36" s="247">
        <f t="shared" si="5"/>
        <v>0</v>
      </c>
      <c r="F36" s="215" t="s">
        <v>75</v>
      </c>
      <c r="G36" s="238">
        <f t="shared" si="6"/>
        <v>5.6272121390664294E-2</v>
      </c>
      <c r="H36" s="238">
        <f t="shared" si="7"/>
        <v>6.9791463108232601E-2</v>
      </c>
      <c r="I36" s="238">
        <f t="shared" si="8"/>
        <v>3.9709908667210067E-2</v>
      </c>
      <c r="J36" s="99"/>
      <c r="K36" s="215" t="s">
        <v>75</v>
      </c>
      <c r="L36" s="238">
        <f t="shared" si="9"/>
        <v>0.28823096954164751</v>
      </c>
      <c r="M36" s="238">
        <f t="shared" si="10"/>
        <v>0.28173740609388703</v>
      </c>
      <c r="N36" s="238">
        <f t="shared" si="11"/>
        <v>0.29659825972101289</v>
      </c>
      <c r="O36" s="93"/>
      <c r="P36" s="215" t="s">
        <v>75</v>
      </c>
      <c r="Q36" s="243">
        <f t="shared" si="12"/>
        <v>0.87126486068021058</v>
      </c>
      <c r="R36" s="243">
        <f t="shared" si="13"/>
        <v>1.1504590994534785</v>
      </c>
      <c r="S36" s="243">
        <f t="shared" si="14"/>
        <v>0.53507597711125165</v>
      </c>
      <c r="U36" s="215" t="s">
        <v>75</v>
      </c>
      <c r="V36" s="243">
        <f t="shared" si="15"/>
        <v>0.31201869653670267</v>
      </c>
      <c r="W36" s="243">
        <f t="shared" si="16"/>
        <v>0.38733661754672483</v>
      </c>
      <c r="X36" s="243">
        <f t="shared" si="17"/>
        <v>0.21909714742899344</v>
      </c>
    </row>
    <row r="37" spans="1:24" ht="16.5" customHeight="1">
      <c r="A37" s="98" t="s">
        <v>74</v>
      </c>
      <c r="B37" s="247">
        <f t="shared" si="3"/>
        <v>7.1466392377323498</v>
      </c>
      <c r="C37" s="247">
        <f t="shared" si="4"/>
        <v>11.795384000737577</v>
      </c>
      <c r="D37" s="247">
        <f t="shared" si="5"/>
        <v>1.4745833575503731</v>
      </c>
      <c r="F37" s="215" t="s">
        <v>74</v>
      </c>
      <c r="G37" s="238">
        <f t="shared" si="6"/>
        <v>7.4473035919374606</v>
      </c>
      <c r="H37" s="238">
        <f t="shared" si="7"/>
        <v>12.029256581334971</v>
      </c>
      <c r="I37" s="238">
        <f t="shared" si="8"/>
        <v>1.8340657816487023</v>
      </c>
      <c r="J37" s="99"/>
      <c r="K37" s="215" t="s">
        <v>74</v>
      </c>
      <c r="L37" s="238">
        <f t="shared" si="9"/>
        <v>4.5787155685948484</v>
      </c>
      <c r="M37" s="238">
        <f t="shared" si="10"/>
        <v>7.9333409602257561</v>
      </c>
      <c r="N37" s="238">
        <f t="shared" si="11"/>
        <v>0.25610837138269038</v>
      </c>
      <c r="O37" s="93"/>
      <c r="P37" s="215" t="s">
        <v>74</v>
      </c>
      <c r="Q37" s="243">
        <f t="shared" si="12"/>
        <v>5.2727207506025193</v>
      </c>
      <c r="R37" s="243">
        <f t="shared" si="13"/>
        <v>8.51742867657501</v>
      </c>
      <c r="S37" s="243">
        <f t="shared" si="14"/>
        <v>1.3656389285241464</v>
      </c>
      <c r="U37" s="215" t="s">
        <v>74</v>
      </c>
      <c r="V37" s="243">
        <f t="shared" si="15"/>
        <v>6.1114929571136427</v>
      </c>
      <c r="W37" s="243">
        <f t="shared" si="16"/>
        <v>10.057973861877313</v>
      </c>
      <c r="X37" s="243">
        <f t="shared" si="17"/>
        <v>1.2426235794546716</v>
      </c>
    </row>
    <row r="38" spans="1:24" ht="16.5" customHeight="1">
      <c r="A38" s="219" t="s">
        <v>73</v>
      </c>
      <c r="B38" s="247">
        <f t="shared" si="3"/>
        <v>16.351377484797126</v>
      </c>
      <c r="C38" s="247">
        <f t="shared" si="4"/>
        <v>16.436430129997849</v>
      </c>
      <c r="D38" s="247">
        <f t="shared" si="5"/>
        <v>16.247602513072515</v>
      </c>
      <c r="F38" s="215" t="s">
        <v>73</v>
      </c>
      <c r="G38" s="238">
        <f t="shared" si="6"/>
        <v>14.139758089651139</v>
      </c>
      <c r="H38" s="238">
        <f t="shared" si="7"/>
        <v>11.82515532477845</v>
      </c>
      <c r="I38" s="238">
        <f t="shared" si="8"/>
        <v>16.975320956761799</v>
      </c>
      <c r="J38" s="99"/>
      <c r="K38" s="215" t="s">
        <v>73</v>
      </c>
      <c r="L38" s="238">
        <f t="shared" si="9"/>
        <v>16.147891001284844</v>
      </c>
      <c r="M38" s="238">
        <f t="shared" si="10"/>
        <v>15.578537924722571</v>
      </c>
      <c r="N38" s="238">
        <f t="shared" si="11"/>
        <v>16.881531697096325</v>
      </c>
      <c r="O38" s="93"/>
      <c r="P38" s="215" t="s">
        <v>73</v>
      </c>
      <c r="Q38" s="243">
        <f t="shared" si="12"/>
        <v>16.289499523240263</v>
      </c>
      <c r="R38" s="243">
        <f t="shared" si="13"/>
        <v>14.89351305375579</v>
      </c>
      <c r="S38" s="243">
        <f t="shared" si="14"/>
        <v>17.970462335064209</v>
      </c>
      <c r="T38" s="93"/>
      <c r="U38" s="215" t="s">
        <v>73</v>
      </c>
      <c r="V38" s="243">
        <f t="shared" si="15"/>
        <v>15.736513117946755</v>
      </c>
      <c r="W38" s="243">
        <f t="shared" si="16"/>
        <v>14.691968770553515</v>
      </c>
      <c r="X38" s="243">
        <f t="shared" si="17"/>
        <v>17.025192858038967</v>
      </c>
    </row>
    <row r="39" spans="1:24" s="93" customFormat="1" ht="16.5" customHeight="1">
      <c r="A39" s="98" t="s">
        <v>72</v>
      </c>
      <c r="B39" s="247">
        <f t="shared" si="3"/>
        <v>2.0189992661408889</v>
      </c>
      <c r="C39" s="247">
        <f t="shared" si="4"/>
        <v>3.5213128860751715</v>
      </c>
      <c r="D39" s="247">
        <f t="shared" si="5"/>
        <v>0.18598686467768213</v>
      </c>
      <c r="F39" s="215" t="s">
        <v>72</v>
      </c>
      <c r="G39" s="238">
        <f t="shared" si="6"/>
        <v>1.2713742266852817</v>
      </c>
      <c r="H39" s="238">
        <f t="shared" si="7"/>
        <v>2.0452000533516963</v>
      </c>
      <c r="I39" s="238">
        <f t="shared" si="8"/>
        <v>0.32337925622771069</v>
      </c>
      <c r="J39" s="99"/>
      <c r="K39" s="215" t="s">
        <v>72</v>
      </c>
      <c r="L39" s="238">
        <f t="shared" si="9"/>
        <v>1.2507472018578702</v>
      </c>
      <c r="M39" s="238">
        <f t="shared" si="10"/>
        <v>2.1474278305304502</v>
      </c>
      <c r="N39" s="238">
        <f t="shared" si="11"/>
        <v>9.5328135165468023E-2</v>
      </c>
      <c r="P39" s="215" t="s">
        <v>72</v>
      </c>
      <c r="Q39" s="243">
        <f t="shared" si="12"/>
        <v>1.184349600447812</v>
      </c>
      <c r="R39" s="243">
        <f t="shared" si="13"/>
        <v>2.1259213674796027</v>
      </c>
      <c r="S39" s="243">
        <f t="shared" si="14"/>
        <v>5.0565599211544403E-2</v>
      </c>
      <c r="T39" s="50"/>
      <c r="U39" s="215" t="s">
        <v>72</v>
      </c>
      <c r="V39" s="243">
        <f t="shared" si="15"/>
        <v>1.4318059422585263</v>
      </c>
      <c r="W39" s="243">
        <f t="shared" si="16"/>
        <v>2.4598215964531107</v>
      </c>
      <c r="X39" s="243">
        <f t="shared" si="17"/>
        <v>0.16351805255396357</v>
      </c>
    </row>
    <row r="40" spans="1:24" ht="16.5" customHeight="1">
      <c r="A40" s="101" t="s">
        <v>71</v>
      </c>
      <c r="B40" s="247">
        <f t="shared" si="3"/>
        <v>7.9556576821706013</v>
      </c>
      <c r="C40" s="247">
        <f t="shared" si="4"/>
        <v>4.9420695165801041</v>
      </c>
      <c r="D40" s="247">
        <f t="shared" si="5"/>
        <v>11.632615946498778</v>
      </c>
      <c r="F40" s="216" t="s">
        <v>70</v>
      </c>
      <c r="G40" s="238">
        <f t="shared" si="6"/>
        <v>9.8585511850020708</v>
      </c>
      <c r="H40" s="238">
        <f t="shared" si="7"/>
        <v>6.0465772715570321</v>
      </c>
      <c r="I40" s="238">
        <f t="shared" si="8"/>
        <v>14.528506584434856</v>
      </c>
      <c r="J40" s="99"/>
      <c r="K40" s="216" t="s">
        <v>70</v>
      </c>
      <c r="L40" s="238">
        <f t="shared" si="9"/>
        <v>6.853386971547927</v>
      </c>
      <c r="M40" s="238">
        <f t="shared" si="10"/>
        <v>4.5137474735918852</v>
      </c>
      <c r="N40" s="238">
        <f t="shared" si="11"/>
        <v>9.8681326889020369</v>
      </c>
      <c r="O40" s="93"/>
      <c r="P40" s="216" t="s">
        <v>70</v>
      </c>
      <c r="Q40" s="243">
        <f t="shared" si="12"/>
        <v>6.3562125172163242</v>
      </c>
      <c r="R40" s="243">
        <f t="shared" si="13"/>
        <v>3.499783926250899</v>
      </c>
      <c r="S40" s="243">
        <f t="shared" si="14"/>
        <v>9.7957517541666057</v>
      </c>
      <c r="U40" s="216" t="s">
        <v>70</v>
      </c>
      <c r="V40" s="243">
        <f t="shared" si="15"/>
        <v>7.7496017109526782</v>
      </c>
      <c r="W40" s="243">
        <f t="shared" si="16"/>
        <v>4.7451613621171438</v>
      </c>
      <c r="X40" s="243">
        <f t="shared" si="17"/>
        <v>11.456252766527561</v>
      </c>
    </row>
    <row r="41" spans="1:24" ht="16.5" customHeight="1">
      <c r="A41" s="98" t="s">
        <v>69</v>
      </c>
      <c r="B41" s="247">
        <f t="shared" si="3"/>
        <v>0.32031387888875656</v>
      </c>
      <c r="C41" s="247">
        <f t="shared" si="4"/>
        <v>0</v>
      </c>
      <c r="D41" s="247">
        <f t="shared" si="5"/>
        <v>0.71116164920852465</v>
      </c>
      <c r="F41" s="217" t="s">
        <v>69</v>
      </c>
      <c r="G41" s="238">
        <f t="shared" si="6"/>
        <v>1.8017325665296156E-2</v>
      </c>
      <c r="H41" s="238">
        <f t="shared" si="7"/>
        <v>3.2724441590749061E-2</v>
      </c>
      <c r="I41" s="222">
        <f t="shared" si="8"/>
        <v>0</v>
      </c>
      <c r="J41" s="99"/>
      <c r="K41" s="217" t="s">
        <v>69</v>
      </c>
      <c r="L41" s="238">
        <f t="shared" si="9"/>
        <v>0.3328913104718193</v>
      </c>
      <c r="M41" s="238">
        <f t="shared" si="10"/>
        <v>0.25122983640315755</v>
      </c>
      <c r="N41" s="238">
        <f t="shared" si="11"/>
        <v>0.43811631604913037</v>
      </c>
      <c r="O41" s="93"/>
      <c r="P41" s="217" t="s">
        <v>69</v>
      </c>
      <c r="Q41" s="243">
        <f t="shared" si="12"/>
        <v>0.28972643251075941</v>
      </c>
      <c r="R41" s="243">
        <f t="shared" si="13"/>
        <v>0.41702997087967214</v>
      </c>
      <c r="S41" s="243">
        <f t="shared" si="14"/>
        <v>0.13643518041805799</v>
      </c>
      <c r="U41" s="217" t="s">
        <v>69</v>
      </c>
      <c r="V41" s="243">
        <f t="shared" si="15"/>
        <v>0.24061596670161564</v>
      </c>
      <c r="W41" s="243">
        <f t="shared" si="16"/>
        <v>0.17609349493975829</v>
      </c>
      <c r="X41" s="243">
        <f t="shared" si="17"/>
        <v>0.32022506219509017</v>
      </c>
    </row>
    <row r="42" spans="1:24" ht="16.5" customHeight="1">
      <c r="A42" s="100" t="s">
        <v>68</v>
      </c>
      <c r="B42" s="247">
        <f t="shared" si="3"/>
        <v>0.99539670194088414</v>
      </c>
      <c r="C42" s="247">
        <f t="shared" si="4"/>
        <v>0.52321829189587876</v>
      </c>
      <c r="D42" s="247">
        <f t="shared" si="5"/>
        <v>1.5715140118229152</v>
      </c>
      <c r="F42" s="217" t="s">
        <v>68</v>
      </c>
      <c r="G42" s="238">
        <f t="shared" si="6"/>
        <v>1.1388486843509706</v>
      </c>
      <c r="H42" s="238">
        <f t="shared" si="7"/>
        <v>0.96777495510082545</v>
      </c>
      <c r="I42" s="238">
        <f t="shared" si="8"/>
        <v>1.3484268986181331</v>
      </c>
      <c r="J42" s="99"/>
      <c r="K42" s="217" t="s">
        <v>68</v>
      </c>
      <c r="L42" s="238">
        <f t="shared" si="9"/>
        <v>0.98476051751028904</v>
      </c>
      <c r="M42" s="238">
        <f t="shared" si="10"/>
        <v>0.82446707089196503</v>
      </c>
      <c r="N42" s="238">
        <f t="shared" si="11"/>
        <v>1.1913068602843333</v>
      </c>
      <c r="O42" s="93"/>
      <c r="P42" s="217" t="s">
        <v>68</v>
      </c>
      <c r="Q42" s="243">
        <f t="shared" si="12"/>
        <v>0.69741231666857151</v>
      </c>
      <c r="R42" s="243">
        <f t="shared" si="13"/>
        <v>0.50773513481322219</v>
      </c>
      <c r="S42" s="243">
        <f t="shared" si="14"/>
        <v>0.925810152836822</v>
      </c>
      <c r="U42" s="217" t="s">
        <v>68</v>
      </c>
      <c r="V42" s="243">
        <f t="shared" si="15"/>
        <v>0.95267221908197153</v>
      </c>
      <c r="W42" s="243">
        <f t="shared" si="16"/>
        <v>0.70510306592243599</v>
      </c>
      <c r="X42" s="243">
        <f t="shared" si="17"/>
        <v>1.2581042983849398</v>
      </c>
    </row>
    <row r="43" spans="1:24" ht="16.5" customHeight="1">
      <c r="A43" s="98" t="s">
        <v>67</v>
      </c>
      <c r="B43" s="247">
        <f t="shared" si="3"/>
        <v>0.12473071424168032</v>
      </c>
      <c r="C43" s="247">
        <f t="shared" si="4"/>
        <v>0</v>
      </c>
      <c r="D43" s="247">
        <f t="shared" si="5"/>
        <v>0.27697231383033577</v>
      </c>
      <c r="F43" s="217" t="s">
        <v>67</v>
      </c>
      <c r="G43" s="238">
        <f t="shared" si="6"/>
        <v>0.33225314769510589</v>
      </c>
      <c r="H43" s="238">
        <f t="shared" si="7"/>
        <v>0.33406847007807339</v>
      </c>
      <c r="I43" s="238">
        <f t="shared" si="8"/>
        <v>0.33002924093274588</v>
      </c>
      <c r="J43" s="99"/>
      <c r="K43" s="217" t="s">
        <v>67</v>
      </c>
      <c r="L43" s="238">
        <f t="shared" si="9"/>
        <v>0.21428375119380527</v>
      </c>
      <c r="M43" s="238">
        <f t="shared" si="10"/>
        <v>0.1748083743278801</v>
      </c>
      <c r="N43" s="238">
        <f t="shared" si="11"/>
        <v>0.26514980275920902</v>
      </c>
      <c r="O43" s="93"/>
      <c r="P43" s="217" t="s">
        <v>67</v>
      </c>
      <c r="Q43" s="243">
        <f t="shared" si="12"/>
        <v>0.2772964761490827</v>
      </c>
      <c r="R43" s="243">
        <f t="shared" si="13"/>
        <v>0.255623643812732</v>
      </c>
      <c r="S43" s="243">
        <f t="shared" si="14"/>
        <v>0.3033935952692664</v>
      </c>
      <c r="U43" s="217" t="s">
        <v>67</v>
      </c>
      <c r="V43" s="243">
        <f t="shared" si="15"/>
        <v>0.23709775561446086</v>
      </c>
      <c r="W43" s="243">
        <f t="shared" si="16"/>
        <v>0.19086708298765695</v>
      </c>
      <c r="X43" s="243">
        <f t="shared" si="17"/>
        <v>0.29414738875304464</v>
      </c>
    </row>
    <row r="44" spans="1:24" ht="16.5" customHeight="1">
      <c r="A44" s="98" t="s">
        <v>66</v>
      </c>
      <c r="B44" s="247">
        <f t="shared" si="3"/>
        <v>0.76772303532235331</v>
      </c>
      <c r="C44" s="247">
        <f t="shared" si="4"/>
        <v>0.14905190694243831</v>
      </c>
      <c r="D44" s="247">
        <f t="shared" si="5"/>
        <v>1.5226249646118744</v>
      </c>
      <c r="F44" s="218" t="s">
        <v>66</v>
      </c>
      <c r="G44" s="238">
        <f t="shared" si="6"/>
        <v>0.29758473906899097</v>
      </c>
      <c r="H44" s="238">
        <f t="shared" si="7"/>
        <v>0.49009116316003337</v>
      </c>
      <c r="I44" s="238">
        <f t="shared" si="8"/>
        <v>6.1749857975326658E-2</v>
      </c>
      <c r="J44" s="99"/>
      <c r="K44" s="218" t="s">
        <v>66</v>
      </c>
      <c r="L44" s="238">
        <f t="shared" si="9"/>
        <v>0.17658011721621789</v>
      </c>
      <c r="M44" s="238">
        <f t="shared" si="10"/>
        <v>0.10235289631239751</v>
      </c>
      <c r="N44" s="238">
        <f t="shared" si="11"/>
        <v>0.27222570557561487</v>
      </c>
      <c r="O44" s="93"/>
      <c r="P44" s="218" t="s">
        <v>66</v>
      </c>
      <c r="Q44" s="243">
        <f t="shared" si="12"/>
        <v>0.29314675607336843</v>
      </c>
      <c r="R44" s="243">
        <f t="shared" si="13"/>
        <v>0.14460907448665306</v>
      </c>
      <c r="S44" s="243">
        <f t="shared" si="14"/>
        <v>0.47200688427648901</v>
      </c>
      <c r="U44" s="218" t="s">
        <v>66</v>
      </c>
      <c r="V44" s="243">
        <f t="shared" si="15"/>
        <v>0.3845870987199434</v>
      </c>
      <c r="W44" s="243">
        <f t="shared" si="16"/>
        <v>0.22056775090732855</v>
      </c>
      <c r="X44" s="243">
        <f t="shared" si="17"/>
        <v>0.58695311519879945</v>
      </c>
    </row>
    <row r="45" spans="1:24" ht="16.5" customHeight="1">
      <c r="A45" s="101" t="s">
        <v>65</v>
      </c>
      <c r="B45" s="247">
        <f t="shared" si="3"/>
        <v>0.33534574560170111</v>
      </c>
      <c r="C45" s="247">
        <f t="shared" si="4"/>
        <v>0.20344816988844155</v>
      </c>
      <c r="D45" s="247">
        <f t="shared" si="5"/>
        <v>0.49627745040506516</v>
      </c>
      <c r="F45" s="218" t="s">
        <v>65</v>
      </c>
      <c r="G45" s="238">
        <f t="shared" si="6"/>
        <v>0.58330024464283425</v>
      </c>
      <c r="H45" s="238">
        <f t="shared" si="7"/>
        <v>0.65092171258944942</v>
      </c>
      <c r="I45" s="238">
        <f t="shared" si="8"/>
        <v>0.50045884894464743</v>
      </c>
      <c r="J45" s="99"/>
      <c r="K45" s="218" t="s">
        <v>65</v>
      </c>
      <c r="L45" s="238">
        <f t="shared" si="9"/>
        <v>0.17752485519743305</v>
      </c>
      <c r="M45" s="238">
        <f t="shared" si="10"/>
        <v>0.27441558936811195</v>
      </c>
      <c r="N45" s="238">
        <f t="shared" si="11"/>
        <v>5.2676165411021506E-2</v>
      </c>
      <c r="O45" s="93"/>
      <c r="P45" s="218" t="s">
        <v>65</v>
      </c>
      <c r="Q45" s="243">
        <f t="shared" si="12"/>
        <v>0.33485801903201506</v>
      </c>
      <c r="R45" s="243">
        <f t="shared" si="13"/>
        <v>0.41443403184453687</v>
      </c>
      <c r="S45" s="243">
        <f t="shared" si="14"/>
        <v>0.23903737809093717</v>
      </c>
      <c r="U45" s="218" t="s">
        <v>65</v>
      </c>
      <c r="V45" s="243">
        <f t="shared" si="15"/>
        <v>0.35781902279779593</v>
      </c>
      <c r="W45" s="243">
        <f t="shared" si="16"/>
        <v>0.38503424018861077</v>
      </c>
      <c r="X45" s="243">
        <f t="shared" si="17"/>
        <v>0.32424294786974417</v>
      </c>
    </row>
    <row r="46" spans="1:24" ht="16.5" customHeight="1">
      <c r="A46" s="100" t="s">
        <v>64</v>
      </c>
      <c r="B46" s="247">
        <f t="shared" si="3"/>
        <v>3.0001241395734159</v>
      </c>
      <c r="C46" s="247">
        <f t="shared" si="4"/>
        <v>3.2531731153385168</v>
      </c>
      <c r="D46" s="247">
        <f t="shared" si="5"/>
        <v>2.6913724218227091</v>
      </c>
      <c r="F46" s="218" t="s">
        <v>64</v>
      </c>
      <c r="G46" s="238">
        <f t="shared" si="6"/>
        <v>4.281036124311008</v>
      </c>
      <c r="H46" s="238">
        <f t="shared" si="7"/>
        <v>4.8750112441801674</v>
      </c>
      <c r="I46" s="238">
        <f t="shared" si="8"/>
        <v>3.5533718272447974</v>
      </c>
      <c r="J46" s="99"/>
      <c r="K46" s="218" t="s">
        <v>64</v>
      </c>
      <c r="L46" s="238">
        <f t="shared" si="9"/>
        <v>5.1774217928722095</v>
      </c>
      <c r="M46" s="238">
        <f t="shared" si="10"/>
        <v>5.5778515044045305</v>
      </c>
      <c r="N46" s="238">
        <f t="shared" si="11"/>
        <v>4.6614475331633809</v>
      </c>
      <c r="O46" s="93"/>
      <c r="P46" s="218" t="s">
        <v>64</v>
      </c>
      <c r="Q46" s="243">
        <f t="shared" si="12"/>
        <v>3.6786831253748802</v>
      </c>
      <c r="R46" s="243">
        <f t="shared" si="13"/>
        <v>3.9749934719768381</v>
      </c>
      <c r="S46" s="243">
        <f t="shared" si="14"/>
        <v>3.3218840558391314</v>
      </c>
      <c r="U46" s="218" t="s">
        <v>64</v>
      </c>
      <c r="V46" s="243">
        <f t="shared" si="15"/>
        <v>4.0277370675541038</v>
      </c>
      <c r="W46" s="243">
        <f t="shared" si="16"/>
        <v>4.4206412734909639</v>
      </c>
      <c r="X46" s="243">
        <f t="shared" si="17"/>
        <v>3.5430016025147881</v>
      </c>
    </row>
    <row r="47" spans="1:24" ht="16.5" customHeight="1">
      <c r="A47" s="100" t="s">
        <v>63</v>
      </c>
      <c r="B47" s="247">
        <f t="shared" si="3"/>
        <v>3.6612729288747801</v>
      </c>
      <c r="C47" s="247">
        <f t="shared" si="4"/>
        <v>2.4462952149728019</v>
      </c>
      <c r="D47" s="247">
        <f t="shared" si="5"/>
        <v>5.1437742209456463</v>
      </c>
      <c r="F47" s="218" t="s">
        <v>63</v>
      </c>
      <c r="G47" s="238">
        <f t="shared" si="6"/>
        <v>3.3934907074148555</v>
      </c>
      <c r="H47" s="238">
        <f t="shared" si="7"/>
        <v>2.1401164431788926</v>
      </c>
      <c r="I47" s="238">
        <f t="shared" si="8"/>
        <v>4.928968663372074</v>
      </c>
      <c r="J47" s="99"/>
      <c r="K47" s="218" t="s">
        <v>63</v>
      </c>
      <c r="L47" s="238">
        <f t="shared" si="9"/>
        <v>4.4216314079000707</v>
      </c>
      <c r="M47" s="238">
        <f t="shared" si="10"/>
        <v>2.3106433283758534</v>
      </c>
      <c r="N47" s="238">
        <f t="shared" si="11"/>
        <v>7.1417480231696508</v>
      </c>
      <c r="O47" s="93"/>
      <c r="P47" s="218" t="s">
        <v>63</v>
      </c>
      <c r="Q47" s="243">
        <f t="shared" si="12"/>
        <v>3.2083469242531808</v>
      </c>
      <c r="R47" s="243">
        <f t="shared" si="13"/>
        <v>2.3375667499912196</v>
      </c>
      <c r="S47" s="243">
        <f t="shared" si="14"/>
        <v>4.2568879539871434</v>
      </c>
      <c r="U47" s="218" t="s">
        <v>63</v>
      </c>
      <c r="V47" s="243">
        <f t="shared" si="15"/>
        <v>3.6673747596330633</v>
      </c>
      <c r="W47" s="243">
        <f t="shared" si="16"/>
        <v>2.3090926254085762</v>
      </c>
      <c r="X47" s="243">
        <f t="shared" si="17"/>
        <v>5.3431393667107736</v>
      </c>
    </row>
    <row r="48" spans="1:24" ht="16.5" customHeight="1">
      <c r="A48" s="101" t="s">
        <v>62</v>
      </c>
      <c r="B48" s="247">
        <f t="shared" si="3"/>
        <v>1.6949696449185956</v>
      </c>
      <c r="C48" s="247">
        <f t="shared" si="4"/>
        <v>0.94517348412674029</v>
      </c>
      <c r="D48" s="247">
        <f t="shared" si="5"/>
        <v>2.6098719277950995</v>
      </c>
      <c r="F48" s="218" t="s">
        <v>62</v>
      </c>
      <c r="G48" s="238">
        <f t="shared" si="6"/>
        <v>1.5150777690964439</v>
      </c>
      <c r="H48" s="238">
        <f t="shared" si="7"/>
        <v>0.40959834237520509</v>
      </c>
      <c r="I48" s="238">
        <f t="shared" si="8"/>
        <v>2.8693734004411788</v>
      </c>
      <c r="J48" s="99"/>
      <c r="K48" s="218" t="s">
        <v>62</v>
      </c>
      <c r="L48" s="238">
        <f t="shared" si="9"/>
        <v>1.3403255395312725</v>
      </c>
      <c r="M48" s="238">
        <f t="shared" si="10"/>
        <v>0.3322274339320444</v>
      </c>
      <c r="N48" s="238">
        <f t="shared" si="11"/>
        <v>2.6393117505193908</v>
      </c>
      <c r="O48" s="93"/>
      <c r="P48" s="218" t="s">
        <v>62</v>
      </c>
      <c r="Q48" s="243">
        <f t="shared" si="12"/>
        <v>1.1537335334361656</v>
      </c>
      <c r="R48" s="243">
        <f t="shared" si="13"/>
        <v>0.5753822520229237</v>
      </c>
      <c r="S48" s="243">
        <f t="shared" si="14"/>
        <v>1.8501493064238537</v>
      </c>
      <c r="U48" s="218" t="s">
        <v>62</v>
      </c>
      <c r="V48" s="243">
        <f t="shared" si="15"/>
        <v>1.4252993711515591</v>
      </c>
      <c r="W48" s="243">
        <f t="shared" si="16"/>
        <v>0.56554062506475433</v>
      </c>
      <c r="X48" s="243">
        <f t="shared" si="17"/>
        <v>2.4860188277734512</v>
      </c>
    </row>
    <row r="49" spans="1:24" ht="16.5" customHeight="1">
      <c r="A49" s="101" t="s">
        <v>61</v>
      </c>
      <c r="B49" s="247">
        <f t="shared" si="3"/>
        <v>0.52679092446824771</v>
      </c>
      <c r="C49" s="247">
        <f t="shared" si="4"/>
        <v>0.57961215771843011</v>
      </c>
      <c r="D49" s="247">
        <f t="shared" si="5"/>
        <v>0.46237421982072519</v>
      </c>
      <c r="F49" s="218" t="s">
        <v>61</v>
      </c>
      <c r="G49" s="238">
        <f t="shared" si="6"/>
        <v>1.0794171267062023</v>
      </c>
      <c r="H49" s="238">
        <f t="shared" si="7"/>
        <v>1.363725189134865</v>
      </c>
      <c r="I49" s="238">
        <f t="shared" si="8"/>
        <v>0.73111831842786756</v>
      </c>
      <c r="J49" s="99"/>
      <c r="K49" s="218" t="s">
        <v>61</v>
      </c>
      <c r="L49" s="238">
        <f t="shared" si="9"/>
        <v>0.84906178929938236</v>
      </c>
      <c r="M49" s="238">
        <f t="shared" si="10"/>
        <v>0.73935095145482976</v>
      </c>
      <c r="N49" s="238">
        <f t="shared" si="11"/>
        <v>0.99042984144081103</v>
      </c>
      <c r="O49" s="93"/>
      <c r="P49" s="218" t="s">
        <v>61</v>
      </c>
      <c r="Q49" s="243">
        <f t="shared" si="12"/>
        <v>0.60973524192949624</v>
      </c>
      <c r="R49" s="243">
        <f t="shared" si="13"/>
        <v>0.58637681734820246</v>
      </c>
      <c r="S49" s="243">
        <f t="shared" si="14"/>
        <v>0.63786204969035465</v>
      </c>
      <c r="T49" s="93"/>
      <c r="U49" s="218" t="s">
        <v>61</v>
      </c>
      <c r="V49" s="243">
        <f t="shared" si="15"/>
        <v>0.76455389613265945</v>
      </c>
      <c r="W49" s="243">
        <f t="shared" si="16"/>
        <v>0.81550206024400596</v>
      </c>
      <c r="X49" s="243">
        <f t="shared" si="17"/>
        <v>0.70170595628945631</v>
      </c>
    </row>
    <row r="50" spans="1:24" s="93" customFormat="1" ht="16.5" customHeight="1">
      <c r="A50" s="98" t="s">
        <v>60</v>
      </c>
      <c r="B50" s="247">
        <f t="shared" si="3"/>
        <v>3.912338882456714</v>
      </c>
      <c r="C50" s="247">
        <f t="shared" si="4"/>
        <v>4.3813577553090139</v>
      </c>
      <c r="D50" s="247">
        <f t="shared" si="5"/>
        <v>3.3400766070896246</v>
      </c>
      <c r="F50" s="218" t="s">
        <v>60</v>
      </c>
      <c r="G50" s="238">
        <f t="shared" si="6"/>
        <v>2.2348315038489619</v>
      </c>
      <c r="H50" s="238">
        <f t="shared" si="7"/>
        <v>2.2897803585109915</v>
      </c>
      <c r="I50" s="238">
        <f t="shared" si="8"/>
        <v>2.167515014715466</v>
      </c>
      <c r="J50" s="99"/>
      <c r="K50" s="218" t="s">
        <v>60</v>
      </c>
      <c r="L50" s="238">
        <f t="shared" si="9"/>
        <v>0.92043244951663772</v>
      </c>
      <c r="M50" s="238">
        <f t="shared" si="10"/>
        <v>0.59535522251458639</v>
      </c>
      <c r="N50" s="238">
        <f t="shared" si="11"/>
        <v>1.3393111608608228</v>
      </c>
      <c r="P50" s="218" t="s">
        <v>60</v>
      </c>
      <c r="Q50" s="243">
        <f t="shared" si="12"/>
        <v>1.1108543551146768</v>
      </c>
      <c r="R50" s="243">
        <f t="shared" si="13"/>
        <v>0.67402793535806393</v>
      </c>
      <c r="S50" s="243">
        <f t="shared" si="14"/>
        <v>1.6368544152042483</v>
      </c>
      <c r="U50" s="218" t="s">
        <v>60</v>
      </c>
      <c r="V50" s="243">
        <f t="shared" si="15"/>
        <v>2.0459245233512782</v>
      </c>
      <c r="W50" s="243">
        <f t="shared" si="16"/>
        <v>1.9798142902422946</v>
      </c>
      <c r="X50" s="243">
        <f t="shared" si="17"/>
        <v>2.1274863241814037</v>
      </c>
    </row>
    <row r="51" spans="1:24" s="93" customFormat="1" ht="16.5" customHeight="1">
      <c r="A51" s="100" t="s">
        <v>59</v>
      </c>
      <c r="B51" s="247">
        <f t="shared" si="3"/>
        <v>0.43575523729659477</v>
      </c>
      <c r="C51" s="222">
        <f t="shared" si="4"/>
        <v>0</v>
      </c>
      <c r="D51" s="247">
        <f t="shared" si="5"/>
        <v>0.96743167513794326</v>
      </c>
      <c r="F51" s="217" t="s">
        <v>59</v>
      </c>
      <c r="G51" s="238">
        <f t="shared" si="6"/>
        <v>0.90052472258868832</v>
      </c>
      <c r="H51" s="238">
        <f t="shared" si="7"/>
        <v>0.64875042262608218</v>
      </c>
      <c r="I51" s="238">
        <f t="shared" si="8"/>
        <v>1.2089672193753955</v>
      </c>
      <c r="J51" s="99"/>
      <c r="K51" s="217" t="s">
        <v>59</v>
      </c>
      <c r="L51" s="238">
        <f t="shared" si="9"/>
        <v>0.33589729495750398</v>
      </c>
      <c r="M51" s="238">
        <f t="shared" si="10"/>
        <v>0.18823170499180109</v>
      </c>
      <c r="N51" s="238">
        <f t="shared" si="11"/>
        <v>0.52617199554218119</v>
      </c>
      <c r="P51" s="217" t="s">
        <v>59</v>
      </c>
      <c r="Q51" s="243">
        <f t="shared" si="12"/>
        <v>0.72711073589512787</v>
      </c>
      <c r="R51" s="243">
        <f t="shared" si="13"/>
        <v>0.4842189812008203</v>
      </c>
      <c r="S51" s="243">
        <f t="shared" si="14"/>
        <v>1.019586355010959</v>
      </c>
      <c r="U51" s="217" t="s">
        <v>59</v>
      </c>
      <c r="V51" s="243">
        <f t="shared" si="15"/>
        <v>0.60049081164070084</v>
      </c>
      <c r="W51" s="243">
        <f t="shared" si="16"/>
        <v>0.32954694585806149</v>
      </c>
      <c r="X51" s="243">
        <f t="shared" si="17"/>
        <v>0.93476084182918662</v>
      </c>
    </row>
    <row r="52" spans="1:24" s="93" customFormat="1" ht="16.5" customHeight="1">
      <c r="A52" s="98" t="s">
        <v>58</v>
      </c>
      <c r="B52" s="226">
        <v>0</v>
      </c>
      <c r="C52" s="226">
        <v>0</v>
      </c>
      <c r="D52" s="226">
        <v>0</v>
      </c>
      <c r="F52" s="218" t="s">
        <v>58</v>
      </c>
      <c r="G52" s="221" t="s">
        <v>8</v>
      </c>
      <c r="H52" s="221" t="s">
        <v>8</v>
      </c>
      <c r="I52" s="221" t="s">
        <v>8</v>
      </c>
      <c r="J52" s="46"/>
      <c r="K52" s="218" t="s">
        <v>58</v>
      </c>
      <c r="L52" s="222">
        <f t="shared" si="9"/>
        <v>0</v>
      </c>
      <c r="M52" s="222">
        <f t="shared" si="10"/>
        <v>0</v>
      </c>
      <c r="N52" s="222">
        <f t="shared" si="11"/>
        <v>0</v>
      </c>
      <c r="P52" s="218" t="s">
        <v>58</v>
      </c>
      <c r="Q52" s="239" t="s">
        <v>8</v>
      </c>
      <c r="R52" s="239" t="s">
        <v>8</v>
      </c>
      <c r="S52" s="239" t="s">
        <v>8</v>
      </c>
      <c r="U52" s="218" t="s">
        <v>58</v>
      </c>
      <c r="V52" s="239" t="s">
        <v>8</v>
      </c>
      <c r="W52" s="239" t="s">
        <v>8</v>
      </c>
      <c r="X52" s="239" t="s">
        <v>8</v>
      </c>
    </row>
    <row r="53" spans="1:24" s="93" customFormat="1" ht="16.5" customHeight="1">
      <c r="A53" s="98" t="s">
        <v>57</v>
      </c>
      <c r="B53" s="226">
        <v>0</v>
      </c>
      <c r="C53" s="226">
        <v>0</v>
      </c>
      <c r="D53" s="226">
        <v>0</v>
      </c>
      <c r="F53" s="218" t="s">
        <v>57</v>
      </c>
      <c r="G53" s="221" t="s">
        <v>8</v>
      </c>
      <c r="H53" s="221" t="s">
        <v>8</v>
      </c>
      <c r="I53" s="221" t="s">
        <v>8</v>
      </c>
      <c r="J53" s="46"/>
      <c r="K53" s="218" t="s">
        <v>57</v>
      </c>
      <c r="L53" s="222" t="s">
        <v>8</v>
      </c>
      <c r="M53" s="222" t="s">
        <v>8</v>
      </c>
      <c r="N53" s="222" t="s">
        <v>8</v>
      </c>
      <c r="P53" s="218" t="s">
        <v>57</v>
      </c>
      <c r="Q53" s="239" t="s">
        <v>8</v>
      </c>
      <c r="R53" s="239" t="s">
        <v>8</v>
      </c>
      <c r="S53" s="239" t="s">
        <v>8</v>
      </c>
      <c r="T53" s="50"/>
      <c r="U53" s="218" t="s">
        <v>57</v>
      </c>
      <c r="V53" s="239" t="s">
        <v>8</v>
      </c>
      <c r="W53" s="239" t="s">
        <v>8</v>
      </c>
      <c r="X53" s="239" t="s">
        <v>8</v>
      </c>
    </row>
    <row r="54" spans="1:24" ht="2.4500000000000002" customHeight="1">
      <c r="A54" s="96"/>
      <c r="B54" s="95"/>
      <c r="C54" s="95"/>
      <c r="D54" s="232"/>
      <c r="F54" s="51"/>
      <c r="G54" s="94"/>
      <c r="H54" s="94"/>
      <c r="I54" s="94"/>
      <c r="J54" s="94"/>
      <c r="K54" s="51"/>
      <c r="L54" s="241"/>
      <c r="M54" s="241"/>
      <c r="N54" s="241"/>
      <c r="O54" s="93"/>
      <c r="P54" s="51"/>
      <c r="Q54" s="94"/>
      <c r="R54" s="94"/>
      <c r="S54" s="94"/>
      <c r="U54" s="51"/>
      <c r="V54" s="94"/>
      <c r="W54" s="94"/>
      <c r="X54" s="94"/>
    </row>
    <row r="55" spans="1:24" ht="5.45" customHeight="1">
      <c r="A55" s="18"/>
      <c r="B55" s="18"/>
      <c r="C55" s="18"/>
      <c r="D55" s="233"/>
      <c r="L55" s="234"/>
      <c r="M55" s="234"/>
      <c r="N55" s="229"/>
    </row>
    <row r="56" spans="1:24" ht="14.45" customHeight="1">
      <c r="A56" s="45" t="s">
        <v>23</v>
      </c>
      <c r="B56" s="18"/>
      <c r="C56" s="18"/>
      <c r="D56" s="233"/>
      <c r="F56" s="45" t="s">
        <v>23</v>
      </c>
      <c r="K56" s="45" t="s">
        <v>23</v>
      </c>
      <c r="L56" s="234"/>
      <c r="M56" s="234"/>
      <c r="N56" s="229"/>
      <c r="P56" s="45" t="s">
        <v>23</v>
      </c>
      <c r="U56" s="45" t="s">
        <v>23</v>
      </c>
    </row>
    <row r="57" spans="1:24" ht="14.25" customHeight="1">
      <c r="L57" s="234"/>
      <c r="M57" s="234"/>
      <c r="N57" s="229"/>
    </row>
    <row r="58" spans="1:24" ht="14.25" customHeight="1">
      <c r="L58" s="234"/>
      <c r="M58" s="234"/>
      <c r="N58" s="229"/>
    </row>
    <row r="59" spans="1:24" ht="14.25" customHeight="1">
      <c r="L59" s="234"/>
      <c r="M59" s="234"/>
      <c r="N59" s="229"/>
    </row>
    <row r="60" spans="1:24" ht="14.25" customHeight="1">
      <c r="L60" s="234"/>
      <c r="M60" s="234"/>
      <c r="N60" s="229"/>
    </row>
    <row r="61" spans="1:24" ht="14.25" customHeight="1">
      <c r="L61" s="234"/>
      <c r="M61" s="234"/>
      <c r="N61" s="229"/>
    </row>
    <row r="62" spans="1:24" ht="14.25" customHeight="1">
      <c r="L62" s="234"/>
      <c r="M62" s="234"/>
      <c r="N62" s="229"/>
    </row>
    <row r="63" spans="1:24" ht="14.25" customHeight="1">
      <c r="L63" s="234"/>
      <c r="M63" s="234"/>
      <c r="N63" s="229"/>
    </row>
    <row r="64" spans="1:24" ht="14.25" customHeight="1">
      <c r="L64" s="234"/>
      <c r="M64" s="234"/>
      <c r="N64" s="229"/>
    </row>
    <row r="65" spans="2:24" ht="14.25" customHeight="1">
      <c r="L65" s="234"/>
      <c r="M65" s="234"/>
      <c r="N65" s="229"/>
    </row>
    <row r="66" spans="2:24" ht="14.25" customHeight="1">
      <c r="L66" s="234"/>
      <c r="M66" s="234"/>
      <c r="N66" s="229"/>
    </row>
    <row r="67" spans="2:24" ht="14.25" customHeight="1">
      <c r="L67" s="234"/>
      <c r="M67" s="234"/>
      <c r="N67" s="229"/>
    </row>
    <row r="68" spans="2:24" ht="14.25" customHeight="1">
      <c r="L68" s="234"/>
      <c r="M68" s="234"/>
      <c r="N68" s="229"/>
    </row>
    <row r="69" spans="2:24" ht="14.25" customHeight="1">
      <c r="L69" s="234"/>
      <c r="M69" s="234"/>
      <c r="N69" s="229"/>
    </row>
    <row r="70" spans="2:24" ht="14.25" customHeight="1">
      <c r="L70" s="234"/>
      <c r="M70" s="234"/>
      <c r="N70" s="229"/>
    </row>
    <row r="71" spans="2:24" ht="14.25" customHeight="1">
      <c r="L71" s="234"/>
      <c r="M71" s="234"/>
      <c r="N71" s="229"/>
    </row>
    <row r="72" spans="2:24" ht="14.25" customHeight="1">
      <c r="L72" s="234"/>
      <c r="M72" s="234"/>
      <c r="N72" s="229"/>
    </row>
    <row r="73" spans="2:24" ht="14.25" customHeight="1">
      <c r="L73" s="234"/>
      <c r="M73" s="234"/>
      <c r="N73" s="229"/>
    </row>
    <row r="74" spans="2:24" ht="14.25" customHeight="1">
      <c r="L74" s="234"/>
      <c r="M74" s="234"/>
      <c r="N74" s="229"/>
    </row>
    <row r="75" spans="2:24" ht="14.25" customHeight="1">
      <c r="L75" s="234"/>
      <c r="M75" s="234"/>
      <c r="N75" s="229"/>
    </row>
    <row r="76" spans="2:24" ht="14.25" customHeight="1">
      <c r="L76" s="234"/>
      <c r="M76" s="234"/>
      <c r="N76" s="229"/>
    </row>
    <row r="77" spans="2:24" ht="14.25" customHeight="1">
      <c r="B77" s="61"/>
      <c r="C77" s="61"/>
      <c r="D77" s="234"/>
      <c r="G77" s="61"/>
      <c r="H77" s="61"/>
      <c r="I77" s="50"/>
      <c r="J77" s="50"/>
      <c r="L77" s="242"/>
      <c r="M77" s="242"/>
      <c r="N77" s="234"/>
      <c r="Q77" s="61"/>
      <c r="R77" s="61"/>
      <c r="S77" s="50"/>
      <c r="V77" s="61"/>
      <c r="W77" s="61"/>
      <c r="X77" s="50"/>
    </row>
    <row r="78" spans="2:24" ht="14.25" customHeight="1">
      <c r="B78" s="61"/>
      <c r="C78" s="61"/>
      <c r="D78" s="234"/>
      <c r="G78" s="61"/>
      <c r="H78" s="61"/>
      <c r="I78" s="50"/>
      <c r="J78" s="50"/>
      <c r="L78" s="242"/>
      <c r="M78" s="242"/>
      <c r="N78" s="234"/>
      <c r="Q78" s="61"/>
      <c r="R78" s="61"/>
      <c r="S78" s="50"/>
      <c r="V78" s="61"/>
      <c r="W78" s="61"/>
      <c r="X78" s="50"/>
    </row>
    <row r="79" spans="2:24" ht="14.25" customHeight="1">
      <c r="B79" s="61"/>
      <c r="C79" s="61"/>
      <c r="D79" s="234"/>
      <c r="G79" s="61"/>
      <c r="H79" s="61"/>
      <c r="I79" s="50"/>
      <c r="J79" s="50"/>
      <c r="L79" s="242"/>
      <c r="M79" s="242"/>
      <c r="N79" s="234"/>
      <c r="Q79" s="61"/>
      <c r="R79" s="61"/>
      <c r="S79" s="50"/>
      <c r="V79" s="61"/>
      <c r="W79" s="61"/>
      <c r="X79" s="50"/>
    </row>
    <row r="80" spans="2:24" ht="14.25" customHeight="1">
      <c r="B80" s="61"/>
      <c r="C80" s="61"/>
      <c r="D80" s="234"/>
      <c r="G80" s="61"/>
      <c r="H80" s="61"/>
      <c r="I80" s="50"/>
      <c r="J80" s="50"/>
      <c r="L80" s="242"/>
      <c r="M80" s="242"/>
      <c r="N80" s="234"/>
      <c r="Q80" s="61"/>
      <c r="R80" s="61"/>
      <c r="S80" s="50"/>
      <c r="V80" s="61"/>
      <c r="W80" s="61"/>
      <c r="X80" s="50"/>
    </row>
    <row r="81" spans="2:24" ht="14.25" customHeight="1">
      <c r="B81" s="61"/>
      <c r="C81" s="61"/>
      <c r="D81" s="234"/>
      <c r="G81" s="61"/>
      <c r="H81" s="61"/>
      <c r="I81" s="50"/>
      <c r="J81" s="50"/>
      <c r="L81" s="242"/>
      <c r="M81" s="242"/>
      <c r="N81" s="234"/>
      <c r="Q81" s="61"/>
      <c r="R81" s="61"/>
      <c r="S81" s="50"/>
      <c r="V81" s="61"/>
      <c r="W81" s="61"/>
      <c r="X81" s="50"/>
    </row>
    <row r="82" spans="2:24" ht="14.25" customHeight="1">
      <c r="B82" s="61"/>
      <c r="C82" s="61"/>
      <c r="D82" s="234"/>
      <c r="G82" s="61"/>
      <c r="H82" s="61"/>
      <c r="I82" s="50"/>
      <c r="J82" s="50"/>
      <c r="L82" s="242"/>
      <c r="M82" s="242"/>
      <c r="N82" s="234"/>
      <c r="Q82" s="61"/>
      <c r="R82" s="61"/>
      <c r="S82" s="50"/>
      <c r="V82" s="61"/>
      <c r="W82" s="61"/>
      <c r="X82" s="50"/>
    </row>
    <row r="83" spans="2:24" ht="14.25" customHeight="1">
      <c r="B83" s="61"/>
      <c r="C83" s="61"/>
      <c r="D83" s="234"/>
      <c r="G83" s="61"/>
      <c r="H83" s="61"/>
      <c r="I83" s="50"/>
      <c r="J83" s="50"/>
      <c r="L83" s="242"/>
      <c r="M83" s="242"/>
      <c r="N83" s="234"/>
      <c r="Q83" s="61"/>
      <c r="R83" s="61"/>
      <c r="S83" s="50"/>
      <c r="V83" s="61"/>
      <c r="W83" s="61"/>
      <c r="X83" s="50"/>
    </row>
    <row r="84" spans="2:24" ht="14.25" customHeight="1">
      <c r="B84" s="61"/>
      <c r="C84" s="61"/>
      <c r="D84" s="234"/>
      <c r="G84" s="61"/>
      <c r="H84" s="61"/>
      <c r="I84" s="50"/>
      <c r="J84" s="50"/>
      <c r="L84" s="242"/>
      <c r="M84" s="242"/>
      <c r="N84" s="234"/>
      <c r="Q84" s="61"/>
      <c r="R84" s="61"/>
      <c r="S84" s="50"/>
      <c r="V84" s="61"/>
      <c r="W84" s="61"/>
      <c r="X84" s="50"/>
    </row>
    <row r="85" spans="2:24" ht="14.25" customHeight="1">
      <c r="B85" s="61"/>
      <c r="C85" s="61"/>
      <c r="D85" s="234"/>
      <c r="G85" s="61"/>
      <c r="H85" s="61"/>
      <c r="I85" s="50"/>
      <c r="J85" s="50"/>
      <c r="L85" s="61"/>
      <c r="M85" s="61"/>
      <c r="N85" s="50"/>
      <c r="Q85" s="61"/>
      <c r="R85" s="61"/>
      <c r="S85" s="50"/>
      <c r="V85" s="61"/>
      <c r="W85" s="61"/>
      <c r="X85" s="50"/>
    </row>
    <row r="86" spans="2:24" ht="14.25" customHeight="1">
      <c r="B86" s="61"/>
      <c r="C86" s="61"/>
      <c r="D86" s="234"/>
      <c r="G86" s="61"/>
      <c r="H86" s="61"/>
      <c r="I86" s="50"/>
      <c r="J86" s="50"/>
      <c r="L86" s="61"/>
      <c r="M86" s="61"/>
      <c r="N86" s="50"/>
      <c r="Q86" s="61"/>
      <c r="R86" s="61"/>
      <c r="S86" s="50"/>
      <c r="V86" s="61"/>
      <c r="W86" s="61"/>
      <c r="X86" s="50"/>
    </row>
    <row r="87" spans="2:24" ht="14.25" customHeight="1">
      <c r="B87" s="61"/>
      <c r="C87" s="61"/>
      <c r="D87" s="234"/>
      <c r="G87" s="61"/>
      <c r="H87" s="61"/>
      <c r="I87" s="50"/>
      <c r="J87" s="50"/>
      <c r="L87" s="61"/>
      <c r="M87" s="61"/>
      <c r="N87" s="50"/>
      <c r="Q87" s="61"/>
      <c r="R87" s="61"/>
      <c r="S87" s="50"/>
      <c r="V87" s="61"/>
      <c r="W87" s="61"/>
      <c r="X87" s="50"/>
    </row>
    <row r="88" spans="2:24" ht="14.25" customHeight="1">
      <c r="B88" s="61"/>
      <c r="C88" s="61"/>
      <c r="D88" s="234"/>
      <c r="G88" s="61"/>
      <c r="H88" s="61"/>
      <c r="I88" s="50"/>
      <c r="J88" s="50"/>
      <c r="L88" s="61"/>
      <c r="M88" s="61"/>
      <c r="N88" s="50"/>
      <c r="Q88" s="61"/>
      <c r="R88" s="61"/>
      <c r="S88" s="50"/>
      <c r="V88" s="61"/>
      <c r="W88" s="61"/>
      <c r="X88" s="50"/>
    </row>
    <row r="89" spans="2:24" ht="14.25" customHeight="1">
      <c r="B89" s="61"/>
      <c r="C89" s="61"/>
      <c r="D89" s="234"/>
      <c r="G89" s="61"/>
      <c r="H89" s="61"/>
      <c r="I89" s="50"/>
      <c r="J89" s="50"/>
      <c r="L89" s="61"/>
      <c r="M89" s="61"/>
      <c r="N89" s="50"/>
      <c r="Q89" s="61"/>
      <c r="R89" s="61"/>
      <c r="S89" s="50"/>
      <c r="V89" s="61"/>
      <c r="W89" s="61"/>
      <c r="X89" s="50"/>
    </row>
    <row r="90" spans="2:24" ht="14.25" customHeight="1">
      <c r="B90" s="61"/>
      <c r="C90" s="61"/>
      <c r="D90" s="234"/>
      <c r="G90" s="61"/>
      <c r="H90" s="61"/>
      <c r="I90" s="50"/>
      <c r="J90" s="50"/>
      <c r="L90" s="61"/>
      <c r="M90" s="61"/>
      <c r="N90" s="50"/>
      <c r="Q90" s="61"/>
      <c r="R90" s="61"/>
      <c r="S90" s="50"/>
      <c r="V90" s="61"/>
      <c r="W90" s="61"/>
      <c r="X90" s="50"/>
    </row>
    <row r="91" spans="2:24" ht="14.25" customHeight="1">
      <c r="B91" s="61"/>
      <c r="C91" s="61"/>
      <c r="D91" s="234"/>
      <c r="G91" s="61"/>
      <c r="H91" s="61"/>
      <c r="I91" s="50"/>
      <c r="J91" s="50"/>
      <c r="L91" s="61"/>
      <c r="M91" s="61"/>
      <c r="N91" s="50"/>
      <c r="Q91" s="61"/>
      <c r="R91" s="61"/>
      <c r="S91" s="50"/>
      <c r="V91" s="61"/>
      <c r="W91" s="61"/>
      <c r="X91" s="50"/>
    </row>
    <row r="92" spans="2:24" ht="14.25" customHeight="1">
      <c r="B92" s="61"/>
      <c r="C92" s="61"/>
      <c r="D92" s="234"/>
      <c r="G92" s="61"/>
      <c r="H92" s="61"/>
      <c r="I92" s="50"/>
      <c r="J92" s="50"/>
      <c r="L92" s="61"/>
      <c r="M92" s="61"/>
      <c r="N92" s="50"/>
      <c r="Q92" s="61"/>
      <c r="R92" s="61"/>
      <c r="S92" s="50"/>
      <c r="V92" s="61"/>
      <c r="W92" s="61"/>
      <c r="X92" s="50"/>
    </row>
    <row r="93" spans="2:24" ht="14.25" customHeight="1">
      <c r="B93" s="61"/>
      <c r="C93" s="61"/>
      <c r="D93" s="234"/>
      <c r="G93" s="61"/>
      <c r="H93" s="61"/>
      <c r="I93" s="50"/>
      <c r="J93" s="50"/>
      <c r="L93" s="61"/>
      <c r="M93" s="61"/>
      <c r="N93" s="50"/>
      <c r="Q93" s="61"/>
      <c r="R93" s="61"/>
      <c r="S93" s="50"/>
      <c r="V93" s="61"/>
      <c r="W93" s="61"/>
      <c r="X93" s="50"/>
    </row>
    <row r="94" spans="2:24" ht="14.25" customHeight="1">
      <c r="B94" s="61"/>
      <c r="C94" s="61"/>
      <c r="D94" s="234"/>
      <c r="G94" s="61"/>
      <c r="H94" s="61"/>
      <c r="I94" s="50"/>
      <c r="J94" s="50"/>
      <c r="L94" s="61"/>
      <c r="M94" s="61"/>
      <c r="N94" s="50"/>
      <c r="Q94" s="61"/>
      <c r="R94" s="61"/>
      <c r="S94" s="50"/>
      <c r="V94" s="61"/>
      <c r="W94" s="61"/>
      <c r="X94" s="50"/>
    </row>
    <row r="95" spans="2:24" ht="14.25" customHeight="1">
      <c r="B95" s="61"/>
      <c r="C95" s="61"/>
      <c r="D95" s="234"/>
      <c r="G95" s="61"/>
      <c r="H95" s="61"/>
      <c r="I95" s="50"/>
      <c r="J95" s="50"/>
      <c r="L95" s="61"/>
      <c r="M95" s="61"/>
      <c r="N95" s="50"/>
      <c r="Q95" s="61"/>
      <c r="R95" s="61"/>
      <c r="S95" s="50"/>
      <c r="V95" s="61"/>
      <c r="W95" s="61"/>
      <c r="X95" s="50"/>
    </row>
    <row r="96" spans="2:24" ht="14.25" customHeight="1">
      <c r="B96" s="61"/>
      <c r="C96" s="61"/>
      <c r="D96" s="234"/>
      <c r="G96" s="61"/>
      <c r="H96" s="61"/>
      <c r="I96" s="50"/>
      <c r="J96" s="50"/>
      <c r="L96" s="61"/>
      <c r="M96" s="61"/>
      <c r="N96" s="50"/>
      <c r="Q96" s="61"/>
      <c r="R96" s="61"/>
      <c r="S96" s="50"/>
      <c r="V96" s="61"/>
      <c r="W96" s="61"/>
      <c r="X96" s="50"/>
    </row>
  </sheetData>
  <mergeCells count="5">
    <mergeCell ref="B4:D4"/>
    <mergeCell ref="G4:I4"/>
    <mergeCell ref="L4:N4"/>
    <mergeCell ref="Q4:S4"/>
    <mergeCell ref="V4:X4"/>
  </mergeCells>
  <pageMargins left="0.31496062992125984" right="0" top="0.55118110236220474" bottom="0.35433070866141736" header="0.31496062992125984" footer="0.31496062992125984"/>
  <pageSetup paperSize="5" scale="50" orientation="landscape" horizontalDpi="4294967293" verticalDpi="0" r:id="rId1"/>
  <headerFooter>
    <oddHeader>&amp;C&amp;"TH SarabunPSK,ธรรมดา"&amp;16 19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E1" zoomScale="50" zoomScaleNormal="50" workbookViewId="0">
      <selection activeCell="F17" sqref="F17"/>
    </sheetView>
  </sheetViews>
  <sheetFormatPr defaultColWidth="9.140625" defaultRowHeight="30.75" customHeight="1"/>
  <cols>
    <col min="1" max="1" width="20" style="81" customWidth="1"/>
    <col min="2" max="2" width="12" style="81" customWidth="1"/>
    <col min="3" max="4" width="9.42578125" style="81" customWidth="1"/>
    <col min="5" max="5" width="1.140625" style="81" customWidth="1"/>
    <col min="6" max="6" width="20" style="81" customWidth="1"/>
    <col min="7" max="7" width="14.28515625" style="81" customWidth="1"/>
    <col min="8" max="8" width="11.28515625" style="81" customWidth="1"/>
    <col min="9" max="9" width="11.42578125" style="81" customWidth="1"/>
    <col min="10" max="10" width="2.140625" style="81" customWidth="1"/>
    <col min="11" max="11" width="20.140625" style="81" customWidth="1"/>
    <col min="12" max="12" width="12.42578125" style="81" customWidth="1"/>
    <col min="13" max="13" width="10.85546875" style="81" customWidth="1"/>
    <col min="14" max="14" width="12.5703125" style="81" customWidth="1"/>
    <col min="15" max="15" width="1.28515625" style="81" customWidth="1"/>
    <col min="16" max="16" width="19.85546875" style="81" customWidth="1"/>
    <col min="17" max="17" width="12.5703125" style="81" customWidth="1"/>
    <col min="18" max="18" width="11" style="81" customWidth="1"/>
    <col min="19" max="19" width="11.85546875" style="81" customWidth="1"/>
    <col min="20" max="20" width="0.85546875" style="81" customWidth="1"/>
    <col min="21" max="21" width="20.28515625" style="81" customWidth="1"/>
    <col min="22" max="22" width="11.42578125" style="81" customWidth="1"/>
    <col min="23" max="23" width="9.140625" style="81"/>
    <col min="24" max="24" width="9.85546875" style="81" customWidth="1"/>
    <col min="25" max="16384" width="9.140625" style="81"/>
  </cols>
  <sheetData>
    <row r="1" spans="1:24" s="113" customFormat="1" ht="30.75" customHeight="1">
      <c r="A1" s="113" t="s">
        <v>90</v>
      </c>
      <c r="B1" s="131"/>
      <c r="C1" s="131"/>
      <c r="D1" s="131"/>
      <c r="G1" s="131"/>
      <c r="H1" s="131"/>
      <c r="I1" s="131"/>
      <c r="L1" s="131"/>
      <c r="M1" s="131"/>
      <c r="N1" s="131"/>
      <c r="Q1" s="81"/>
      <c r="R1" s="81"/>
      <c r="S1" s="81"/>
      <c r="V1" s="81"/>
      <c r="W1" s="81"/>
      <c r="X1" s="8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 t="s">
        <v>115</v>
      </c>
      <c r="W2" s="44"/>
      <c r="X2" s="44"/>
    </row>
    <row r="3" spans="1:24" s="92" customFormat="1" ht="30.75" customHeight="1">
      <c r="A3" s="133" t="s">
        <v>5</v>
      </c>
      <c r="B3" s="134" t="s">
        <v>0</v>
      </c>
      <c r="C3" s="134" t="s">
        <v>1</v>
      </c>
      <c r="D3" s="134" t="s">
        <v>2</v>
      </c>
      <c r="F3" s="133" t="s">
        <v>5</v>
      </c>
      <c r="G3" s="134" t="s">
        <v>0</v>
      </c>
      <c r="H3" s="134" t="s">
        <v>1</v>
      </c>
      <c r="I3" s="134" t="s">
        <v>2</v>
      </c>
      <c r="K3" s="133" t="s">
        <v>5</v>
      </c>
      <c r="L3" s="134" t="s">
        <v>0</v>
      </c>
      <c r="M3" s="134" t="s">
        <v>1</v>
      </c>
      <c r="N3" s="134" t="s">
        <v>2</v>
      </c>
      <c r="P3" s="133" t="s">
        <v>5</v>
      </c>
      <c r="Q3" s="134" t="s">
        <v>0</v>
      </c>
      <c r="R3" s="134" t="s">
        <v>1</v>
      </c>
      <c r="S3" s="134" t="s">
        <v>2</v>
      </c>
      <c r="U3" s="133" t="s">
        <v>5</v>
      </c>
      <c r="V3" s="134" t="s">
        <v>0</v>
      </c>
      <c r="W3" s="134" t="s">
        <v>1</v>
      </c>
      <c r="X3" s="134" t="s">
        <v>2</v>
      </c>
    </row>
    <row r="4" spans="1:24" s="92" customFormat="1" ht="30.75" customHeight="1">
      <c r="A4" s="208"/>
      <c r="B4" s="672" t="s">
        <v>21</v>
      </c>
      <c r="C4" s="672"/>
      <c r="D4" s="672"/>
      <c r="F4" s="208"/>
      <c r="G4" s="672" t="s">
        <v>21</v>
      </c>
      <c r="H4" s="672"/>
      <c r="I4" s="672"/>
      <c r="K4" s="208"/>
      <c r="L4" s="672" t="s">
        <v>21</v>
      </c>
      <c r="M4" s="672"/>
      <c r="N4" s="672"/>
      <c r="P4" s="208"/>
      <c r="Q4" s="672" t="s">
        <v>21</v>
      </c>
      <c r="R4" s="672"/>
      <c r="S4" s="672"/>
      <c r="U4" s="208"/>
      <c r="V4" s="672" t="s">
        <v>21</v>
      </c>
      <c r="W4" s="672"/>
      <c r="X4" s="672"/>
    </row>
    <row r="5" spans="1:24" s="92" customFormat="1" ht="21.6" customHeight="1">
      <c r="A5" s="88" t="s">
        <v>38</v>
      </c>
      <c r="B5" s="154">
        <v>1184151</v>
      </c>
      <c r="C5" s="154">
        <v>650780</v>
      </c>
      <c r="D5" s="154">
        <v>533371</v>
      </c>
      <c r="F5" s="88" t="s">
        <v>38</v>
      </c>
      <c r="G5" s="47">
        <v>1171095</v>
      </c>
      <c r="H5" s="47">
        <v>644778</v>
      </c>
      <c r="I5" s="47">
        <v>526317</v>
      </c>
      <c r="K5" s="88" t="s">
        <v>38</v>
      </c>
      <c r="L5" s="47">
        <v>1164344</v>
      </c>
      <c r="M5" s="47">
        <v>655575</v>
      </c>
      <c r="N5" s="47">
        <v>508769</v>
      </c>
      <c r="P5" s="88" t="s">
        <v>38</v>
      </c>
      <c r="Q5" s="47">
        <v>1198717</v>
      </c>
      <c r="R5" s="47">
        <v>654869</v>
      </c>
      <c r="S5" s="47">
        <v>543848</v>
      </c>
      <c r="U5" s="88" t="s">
        <v>38</v>
      </c>
      <c r="V5" s="252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s="92" customFormat="1" ht="7.15" customHeight="1">
      <c r="A6" s="88"/>
      <c r="B6" s="155"/>
      <c r="C6" s="155"/>
      <c r="D6" s="155"/>
      <c r="F6" s="88"/>
      <c r="G6" s="156"/>
      <c r="H6" s="156"/>
      <c r="I6" s="156"/>
      <c r="K6" s="88"/>
      <c r="L6" s="156"/>
      <c r="M6" s="156"/>
      <c r="N6" s="156"/>
      <c r="P6" s="88"/>
      <c r="Q6" s="156"/>
      <c r="R6" s="156"/>
      <c r="S6" s="156"/>
      <c r="U6" s="88"/>
      <c r="V6" s="156"/>
      <c r="W6" s="156"/>
      <c r="X6" s="156"/>
    </row>
    <row r="7" spans="1:24" ht="24" customHeight="1">
      <c r="A7" s="157" t="s">
        <v>89</v>
      </c>
      <c r="B7" s="147">
        <v>20864</v>
      </c>
      <c r="C7" s="147">
        <v>18653</v>
      </c>
      <c r="D7" s="147">
        <v>2211</v>
      </c>
      <c r="F7" s="157" t="s">
        <v>89</v>
      </c>
      <c r="G7" s="47">
        <v>11358</v>
      </c>
      <c r="H7" s="47">
        <v>8107</v>
      </c>
      <c r="I7" s="47">
        <v>3251</v>
      </c>
      <c r="K7" s="157" t="s">
        <v>89</v>
      </c>
      <c r="L7" s="47">
        <v>16620</v>
      </c>
      <c r="M7" s="47">
        <v>11143</v>
      </c>
      <c r="N7" s="47">
        <v>5477</v>
      </c>
      <c r="P7" s="157" t="s">
        <v>89</v>
      </c>
      <c r="Q7" s="46">
        <v>13405</v>
      </c>
      <c r="R7" s="46">
        <v>9696</v>
      </c>
      <c r="S7" s="46">
        <v>3709</v>
      </c>
      <c r="U7" s="157" t="s">
        <v>89</v>
      </c>
      <c r="V7" s="150">
        <f t="shared" ref="V7:X12" si="0">(B7+G7+L7+Q7)/4</f>
        <v>15561.75</v>
      </c>
      <c r="W7" s="150">
        <f t="shared" si="0"/>
        <v>11899.75</v>
      </c>
      <c r="X7" s="150">
        <f t="shared" si="0"/>
        <v>3662</v>
      </c>
    </row>
    <row r="8" spans="1:24" ht="24" customHeight="1">
      <c r="A8" s="157" t="s">
        <v>88</v>
      </c>
      <c r="B8" s="147">
        <v>103336</v>
      </c>
      <c r="C8" s="147">
        <v>47326</v>
      </c>
      <c r="D8" s="147">
        <v>56010</v>
      </c>
      <c r="F8" s="157" t="s">
        <v>88</v>
      </c>
      <c r="G8" s="46">
        <v>113629</v>
      </c>
      <c r="H8" s="46">
        <v>53985</v>
      </c>
      <c r="I8" s="46">
        <v>59644</v>
      </c>
      <c r="K8" s="157" t="s">
        <v>88</v>
      </c>
      <c r="L8" s="46">
        <v>122330</v>
      </c>
      <c r="M8" s="46">
        <v>56270</v>
      </c>
      <c r="N8" s="46">
        <v>66060</v>
      </c>
      <c r="P8" s="157" t="s">
        <v>88</v>
      </c>
      <c r="Q8" s="46">
        <v>99806</v>
      </c>
      <c r="R8" s="46">
        <v>46787</v>
      </c>
      <c r="S8" s="46">
        <v>53019</v>
      </c>
      <c r="U8" s="157" t="s">
        <v>88</v>
      </c>
      <c r="V8" s="150">
        <f t="shared" si="0"/>
        <v>109775.25</v>
      </c>
      <c r="W8" s="150">
        <f t="shared" si="0"/>
        <v>51092</v>
      </c>
      <c r="X8" s="150">
        <f t="shared" si="0"/>
        <v>58683.25</v>
      </c>
    </row>
    <row r="9" spans="1:24" ht="24" customHeight="1">
      <c r="A9" s="157" t="s">
        <v>87</v>
      </c>
      <c r="B9" s="147">
        <v>515650</v>
      </c>
      <c r="C9" s="147">
        <v>285273</v>
      </c>
      <c r="D9" s="147">
        <v>230377</v>
      </c>
      <c r="F9" s="157" t="s">
        <v>87</v>
      </c>
      <c r="G9" s="46">
        <v>478691</v>
      </c>
      <c r="H9" s="46">
        <v>272358</v>
      </c>
      <c r="I9" s="46">
        <v>206333</v>
      </c>
      <c r="K9" s="157" t="s">
        <v>87</v>
      </c>
      <c r="L9" s="46">
        <v>423293</v>
      </c>
      <c r="M9" s="46">
        <v>240678</v>
      </c>
      <c r="N9" s="46">
        <v>182615</v>
      </c>
      <c r="P9" s="157" t="s">
        <v>87</v>
      </c>
      <c r="Q9" s="46">
        <v>461352</v>
      </c>
      <c r="R9" s="46">
        <v>258767</v>
      </c>
      <c r="S9" s="46">
        <v>202585</v>
      </c>
      <c r="U9" s="157" t="s">
        <v>87</v>
      </c>
      <c r="V9" s="150">
        <f t="shared" si="0"/>
        <v>469746.5</v>
      </c>
      <c r="W9" s="150">
        <f t="shared" si="0"/>
        <v>264269</v>
      </c>
      <c r="X9" s="150">
        <f t="shared" si="0"/>
        <v>205477.5</v>
      </c>
    </row>
    <row r="10" spans="1:24" ht="24" customHeight="1">
      <c r="A10" s="157" t="s">
        <v>86</v>
      </c>
      <c r="B10" s="147">
        <v>383114</v>
      </c>
      <c r="C10" s="147">
        <v>221987</v>
      </c>
      <c r="D10" s="147">
        <v>161127</v>
      </c>
      <c r="F10" s="157" t="s">
        <v>86</v>
      </c>
      <c r="G10" s="46">
        <v>379025</v>
      </c>
      <c r="H10" s="46">
        <v>217190</v>
      </c>
      <c r="I10" s="46">
        <v>161835</v>
      </c>
      <c r="K10" s="157" t="s">
        <v>86</v>
      </c>
      <c r="L10" s="46">
        <v>416002</v>
      </c>
      <c r="M10" s="46">
        <v>261796</v>
      </c>
      <c r="N10" s="46">
        <v>154206</v>
      </c>
      <c r="P10" s="157" t="s">
        <v>86</v>
      </c>
      <c r="Q10" s="46">
        <v>408909</v>
      </c>
      <c r="R10" s="46">
        <v>241248</v>
      </c>
      <c r="S10" s="46">
        <v>167662</v>
      </c>
      <c r="U10" s="157" t="s">
        <v>86</v>
      </c>
      <c r="V10" s="150">
        <f t="shared" si="0"/>
        <v>396762.5</v>
      </c>
      <c r="W10" s="150">
        <f t="shared" si="0"/>
        <v>235555.25</v>
      </c>
      <c r="X10" s="150">
        <f t="shared" si="0"/>
        <v>161207.5</v>
      </c>
    </row>
    <row r="11" spans="1:24" ht="24" customHeight="1">
      <c r="A11" s="157" t="s">
        <v>85</v>
      </c>
      <c r="B11" s="147">
        <v>161187</v>
      </c>
      <c r="C11" s="147">
        <v>77541</v>
      </c>
      <c r="D11" s="147">
        <v>83646</v>
      </c>
      <c r="F11" s="157" t="s">
        <v>85</v>
      </c>
      <c r="G11" s="46">
        <v>186565</v>
      </c>
      <c r="H11" s="46">
        <v>92211</v>
      </c>
      <c r="I11" s="46">
        <v>94354</v>
      </c>
      <c r="K11" s="157" t="s">
        <v>85</v>
      </c>
      <c r="L11" s="46">
        <v>181568</v>
      </c>
      <c r="M11" s="46">
        <v>85688</v>
      </c>
      <c r="N11" s="46">
        <v>95880</v>
      </c>
      <c r="P11" s="157" t="s">
        <v>85</v>
      </c>
      <c r="Q11" s="46">
        <v>212344</v>
      </c>
      <c r="R11" s="46">
        <v>95470</v>
      </c>
      <c r="S11" s="46">
        <v>116873</v>
      </c>
      <c r="U11" s="157" t="s">
        <v>85</v>
      </c>
      <c r="V11" s="150">
        <f t="shared" si="0"/>
        <v>185416</v>
      </c>
      <c r="W11" s="150">
        <f t="shared" si="0"/>
        <v>87727.5</v>
      </c>
      <c r="X11" s="150">
        <f t="shared" si="0"/>
        <v>97688.25</v>
      </c>
    </row>
    <row r="12" spans="1:24" ht="24" customHeight="1">
      <c r="A12" s="158" t="s">
        <v>84</v>
      </c>
      <c r="B12" s="165">
        <v>0</v>
      </c>
      <c r="C12" s="165">
        <v>0</v>
      </c>
      <c r="D12" s="165">
        <v>0</v>
      </c>
      <c r="F12" s="158" t="s">
        <v>84</v>
      </c>
      <c r="G12" s="46">
        <v>1827</v>
      </c>
      <c r="H12" s="46">
        <v>927</v>
      </c>
      <c r="I12" s="46">
        <v>900</v>
      </c>
      <c r="K12" s="158" t="s">
        <v>84</v>
      </c>
      <c r="L12" s="46">
        <v>4531</v>
      </c>
      <c r="M12" s="165">
        <v>0</v>
      </c>
      <c r="N12" s="46">
        <v>4531</v>
      </c>
      <c r="P12" s="158" t="s">
        <v>84</v>
      </c>
      <c r="Q12" s="46">
        <v>2901</v>
      </c>
      <c r="R12" s="46">
        <v>2901</v>
      </c>
      <c r="S12" s="165">
        <v>0</v>
      </c>
      <c r="U12" s="158" t="s">
        <v>84</v>
      </c>
      <c r="V12" s="150">
        <f t="shared" si="0"/>
        <v>2314.75</v>
      </c>
      <c r="W12" s="150">
        <f t="shared" si="0"/>
        <v>957</v>
      </c>
      <c r="X12" s="150">
        <f t="shared" si="0"/>
        <v>1357.75</v>
      </c>
    </row>
    <row r="13" spans="1:24" ht="24.95" customHeight="1">
      <c r="B13" s="673" t="s">
        <v>20</v>
      </c>
      <c r="C13" s="673"/>
      <c r="D13" s="673"/>
      <c r="G13" s="673" t="s">
        <v>20</v>
      </c>
      <c r="H13" s="673"/>
      <c r="I13" s="673"/>
      <c r="L13" s="673" t="s">
        <v>20</v>
      </c>
      <c r="M13" s="673"/>
      <c r="N13" s="673"/>
      <c r="Q13" s="673" t="s">
        <v>20</v>
      </c>
      <c r="R13" s="673"/>
      <c r="S13" s="673"/>
      <c r="V13" s="673" t="s">
        <v>20</v>
      </c>
      <c r="W13" s="673"/>
      <c r="X13" s="673"/>
    </row>
    <row r="14" spans="1:24" s="60" customFormat="1" ht="18" customHeight="1">
      <c r="A14" s="68" t="s">
        <v>38</v>
      </c>
      <c r="B14" s="114">
        <f>B5*100/$B$5</f>
        <v>100</v>
      </c>
      <c r="C14" s="114">
        <f>C5*100/$C$5</f>
        <v>100</v>
      </c>
      <c r="D14" s="114">
        <f>D5*100/$D$5</f>
        <v>100</v>
      </c>
      <c r="F14" s="68" t="s">
        <v>38</v>
      </c>
      <c r="G14" s="114">
        <f>G5*100/$G$5</f>
        <v>100</v>
      </c>
      <c r="H14" s="114">
        <f>H5*100/$H$5</f>
        <v>100</v>
      </c>
      <c r="I14" s="114">
        <f>I5*100/$I$5</f>
        <v>100</v>
      </c>
      <c r="K14" s="68" t="s">
        <v>38</v>
      </c>
      <c r="L14" s="67">
        <f>L5*100/$L$5</f>
        <v>100</v>
      </c>
      <c r="M14" s="67">
        <f>M5*100/$M$5</f>
        <v>100</v>
      </c>
      <c r="N14" s="67">
        <f>N5*100/$N$5</f>
        <v>100</v>
      </c>
      <c r="P14" s="68" t="s">
        <v>38</v>
      </c>
      <c r="Q14" s="193">
        <f>Q5*100/$Q$5</f>
        <v>100</v>
      </c>
      <c r="R14" s="193">
        <f>R5*100/$R$5</f>
        <v>100</v>
      </c>
      <c r="S14" s="193">
        <f>S5*100/$S$5</f>
        <v>100</v>
      </c>
      <c r="U14" s="68" t="s">
        <v>38</v>
      </c>
      <c r="V14" s="193">
        <f>V5*100/$V$5</f>
        <v>100</v>
      </c>
      <c r="W14" s="193">
        <f>W5*100/$W$5</f>
        <v>100</v>
      </c>
      <c r="X14" s="193">
        <f>X5*100/$X$5</f>
        <v>100</v>
      </c>
    </row>
    <row r="15" spans="1:24" s="92" customFormat="1" ht="6" customHeight="1">
      <c r="A15" s="88"/>
      <c r="B15" s="114"/>
      <c r="C15" s="114"/>
      <c r="D15" s="114"/>
      <c r="F15" s="88"/>
      <c r="G15" s="114"/>
      <c r="H15" s="114"/>
      <c r="I15" s="114"/>
      <c r="K15" s="88"/>
      <c r="L15" s="114"/>
      <c r="M15" s="114"/>
      <c r="N15" s="114"/>
      <c r="P15" s="88"/>
      <c r="Q15" s="153"/>
      <c r="R15" s="153"/>
      <c r="S15" s="153"/>
      <c r="U15" s="88"/>
      <c r="V15" s="153"/>
      <c r="W15" s="153"/>
      <c r="X15" s="153"/>
    </row>
    <row r="16" spans="1:24" ht="24.95" customHeight="1">
      <c r="A16" s="157" t="s">
        <v>89</v>
      </c>
      <c r="B16" s="159">
        <f t="shared" ref="B16:B21" si="1">B7*100/$B$5</f>
        <v>1.7619374556116576</v>
      </c>
      <c r="C16" s="159">
        <f t="shared" ref="C16:C21" si="2">C7*100/$C$5</f>
        <v>2.8662528043271149</v>
      </c>
      <c r="D16" s="159">
        <f t="shared" ref="D16:D21" si="3">D7*100/$D$5</f>
        <v>0.41453322359108385</v>
      </c>
      <c r="E16" s="28"/>
      <c r="F16" s="157" t="s">
        <v>89</v>
      </c>
      <c r="G16" s="159">
        <f t="shared" ref="G16:G21" si="4">G7*100/$G$5</f>
        <v>0.96986153984091816</v>
      </c>
      <c r="H16" s="159">
        <f t="shared" ref="H16:H21" si="5">H7*100/$H$5</f>
        <v>1.2573319809298704</v>
      </c>
      <c r="I16" s="159">
        <f t="shared" ref="I16:I21" si="6">I7*100/$I$5</f>
        <v>0.61768857931626753</v>
      </c>
      <c r="J16" s="73"/>
      <c r="K16" s="157" t="s">
        <v>89</v>
      </c>
      <c r="L16" s="67">
        <f t="shared" ref="L16:L21" si="7">L7*100/$L$5</f>
        <v>1.4274132043451075</v>
      </c>
      <c r="M16" s="67">
        <f t="shared" ref="M16:M21" si="8">M7*100/$M$5</f>
        <v>1.6997292453189947</v>
      </c>
      <c r="N16" s="67">
        <f t="shared" ref="N16:N21" si="9">N7*100/$N$5</f>
        <v>1.0765199923737492</v>
      </c>
      <c r="P16" s="157" t="s">
        <v>89</v>
      </c>
      <c r="Q16" s="193">
        <f t="shared" ref="Q16:Q21" si="10">Q7*100/$Q$5</f>
        <v>1.1182789599213159</v>
      </c>
      <c r="R16" s="193">
        <f t="shared" ref="R16:R21" si="11">R7*100/$R$5</f>
        <v>1.4806014638042113</v>
      </c>
      <c r="S16" s="193">
        <f t="shared" ref="S16:S21" si="12">S7*100/$S$5</f>
        <v>0.68199202718406615</v>
      </c>
      <c r="U16" s="157" t="s">
        <v>89</v>
      </c>
      <c r="V16" s="193">
        <f t="shared" ref="V16:V21" si="13">V7*100/$V$5</f>
        <v>1.3192655755549607</v>
      </c>
      <c r="W16" s="193">
        <f t="shared" ref="W16:W21" si="14">W7*100/$W$5</f>
        <v>1.8265143311478655</v>
      </c>
      <c r="X16" s="193">
        <f t="shared" ref="X16:X21" si="15">X7*100/$X$5</f>
        <v>0.69346046143904405</v>
      </c>
    </row>
    <row r="17" spans="1:24" ht="24.95" customHeight="1">
      <c r="A17" s="157" t="s">
        <v>88</v>
      </c>
      <c r="B17" s="159">
        <f t="shared" si="1"/>
        <v>8.7265897676901005</v>
      </c>
      <c r="C17" s="159">
        <f t="shared" si="2"/>
        <v>7.2721964411936444</v>
      </c>
      <c r="D17" s="159">
        <f t="shared" si="3"/>
        <v>10.501133357456629</v>
      </c>
      <c r="E17" s="28"/>
      <c r="F17" s="157" t="s">
        <v>88</v>
      </c>
      <c r="G17" s="159">
        <f t="shared" si="4"/>
        <v>9.702799516691643</v>
      </c>
      <c r="H17" s="159">
        <f t="shared" si="5"/>
        <v>8.3726491908843048</v>
      </c>
      <c r="I17" s="159">
        <f t="shared" si="6"/>
        <v>11.332333935631947</v>
      </c>
      <c r="J17" s="73"/>
      <c r="K17" s="157" t="s">
        <v>88</v>
      </c>
      <c r="L17" s="67">
        <f t="shared" si="7"/>
        <v>10.506345203822924</v>
      </c>
      <c r="M17" s="67">
        <f t="shared" si="8"/>
        <v>8.5833047324867486</v>
      </c>
      <c r="N17" s="67">
        <f t="shared" si="9"/>
        <v>12.984281668104778</v>
      </c>
      <c r="P17" s="157" t="s">
        <v>88</v>
      </c>
      <c r="Q17" s="193">
        <f t="shared" si="10"/>
        <v>8.3260686217013689</v>
      </c>
      <c r="R17" s="193">
        <f t="shared" si="11"/>
        <v>7.1444823315808197</v>
      </c>
      <c r="S17" s="193">
        <f t="shared" si="12"/>
        <v>9.7488636530795372</v>
      </c>
      <c r="U17" s="157" t="s">
        <v>88</v>
      </c>
      <c r="V17" s="193">
        <f t="shared" si="13"/>
        <v>9.3063253408478932</v>
      </c>
      <c r="W17" s="193">
        <f t="shared" si="14"/>
        <v>7.8422042653842938</v>
      </c>
      <c r="X17" s="193">
        <f t="shared" si="15"/>
        <v>11.112647084582955</v>
      </c>
    </row>
    <row r="18" spans="1:24" ht="24.95" customHeight="1">
      <c r="A18" s="157" t="s">
        <v>87</v>
      </c>
      <c r="B18" s="159">
        <f t="shared" si="1"/>
        <v>43.54596668836998</v>
      </c>
      <c r="C18" s="159">
        <f t="shared" si="2"/>
        <v>43.835551184732168</v>
      </c>
      <c r="D18" s="159">
        <f t="shared" si="3"/>
        <v>43.192637020010459</v>
      </c>
      <c r="E18" s="28"/>
      <c r="F18" s="157" t="s">
        <v>87</v>
      </c>
      <c r="G18" s="159">
        <f t="shared" si="4"/>
        <v>40.875505403062945</v>
      </c>
      <c r="H18" s="159">
        <f t="shared" si="5"/>
        <v>42.240585131626702</v>
      </c>
      <c r="I18" s="159">
        <f t="shared" si="6"/>
        <v>39.203179832686388</v>
      </c>
      <c r="J18" s="73"/>
      <c r="K18" s="157" t="s">
        <v>87</v>
      </c>
      <c r="L18" s="67">
        <f t="shared" si="7"/>
        <v>36.354634025683133</v>
      </c>
      <c r="M18" s="67">
        <f t="shared" si="8"/>
        <v>36.712504290126986</v>
      </c>
      <c r="N18" s="67">
        <f t="shared" si="9"/>
        <v>35.893499800498851</v>
      </c>
      <c r="P18" s="157" t="s">
        <v>87</v>
      </c>
      <c r="Q18" s="193">
        <f t="shared" si="10"/>
        <v>38.487149176995068</v>
      </c>
      <c r="R18" s="193">
        <f t="shared" si="11"/>
        <v>39.514315076755807</v>
      </c>
      <c r="S18" s="193">
        <f t="shared" si="12"/>
        <v>37.250297877348082</v>
      </c>
      <c r="U18" s="157" t="s">
        <v>87</v>
      </c>
      <c r="V18" s="193">
        <f t="shared" si="13"/>
        <v>39.823309504871133</v>
      </c>
      <c r="W18" s="193">
        <f t="shared" si="14"/>
        <v>40.563130803429928</v>
      </c>
      <c r="X18" s="193">
        <f t="shared" si="15"/>
        <v>38.910573993812449</v>
      </c>
    </row>
    <row r="19" spans="1:24" ht="24.95" customHeight="1">
      <c r="A19" s="157" t="s">
        <v>86</v>
      </c>
      <c r="B19" s="159">
        <f t="shared" si="1"/>
        <v>32.353475190241788</v>
      </c>
      <c r="C19" s="159">
        <f t="shared" si="2"/>
        <v>34.110913058176344</v>
      </c>
      <c r="D19" s="159">
        <f t="shared" si="3"/>
        <v>30.209178976734769</v>
      </c>
      <c r="E19" s="28"/>
      <c r="F19" s="157" t="s">
        <v>86</v>
      </c>
      <c r="G19" s="159">
        <f t="shared" si="4"/>
        <v>32.365008816534953</v>
      </c>
      <c r="H19" s="159">
        <f t="shared" si="5"/>
        <v>33.684461938837863</v>
      </c>
      <c r="I19" s="159">
        <f t="shared" si="6"/>
        <v>30.748579278267659</v>
      </c>
      <c r="J19" s="73"/>
      <c r="K19" s="157" t="s">
        <v>86</v>
      </c>
      <c r="L19" s="67">
        <f t="shared" si="7"/>
        <v>35.728444514679509</v>
      </c>
      <c r="M19" s="67">
        <f t="shared" si="8"/>
        <v>39.933798573771114</v>
      </c>
      <c r="N19" s="67">
        <f t="shared" si="9"/>
        <v>30.309629714074561</v>
      </c>
      <c r="P19" s="157" t="s">
        <v>86</v>
      </c>
      <c r="Q19" s="193">
        <f t="shared" si="10"/>
        <v>34.11222165031446</v>
      </c>
      <c r="R19" s="193">
        <f t="shared" si="11"/>
        <v>36.839123549900819</v>
      </c>
      <c r="S19" s="193">
        <f t="shared" si="12"/>
        <v>30.82883452729439</v>
      </c>
      <c r="U19" s="157" t="s">
        <v>86</v>
      </c>
      <c r="V19" s="193">
        <f t="shared" si="13"/>
        <v>33.63600545704211</v>
      </c>
      <c r="W19" s="193">
        <f t="shared" si="14"/>
        <v>36.155804945660059</v>
      </c>
      <c r="X19" s="193">
        <f t="shared" si="15"/>
        <v>30.527314947415263</v>
      </c>
    </row>
    <row r="20" spans="1:24" ht="24.95" customHeight="1">
      <c r="A20" s="157" t="s">
        <v>85</v>
      </c>
      <c r="B20" s="159">
        <f t="shared" si="1"/>
        <v>13.612030898086477</v>
      </c>
      <c r="C20" s="159">
        <f t="shared" si="2"/>
        <v>11.915086511570731</v>
      </c>
      <c r="D20" s="159">
        <f t="shared" si="3"/>
        <v>15.682517422207056</v>
      </c>
      <c r="E20" s="28"/>
      <c r="F20" s="157" t="s">
        <v>85</v>
      </c>
      <c r="G20" s="159">
        <f t="shared" si="4"/>
        <v>15.930816885052025</v>
      </c>
      <c r="H20" s="159">
        <f t="shared" si="5"/>
        <v>14.301201343718303</v>
      </c>
      <c r="I20" s="159">
        <f t="shared" si="6"/>
        <v>17.927218767396834</v>
      </c>
      <c r="J20" s="73"/>
      <c r="K20" s="157" t="s">
        <v>85</v>
      </c>
      <c r="L20" s="67">
        <f t="shared" si="7"/>
        <v>15.594016888479693</v>
      </c>
      <c r="M20" s="67">
        <f t="shared" si="8"/>
        <v>13.070663158296153</v>
      </c>
      <c r="N20" s="67">
        <f t="shared" si="9"/>
        <v>18.845487834360977</v>
      </c>
      <c r="P20" s="157" t="s">
        <v>85</v>
      </c>
      <c r="Q20" s="193">
        <f t="shared" si="10"/>
        <v>17.714272843381714</v>
      </c>
      <c r="R20" s="193">
        <f t="shared" si="11"/>
        <v>14.578488216727315</v>
      </c>
      <c r="S20" s="193">
        <f t="shared" si="12"/>
        <v>21.490011915093923</v>
      </c>
      <c r="U20" s="157" t="s">
        <v>85</v>
      </c>
      <c r="V20" s="193">
        <f t="shared" si="13"/>
        <v>15.718858480382901</v>
      </c>
      <c r="W20" s="193">
        <f t="shared" si="14"/>
        <v>13.465453978930178</v>
      </c>
      <c r="X20" s="193">
        <f t="shared" si="15"/>
        <v>18.498891021893144</v>
      </c>
    </row>
    <row r="21" spans="1:24" ht="24.95" customHeight="1">
      <c r="A21" s="158" t="s">
        <v>84</v>
      </c>
      <c r="B21" s="159">
        <f t="shared" si="1"/>
        <v>0</v>
      </c>
      <c r="C21" s="159">
        <f t="shared" si="2"/>
        <v>0</v>
      </c>
      <c r="D21" s="159">
        <f t="shared" si="3"/>
        <v>0</v>
      </c>
      <c r="E21" s="28"/>
      <c r="F21" s="158" t="s">
        <v>84</v>
      </c>
      <c r="G21" s="159">
        <f t="shared" si="4"/>
        <v>0.15600783881751695</v>
      </c>
      <c r="H21" s="159">
        <f t="shared" si="5"/>
        <v>0.14377041400295915</v>
      </c>
      <c r="I21" s="159">
        <f t="shared" si="6"/>
        <v>0.17099960670090458</v>
      </c>
      <c r="J21" s="73"/>
      <c r="K21" s="158" t="s">
        <v>84</v>
      </c>
      <c r="L21" s="67">
        <f t="shared" si="7"/>
        <v>0.38914616298963195</v>
      </c>
      <c r="M21" s="67">
        <f t="shared" si="8"/>
        <v>0</v>
      </c>
      <c r="N21" s="67">
        <f t="shared" si="9"/>
        <v>0.89058099058708373</v>
      </c>
      <c r="P21" s="158" t="s">
        <v>84</v>
      </c>
      <c r="Q21" s="193">
        <f t="shared" si="10"/>
        <v>0.2420087476860677</v>
      </c>
      <c r="R21" s="193">
        <f t="shared" si="11"/>
        <v>0.44298936123102484</v>
      </c>
      <c r="S21" s="193">
        <f t="shared" si="12"/>
        <v>0</v>
      </c>
      <c r="U21" s="158" t="s">
        <v>84</v>
      </c>
      <c r="V21" s="193">
        <f t="shared" si="13"/>
        <v>0.19623564130100055</v>
      </c>
      <c r="W21" s="193">
        <f t="shared" si="14"/>
        <v>0.14689167544767809</v>
      </c>
      <c r="X21" s="193">
        <f t="shared" si="15"/>
        <v>0.25711249085714422</v>
      </c>
    </row>
    <row r="22" spans="1:24" ht="18.75" customHeight="1">
      <c r="A22" s="160"/>
      <c r="B22" s="161"/>
      <c r="C22" s="161"/>
      <c r="D22" s="161"/>
      <c r="E22" s="28"/>
      <c r="F22" s="160"/>
      <c r="G22" s="162"/>
      <c r="H22" s="161"/>
      <c r="I22" s="161"/>
      <c r="J22" s="73"/>
      <c r="K22" s="160"/>
      <c r="L22" s="162"/>
      <c r="M22" s="161"/>
      <c r="N22" s="161"/>
      <c r="P22" s="160"/>
      <c r="Q22" s="162"/>
      <c r="R22" s="161"/>
      <c r="S22" s="161"/>
      <c r="U22" s="160"/>
      <c r="V22" s="162"/>
      <c r="W22" s="161"/>
      <c r="X22" s="161"/>
    </row>
    <row r="24" spans="1:24" ht="30.75" customHeight="1">
      <c r="B24" s="149"/>
      <c r="C24" s="149"/>
      <c r="D24" s="149"/>
      <c r="G24" s="149"/>
      <c r="H24" s="149"/>
      <c r="I24" s="149"/>
      <c r="L24" s="149"/>
      <c r="M24" s="149"/>
      <c r="N24" s="149"/>
      <c r="Q24" s="149"/>
      <c r="R24" s="149"/>
      <c r="S24" s="149"/>
      <c r="V24" s="149"/>
      <c r="W24" s="149"/>
      <c r="X24" s="149"/>
    </row>
    <row r="25" spans="1:24" ht="30.75" customHeight="1">
      <c r="B25" s="149"/>
      <c r="C25" s="149"/>
      <c r="D25" s="149"/>
      <c r="G25" s="149"/>
      <c r="H25" s="149"/>
      <c r="I25" s="149"/>
      <c r="L25" s="149"/>
      <c r="M25" s="149"/>
      <c r="N25" s="149"/>
      <c r="Q25" s="149"/>
      <c r="R25" s="149"/>
      <c r="S25" s="149"/>
      <c r="V25" s="149"/>
      <c r="W25" s="149"/>
      <c r="X25" s="149"/>
    </row>
    <row r="26" spans="1:24" ht="30.75" customHeight="1">
      <c r="B26" s="149"/>
      <c r="C26" s="149"/>
      <c r="D26" s="149"/>
      <c r="G26" s="149"/>
      <c r="H26" s="149"/>
      <c r="I26" s="149"/>
      <c r="L26" s="149"/>
      <c r="M26" s="149"/>
      <c r="N26" s="149"/>
      <c r="Q26" s="149"/>
      <c r="R26" s="149"/>
      <c r="S26" s="149"/>
      <c r="V26" s="149"/>
      <c r="W26" s="149"/>
      <c r="X26" s="149"/>
    </row>
    <row r="27" spans="1:24" ht="30.75" customHeight="1">
      <c r="B27" s="149"/>
      <c r="C27" s="149"/>
      <c r="D27" s="149"/>
      <c r="G27" s="149"/>
      <c r="H27" s="149"/>
      <c r="I27" s="149"/>
      <c r="L27" s="149"/>
      <c r="M27" s="149"/>
      <c r="N27" s="149"/>
      <c r="Q27" s="149"/>
      <c r="R27" s="149"/>
      <c r="S27" s="149"/>
      <c r="V27" s="149"/>
      <c r="W27" s="149"/>
      <c r="X27" s="149"/>
    </row>
    <row r="28" spans="1:24" ht="30.75" customHeight="1">
      <c r="B28" s="149"/>
      <c r="C28" s="149"/>
      <c r="D28" s="149"/>
      <c r="G28" s="149"/>
      <c r="H28" s="149"/>
      <c r="I28" s="149"/>
      <c r="L28" s="149"/>
      <c r="M28" s="149"/>
      <c r="N28" s="149"/>
      <c r="Q28" s="149"/>
      <c r="R28" s="149"/>
      <c r="S28" s="149"/>
      <c r="V28" s="149"/>
      <c r="W28" s="149"/>
      <c r="X28" s="149"/>
    </row>
    <row r="29" spans="1:24" ht="30.75" customHeight="1">
      <c r="B29" s="149"/>
      <c r="C29" s="149"/>
      <c r="D29" s="149"/>
      <c r="G29" s="149"/>
      <c r="H29" s="149"/>
      <c r="I29" s="149"/>
      <c r="L29" s="149"/>
      <c r="M29" s="149"/>
      <c r="N29" s="149"/>
      <c r="Q29" s="149"/>
      <c r="R29" s="149"/>
      <c r="S29" s="149"/>
      <c r="V29" s="149"/>
      <c r="W29" s="149"/>
      <c r="X29" s="149"/>
    </row>
    <row r="30" spans="1:24" ht="30.75" customHeight="1">
      <c r="B30" s="149"/>
      <c r="C30" s="149"/>
      <c r="D30" s="149"/>
      <c r="G30" s="149"/>
      <c r="H30" s="149"/>
      <c r="I30" s="149"/>
      <c r="L30" s="149"/>
      <c r="M30" s="149"/>
      <c r="N30" s="149"/>
      <c r="Q30" s="149"/>
      <c r="R30" s="149"/>
      <c r="S30" s="149"/>
      <c r="V30" s="149"/>
      <c r="W30" s="149"/>
      <c r="X30" s="149"/>
    </row>
  </sheetData>
  <mergeCells count="10">
    <mergeCell ref="Q4:S4"/>
    <mergeCell ref="Q13:S13"/>
    <mergeCell ref="V4:X4"/>
    <mergeCell ref="V13:X13"/>
    <mergeCell ref="B4:D4"/>
    <mergeCell ref="B13:D13"/>
    <mergeCell ref="G4:I4"/>
    <mergeCell ref="G13:I13"/>
    <mergeCell ref="L4:N4"/>
    <mergeCell ref="L13:N13"/>
  </mergeCells>
  <pageMargins left="0.31496062992125984" right="0" top="0.55118110236220474" bottom="0.55118110236220474" header="0.31496062992125984" footer="0.31496062992125984"/>
  <pageSetup paperSize="5" scale="65" orientation="landscape" horizontalDpi="4294967293" verticalDpi="0" r:id="rId1"/>
  <headerFooter>
    <oddHeader>&amp;C&amp;"TH SarabunPSK,ธรรมดา"&amp;16 20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535"/>
  <sheetViews>
    <sheetView zoomScale="60" zoomScaleNormal="60" workbookViewId="0">
      <selection sqref="A1:XFD1048576"/>
    </sheetView>
  </sheetViews>
  <sheetFormatPr defaultColWidth="9.140625" defaultRowHeight="17.25" customHeight="1"/>
  <cols>
    <col min="1" max="1" width="21.28515625" style="81" customWidth="1"/>
    <col min="2" max="2" width="12.42578125" style="81" customWidth="1"/>
    <col min="3" max="3" width="11.140625" style="81" customWidth="1"/>
    <col min="4" max="4" width="11" style="81" customWidth="1"/>
    <col min="5" max="5" width="1.5703125" style="81" customWidth="1"/>
    <col min="6" max="6" width="21.7109375" style="81" customWidth="1"/>
    <col min="7" max="7" width="11.42578125" style="81" customWidth="1"/>
    <col min="8" max="8" width="9.5703125" style="81" customWidth="1"/>
    <col min="9" max="9" width="9.85546875" style="81" customWidth="1"/>
    <col min="10" max="10" width="1.140625" style="81" customWidth="1"/>
    <col min="11" max="11" width="23.42578125" style="81" customWidth="1"/>
    <col min="12" max="12" width="11.28515625" style="81" customWidth="1"/>
    <col min="13" max="13" width="10.42578125" style="81" customWidth="1"/>
    <col min="14" max="14" width="11.140625" style="81" customWidth="1"/>
    <col min="15" max="15" width="2.28515625" style="81" customWidth="1"/>
    <col min="16" max="16" width="21" style="127" customWidth="1"/>
    <col min="17" max="17" width="12.5703125" style="81" customWidth="1"/>
    <col min="18" max="19" width="9.140625" style="81"/>
    <col min="20" max="20" width="2.42578125" style="81" customWidth="1"/>
    <col min="21" max="21" width="18.7109375" style="127" customWidth="1"/>
    <col min="22" max="22" width="11.5703125" style="81" customWidth="1"/>
    <col min="23" max="23" width="9.140625" style="81" customWidth="1"/>
    <col min="24" max="24" width="10" style="81" customWidth="1"/>
    <col min="25" max="16384" width="9.140625" style="81"/>
  </cols>
  <sheetData>
    <row r="1" spans="1:24" s="113" customFormat="1" ht="36.75" customHeight="1">
      <c r="A1" s="113" t="s">
        <v>102</v>
      </c>
      <c r="B1" s="131"/>
      <c r="C1" s="131"/>
      <c r="D1" s="131"/>
      <c r="G1" s="131"/>
      <c r="H1" s="131"/>
      <c r="I1" s="131"/>
      <c r="L1" s="131"/>
      <c r="M1" s="131"/>
      <c r="N1" s="131"/>
      <c r="P1" s="124"/>
      <c r="Q1" s="131"/>
      <c r="R1" s="131"/>
      <c r="S1" s="131"/>
      <c r="U1" s="124"/>
      <c r="V1" s="131"/>
      <c r="W1" s="131"/>
      <c r="X1" s="13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211" customFormat="1" ht="30.75" customHeight="1">
      <c r="A3" s="209" t="s">
        <v>101</v>
      </c>
      <c r="B3" s="210" t="s">
        <v>0</v>
      </c>
      <c r="C3" s="210" t="s">
        <v>1</v>
      </c>
      <c r="D3" s="210" t="s">
        <v>2</v>
      </c>
      <c r="F3" s="209" t="s">
        <v>101</v>
      </c>
      <c r="G3" s="210" t="s">
        <v>0</v>
      </c>
      <c r="H3" s="210" t="s">
        <v>1</v>
      </c>
      <c r="I3" s="210" t="s">
        <v>2</v>
      </c>
      <c r="K3" s="209" t="s">
        <v>101</v>
      </c>
      <c r="L3" s="210" t="s">
        <v>0</v>
      </c>
      <c r="M3" s="210" t="s">
        <v>1</v>
      </c>
      <c r="N3" s="210" t="s">
        <v>2</v>
      </c>
      <c r="P3" s="209" t="s">
        <v>101</v>
      </c>
      <c r="Q3" s="210" t="s">
        <v>0</v>
      </c>
      <c r="R3" s="210" t="s">
        <v>1</v>
      </c>
      <c r="S3" s="210" t="s">
        <v>2</v>
      </c>
      <c r="U3" s="209" t="s">
        <v>101</v>
      </c>
      <c r="V3" s="210" t="s">
        <v>0</v>
      </c>
      <c r="W3" s="210" t="s">
        <v>1</v>
      </c>
      <c r="X3" s="210" t="s">
        <v>2</v>
      </c>
    </row>
    <row r="4" spans="1:24" s="92" customFormat="1" ht="24.6" customHeight="1">
      <c r="A4" s="118"/>
      <c r="B4" s="672" t="s">
        <v>21</v>
      </c>
      <c r="C4" s="672"/>
      <c r="D4" s="672"/>
      <c r="F4" s="118"/>
      <c r="G4" s="672" t="s">
        <v>21</v>
      </c>
      <c r="H4" s="672"/>
      <c r="I4" s="672"/>
      <c r="K4" s="118"/>
      <c r="L4" s="672" t="s">
        <v>21</v>
      </c>
      <c r="M4" s="672"/>
      <c r="N4" s="672"/>
      <c r="P4" s="152"/>
      <c r="Q4" s="672" t="s">
        <v>21</v>
      </c>
      <c r="R4" s="672"/>
      <c r="S4" s="672"/>
      <c r="U4" s="152"/>
      <c r="V4" s="672" t="s">
        <v>21</v>
      </c>
      <c r="W4" s="672"/>
      <c r="X4" s="672"/>
    </row>
    <row r="5" spans="1:24" s="92" customFormat="1" ht="24.6" customHeight="1">
      <c r="A5" s="88" t="s">
        <v>38</v>
      </c>
      <c r="B5" s="135">
        <v>1184151</v>
      </c>
      <c r="C5" s="135">
        <v>650780</v>
      </c>
      <c r="D5" s="135">
        <v>533371</v>
      </c>
      <c r="F5" s="88" t="s">
        <v>38</v>
      </c>
      <c r="G5" s="136">
        <v>1171095</v>
      </c>
      <c r="H5" s="136">
        <v>644778</v>
      </c>
      <c r="I5" s="136">
        <v>526317</v>
      </c>
      <c r="K5" s="88" t="s">
        <v>38</v>
      </c>
      <c r="L5" s="136">
        <v>1164344</v>
      </c>
      <c r="M5" s="136">
        <v>655575</v>
      </c>
      <c r="N5" s="136">
        <v>508769</v>
      </c>
      <c r="P5" s="126" t="s">
        <v>38</v>
      </c>
      <c r="Q5" s="136">
        <v>1198717</v>
      </c>
      <c r="R5" s="136">
        <v>654869</v>
      </c>
      <c r="S5" s="136">
        <v>543848</v>
      </c>
      <c r="U5" s="126" t="s">
        <v>38</v>
      </c>
      <c r="V5" s="137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ht="4.1500000000000004" customHeight="1">
      <c r="A6" s="138"/>
      <c r="B6" s="139"/>
      <c r="C6" s="140"/>
      <c r="D6" s="135"/>
      <c r="E6" s="92"/>
      <c r="F6" s="88"/>
      <c r="G6" s="141"/>
      <c r="H6" s="141"/>
      <c r="I6" s="141"/>
      <c r="J6" s="92"/>
      <c r="K6" s="88"/>
      <c r="L6" s="141"/>
      <c r="M6" s="141"/>
      <c r="N6" s="141"/>
      <c r="O6" s="92"/>
      <c r="P6" s="126"/>
      <c r="Q6" s="141"/>
      <c r="R6" s="141"/>
      <c r="S6" s="141"/>
      <c r="T6" s="92"/>
      <c r="U6" s="126"/>
      <c r="V6" s="141"/>
      <c r="W6" s="141"/>
      <c r="X6" s="141"/>
    </row>
    <row r="7" spans="1:24" ht="20.45" customHeight="1">
      <c r="A7" s="127" t="s">
        <v>100</v>
      </c>
      <c r="B7" s="139">
        <v>30317</v>
      </c>
      <c r="C7" s="139">
        <v>22586</v>
      </c>
      <c r="D7" s="139">
        <v>7731</v>
      </c>
      <c r="F7" s="127" t="s">
        <v>100</v>
      </c>
      <c r="G7" s="74">
        <v>19002</v>
      </c>
      <c r="H7" s="74">
        <v>8962</v>
      </c>
      <c r="I7" s="74">
        <v>10040</v>
      </c>
      <c r="K7" s="127" t="s">
        <v>100</v>
      </c>
      <c r="L7" s="74">
        <v>8908</v>
      </c>
      <c r="M7" s="74">
        <v>2401</v>
      </c>
      <c r="N7" s="74">
        <v>6507</v>
      </c>
      <c r="P7" s="127" t="s">
        <v>100</v>
      </c>
      <c r="Q7" s="74">
        <v>9183</v>
      </c>
      <c r="R7" s="74">
        <v>7636</v>
      </c>
      <c r="S7" s="74">
        <v>1547</v>
      </c>
      <c r="U7" s="127" t="s">
        <v>100</v>
      </c>
      <c r="V7" s="150">
        <f>(B7+G7+L7+Q7)/4</f>
        <v>16852.5</v>
      </c>
      <c r="W7" s="150">
        <f>(C7+H7+M7+R7)/4</f>
        <v>10396.25</v>
      </c>
      <c r="X7" s="150">
        <f>(D7+I7+N7+S7)/4</f>
        <v>6456.25</v>
      </c>
    </row>
    <row r="8" spans="1:24" ht="20.45" customHeight="1">
      <c r="A8" s="127" t="s">
        <v>99</v>
      </c>
      <c r="B8" s="139">
        <v>8458</v>
      </c>
      <c r="C8" s="139">
        <v>1335</v>
      </c>
      <c r="D8" s="139">
        <v>7123</v>
      </c>
      <c r="F8" s="127" t="s">
        <v>99</v>
      </c>
      <c r="G8" s="74">
        <v>388</v>
      </c>
      <c r="H8" s="74">
        <v>388</v>
      </c>
      <c r="I8" s="165">
        <v>0</v>
      </c>
      <c r="K8" s="127" t="s">
        <v>99</v>
      </c>
      <c r="L8" s="74">
        <v>4980</v>
      </c>
      <c r="M8" s="74">
        <v>1280</v>
      </c>
      <c r="N8" s="74">
        <v>3700</v>
      </c>
      <c r="P8" s="127" t="s">
        <v>99</v>
      </c>
      <c r="Q8" s="74">
        <v>5577</v>
      </c>
      <c r="R8" s="74">
        <v>1235</v>
      </c>
      <c r="S8" s="74">
        <v>4342</v>
      </c>
      <c r="U8" s="127" t="s">
        <v>99</v>
      </c>
      <c r="V8" s="150">
        <f t="shared" ref="V8:V14" si="0">(B8+G8+L8+Q8)/4</f>
        <v>4850.75</v>
      </c>
      <c r="W8" s="150">
        <f t="shared" ref="W8:W14" si="1">(C8+H8+M8+R8)/4</f>
        <v>1059.5</v>
      </c>
      <c r="X8" s="150">
        <f t="shared" ref="X8:X14" si="2">(D8+I8+N8+S8)/4</f>
        <v>3791.25</v>
      </c>
    </row>
    <row r="9" spans="1:24" ht="20.45" customHeight="1">
      <c r="A9" s="142" t="s">
        <v>98</v>
      </c>
      <c r="B9" s="139">
        <v>45124</v>
      </c>
      <c r="C9" s="139">
        <v>27473</v>
      </c>
      <c r="D9" s="139">
        <v>17651</v>
      </c>
      <c r="F9" s="142" t="s">
        <v>98</v>
      </c>
      <c r="G9" s="74">
        <v>46686</v>
      </c>
      <c r="H9" s="74">
        <v>28856</v>
      </c>
      <c r="I9" s="74">
        <v>17830</v>
      </c>
      <c r="K9" s="142" t="s">
        <v>98</v>
      </c>
      <c r="L9" s="74">
        <v>85610</v>
      </c>
      <c r="M9" s="74">
        <v>60023</v>
      </c>
      <c r="N9" s="74">
        <v>25587</v>
      </c>
      <c r="P9" s="142" t="s">
        <v>98</v>
      </c>
      <c r="Q9" s="74">
        <v>53659</v>
      </c>
      <c r="R9" s="74">
        <v>35261</v>
      </c>
      <c r="S9" s="74">
        <v>18398</v>
      </c>
      <c r="U9" s="142" t="s">
        <v>98</v>
      </c>
      <c r="V9" s="150">
        <f t="shared" si="0"/>
        <v>57769.75</v>
      </c>
      <c r="W9" s="150">
        <f t="shared" si="1"/>
        <v>37903.25</v>
      </c>
      <c r="X9" s="150">
        <f t="shared" si="2"/>
        <v>19866.5</v>
      </c>
    </row>
    <row r="10" spans="1:24" ht="20.45" customHeight="1">
      <c r="A10" s="127" t="s">
        <v>97</v>
      </c>
      <c r="B10" s="139">
        <v>107197</v>
      </c>
      <c r="C10" s="139">
        <v>60329</v>
      </c>
      <c r="D10" s="139">
        <v>46868</v>
      </c>
      <c r="F10" s="127" t="s">
        <v>97</v>
      </c>
      <c r="G10" s="74">
        <v>122244</v>
      </c>
      <c r="H10" s="74">
        <v>79348</v>
      </c>
      <c r="I10" s="74">
        <v>42896</v>
      </c>
      <c r="K10" s="127" t="s">
        <v>97</v>
      </c>
      <c r="L10" s="74">
        <v>71948</v>
      </c>
      <c r="M10" s="74">
        <v>44433</v>
      </c>
      <c r="N10" s="74">
        <v>27515</v>
      </c>
      <c r="P10" s="127" t="s">
        <v>97</v>
      </c>
      <c r="Q10" s="74">
        <v>90521</v>
      </c>
      <c r="R10" s="74">
        <v>51424</v>
      </c>
      <c r="S10" s="74">
        <v>39097</v>
      </c>
      <c r="U10" s="127" t="s">
        <v>97</v>
      </c>
      <c r="V10" s="150">
        <f t="shared" si="0"/>
        <v>97977.5</v>
      </c>
      <c r="W10" s="150">
        <f t="shared" si="1"/>
        <v>58883.5</v>
      </c>
      <c r="X10" s="150">
        <f t="shared" si="2"/>
        <v>39094</v>
      </c>
    </row>
    <row r="11" spans="1:24" ht="20.45" customHeight="1">
      <c r="A11" s="127" t="s">
        <v>96</v>
      </c>
      <c r="B11" s="139">
        <v>71752</v>
      </c>
      <c r="C11" s="139">
        <v>36639</v>
      </c>
      <c r="D11" s="139">
        <v>35113</v>
      </c>
      <c r="F11" s="127" t="s">
        <v>96</v>
      </c>
      <c r="G11" s="74">
        <v>73411</v>
      </c>
      <c r="H11" s="74">
        <v>43881</v>
      </c>
      <c r="I11" s="74">
        <v>29530</v>
      </c>
      <c r="K11" s="127" t="s">
        <v>96</v>
      </c>
      <c r="L11" s="74">
        <v>89647</v>
      </c>
      <c r="M11" s="74">
        <v>50703</v>
      </c>
      <c r="N11" s="74">
        <v>38944</v>
      </c>
      <c r="P11" s="127" t="s">
        <v>96</v>
      </c>
      <c r="Q11" s="74">
        <v>140691</v>
      </c>
      <c r="R11" s="74">
        <v>82872</v>
      </c>
      <c r="S11" s="74">
        <v>57819</v>
      </c>
      <c r="U11" s="127" t="s">
        <v>96</v>
      </c>
      <c r="V11" s="150">
        <f t="shared" si="0"/>
        <v>93875.25</v>
      </c>
      <c r="W11" s="150">
        <f t="shared" si="1"/>
        <v>53523.75</v>
      </c>
      <c r="X11" s="150">
        <f t="shared" si="2"/>
        <v>40351.5</v>
      </c>
    </row>
    <row r="12" spans="1:24" ht="20.45" customHeight="1">
      <c r="A12" s="127" t="s">
        <v>95</v>
      </c>
      <c r="B12" s="139">
        <v>155320</v>
      </c>
      <c r="C12" s="139">
        <v>76573</v>
      </c>
      <c r="D12" s="139">
        <v>78747</v>
      </c>
      <c r="F12" s="127" t="s">
        <v>95</v>
      </c>
      <c r="G12" s="74">
        <v>133850</v>
      </c>
      <c r="H12" s="74">
        <v>58890</v>
      </c>
      <c r="I12" s="74">
        <v>74960</v>
      </c>
      <c r="K12" s="127" t="s">
        <v>95</v>
      </c>
      <c r="L12" s="74">
        <v>185993</v>
      </c>
      <c r="M12" s="74">
        <v>84856</v>
      </c>
      <c r="N12" s="74">
        <v>101137</v>
      </c>
      <c r="P12" s="127" t="s">
        <v>95</v>
      </c>
      <c r="Q12" s="74">
        <v>183179</v>
      </c>
      <c r="R12" s="74">
        <v>94007</v>
      </c>
      <c r="S12" s="74">
        <v>89172</v>
      </c>
      <c r="U12" s="127" t="s">
        <v>95</v>
      </c>
      <c r="V12" s="150">
        <f t="shared" si="0"/>
        <v>164585.5</v>
      </c>
      <c r="W12" s="150">
        <f t="shared" si="1"/>
        <v>78581.5</v>
      </c>
      <c r="X12" s="150">
        <f t="shared" si="2"/>
        <v>86004</v>
      </c>
    </row>
    <row r="13" spans="1:24" ht="20.45" customHeight="1">
      <c r="A13" s="127" t="s">
        <v>94</v>
      </c>
      <c r="B13" s="139">
        <v>579512</v>
      </c>
      <c r="C13" s="139">
        <v>333094</v>
      </c>
      <c r="D13" s="139">
        <v>246418</v>
      </c>
      <c r="F13" s="127" t="s">
        <v>94</v>
      </c>
      <c r="G13" s="74">
        <v>555670</v>
      </c>
      <c r="H13" s="74">
        <v>324299</v>
      </c>
      <c r="I13" s="74">
        <v>231371</v>
      </c>
      <c r="K13" s="127" t="s">
        <v>94</v>
      </c>
      <c r="L13" s="74">
        <v>542246</v>
      </c>
      <c r="M13" s="74">
        <v>316706</v>
      </c>
      <c r="N13" s="74">
        <v>225540</v>
      </c>
      <c r="P13" s="127" t="s">
        <v>94</v>
      </c>
      <c r="Q13" s="74">
        <v>551226</v>
      </c>
      <c r="R13" s="74">
        <v>315601</v>
      </c>
      <c r="S13" s="74">
        <v>235625</v>
      </c>
      <c r="U13" s="127" t="s">
        <v>94</v>
      </c>
      <c r="V13" s="150">
        <f t="shared" si="0"/>
        <v>557163.5</v>
      </c>
      <c r="W13" s="150">
        <f t="shared" si="1"/>
        <v>322425</v>
      </c>
      <c r="X13" s="150">
        <f t="shared" si="2"/>
        <v>234738.5</v>
      </c>
    </row>
    <row r="14" spans="1:24" ht="20.45" customHeight="1">
      <c r="A14" s="143" t="s">
        <v>93</v>
      </c>
      <c r="B14" s="139">
        <v>186471</v>
      </c>
      <c r="C14" s="139">
        <v>92751</v>
      </c>
      <c r="D14" s="139">
        <v>93720</v>
      </c>
      <c r="F14" s="143" t="s">
        <v>93</v>
      </c>
      <c r="G14" s="74">
        <v>219844</v>
      </c>
      <c r="H14" s="74">
        <v>100154</v>
      </c>
      <c r="I14" s="74">
        <v>119690</v>
      </c>
      <c r="K14" s="143" t="s">
        <v>93</v>
      </c>
      <c r="L14" s="74">
        <v>175012</v>
      </c>
      <c r="M14" s="74">
        <v>95173</v>
      </c>
      <c r="N14" s="74">
        <v>79839</v>
      </c>
      <c r="P14" s="143" t="s">
        <v>93</v>
      </c>
      <c r="Q14" s="74">
        <v>164681</v>
      </c>
      <c r="R14" s="74">
        <v>66833</v>
      </c>
      <c r="S14" s="74">
        <v>97848</v>
      </c>
      <c r="U14" s="143" t="s">
        <v>93</v>
      </c>
      <c r="V14" s="150">
        <f t="shared" si="0"/>
        <v>186502</v>
      </c>
      <c r="W14" s="150">
        <f t="shared" si="1"/>
        <v>88727.75</v>
      </c>
      <c r="X14" s="150">
        <f t="shared" si="2"/>
        <v>97774.25</v>
      </c>
    </row>
    <row r="15" spans="1:24" ht="20.45" customHeight="1">
      <c r="B15" s="673" t="s">
        <v>20</v>
      </c>
      <c r="C15" s="673"/>
      <c r="D15" s="673"/>
      <c r="G15" s="673" t="s">
        <v>20</v>
      </c>
      <c r="H15" s="673"/>
      <c r="I15" s="673"/>
      <c r="L15" s="673" t="s">
        <v>20</v>
      </c>
      <c r="M15" s="673"/>
      <c r="N15" s="673"/>
      <c r="Q15" s="673" t="s">
        <v>20</v>
      </c>
      <c r="R15" s="673"/>
      <c r="S15" s="673"/>
      <c r="V15" s="673" t="s">
        <v>20</v>
      </c>
      <c r="W15" s="673"/>
      <c r="X15" s="673"/>
    </row>
    <row r="16" spans="1:24" s="60" customFormat="1" ht="18" customHeight="1">
      <c r="A16" s="68" t="s">
        <v>38</v>
      </c>
      <c r="B16" s="69">
        <f>B5/$B$5*100</f>
        <v>100</v>
      </c>
      <c r="C16" s="69">
        <f>C5/$C$5*100</f>
        <v>100</v>
      </c>
      <c r="D16" s="69">
        <f>D5/$D$5*100</f>
        <v>100</v>
      </c>
      <c r="E16" s="50"/>
      <c r="F16" s="68" t="s">
        <v>38</v>
      </c>
      <c r="G16" s="67">
        <f>G5*100/$G$5</f>
        <v>100</v>
      </c>
      <c r="H16" s="67">
        <f>H5*100/$H$5</f>
        <v>100</v>
      </c>
      <c r="I16" s="67">
        <f>I5*100/$I$5</f>
        <v>100</v>
      </c>
      <c r="K16" s="68" t="s">
        <v>38</v>
      </c>
      <c r="L16" s="67">
        <f>L5*100/$L$5</f>
        <v>100</v>
      </c>
      <c r="M16" s="67">
        <f>M5*100/$M$5</f>
        <v>100</v>
      </c>
      <c r="N16" s="67">
        <f>N5*100/$N$5</f>
        <v>100</v>
      </c>
      <c r="P16" s="68" t="s">
        <v>38</v>
      </c>
      <c r="Q16" s="193">
        <f>Q5*100/$Q$5</f>
        <v>100</v>
      </c>
      <c r="R16" s="193">
        <f>R5*100/$R$5</f>
        <v>100</v>
      </c>
      <c r="S16" s="193">
        <f>S5*100/$S$5</f>
        <v>100</v>
      </c>
      <c r="U16" s="68" t="s">
        <v>38</v>
      </c>
      <c r="V16" s="193">
        <f>V5*100/$V$5</f>
        <v>100</v>
      </c>
      <c r="W16" s="193">
        <f>W5*100/$W$5</f>
        <v>100</v>
      </c>
      <c r="X16" s="193">
        <f>X5*100/$X$5</f>
        <v>100</v>
      </c>
    </row>
    <row r="17" spans="1:24" s="92" customFormat="1" ht="6" customHeight="1">
      <c r="A17" s="88"/>
      <c r="B17" s="115"/>
      <c r="C17" s="115"/>
      <c r="D17" s="115"/>
      <c r="F17" s="88"/>
      <c r="G17" s="115"/>
      <c r="H17" s="115"/>
      <c r="I17" s="115"/>
      <c r="K17" s="88"/>
      <c r="L17" s="115"/>
      <c r="M17" s="115"/>
      <c r="N17" s="115"/>
      <c r="P17" s="126"/>
      <c r="Q17" s="130"/>
      <c r="R17" s="130"/>
      <c r="S17" s="130"/>
      <c r="U17" s="126"/>
      <c r="V17" s="130"/>
      <c r="W17" s="130"/>
      <c r="X17" s="130"/>
    </row>
    <row r="18" spans="1:24" ht="20.45" customHeight="1">
      <c r="A18" s="127" t="s">
        <v>100</v>
      </c>
      <c r="B18" s="144">
        <f t="shared" ref="B18:B25" si="3">B7*100/$B$5</f>
        <v>2.5602309164962915</v>
      </c>
      <c r="C18" s="144">
        <f t="shared" ref="C18:C25" si="4">C7*100/$C$5</f>
        <v>3.4706045053627954</v>
      </c>
      <c r="D18" s="144">
        <f t="shared" ref="D18:D25" si="5">D7*100/$D$5</f>
        <v>1.4494601318781861</v>
      </c>
      <c r="F18" s="127" t="s">
        <v>100</v>
      </c>
      <c r="G18" s="144">
        <f>G7*100/$B$5</f>
        <v>1.6046939959515298</v>
      </c>
      <c r="H18" s="144">
        <f>H7*100/$C$5</f>
        <v>1.3771166907403423</v>
      </c>
      <c r="I18" s="144">
        <f>I7*100/$D$5</f>
        <v>1.882367057826541</v>
      </c>
      <c r="K18" s="127" t="s">
        <v>100</v>
      </c>
      <c r="L18" s="144">
        <f>L7*100/$B$5</f>
        <v>0.75226892516241595</v>
      </c>
      <c r="M18" s="144">
        <f>M7*100/$C$5</f>
        <v>0.36894188512246845</v>
      </c>
      <c r="N18" s="144">
        <f>N7*100/$D$5</f>
        <v>1.2199763391710461</v>
      </c>
      <c r="P18" s="127" t="s">
        <v>100</v>
      </c>
      <c r="Q18" s="145">
        <f t="shared" ref="Q18:Q25" si="6">Q7*100/$B$5</f>
        <v>0.77549231474702129</v>
      </c>
      <c r="R18" s="145">
        <f>R7*100/$C$5</f>
        <v>1.1733611973324318</v>
      </c>
      <c r="S18" s="145">
        <f t="shared" ref="S18:S25" si="7">S7*100/$D$5</f>
        <v>0.29004201578263533</v>
      </c>
      <c r="U18" s="127" t="s">
        <v>100</v>
      </c>
      <c r="V18" s="145">
        <f t="shared" ref="V18:V25" si="8">V7*100/$B$5</f>
        <v>1.4231715380893146</v>
      </c>
      <c r="W18" s="145">
        <f>W7*100/$C$5</f>
        <v>1.5975060696395096</v>
      </c>
      <c r="X18" s="145">
        <f t="shared" ref="X18:X23" si="9">X7*100/$D$5</f>
        <v>1.2104613861646021</v>
      </c>
    </row>
    <row r="19" spans="1:24" ht="20.45" customHeight="1">
      <c r="A19" s="127" t="s">
        <v>99</v>
      </c>
      <c r="B19" s="144">
        <f t="shared" si="3"/>
        <v>0.71426701493306177</v>
      </c>
      <c r="C19" s="144">
        <f t="shared" si="4"/>
        <v>0.20513844924552077</v>
      </c>
      <c r="D19" s="144">
        <f t="shared" si="5"/>
        <v>1.3354681825596066</v>
      </c>
      <c r="F19" s="127" t="s">
        <v>99</v>
      </c>
      <c r="G19" s="144">
        <f t="shared" ref="G19:G25" si="10">G8*100/$B$5</f>
        <v>3.2766091486643174E-2</v>
      </c>
      <c r="H19" s="144">
        <f t="shared" ref="H19:H25" si="11">H8*100/$C$5</f>
        <v>5.9620762776975325E-2</v>
      </c>
      <c r="I19" s="144">
        <f t="shared" ref="I19:I25" si="12">I8*100/$D$5</f>
        <v>0</v>
      </c>
      <c r="K19" s="127" t="s">
        <v>99</v>
      </c>
      <c r="L19" s="144">
        <f t="shared" ref="L19:L25" si="13">L8*100/$B$5</f>
        <v>0.42055447320485312</v>
      </c>
      <c r="M19" s="144">
        <f t="shared" ref="M19:M25" si="14">M8*100/$C$5</f>
        <v>0.19668705246012477</v>
      </c>
      <c r="N19" s="144">
        <f t="shared" ref="N19:N25" si="15">N8*100/$D$5</f>
        <v>0.69370100736635476</v>
      </c>
      <c r="P19" s="127" t="s">
        <v>99</v>
      </c>
      <c r="Q19" s="145">
        <f t="shared" si="6"/>
        <v>0.4709703407757963</v>
      </c>
      <c r="R19" s="145">
        <f t="shared" ref="R19:R25" si="16">R8*100/$C$5</f>
        <v>0.18977227327207352</v>
      </c>
      <c r="S19" s="145">
        <f t="shared" si="7"/>
        <v>0.81406750648235471</v>
      </c>
      <c r="U19" s="127" t="s">
        <v>99</v>
      </c>
      <c r="V19" s="145">
        <f t="shared" si="8"/>
        <v>0.4096394801000886</v>
      </c>
      <c r="W19" s="145">
        <f>W8*100/$C$5</f>
        <v>0.1628046344386736</v>
      </c>
      <c r="X19" s="145">
        <f t="shared" si="9"/>
        <v>0.710809174102079</v>
      </c>
    </row>
    <row r="20" spans="1:24" ht="20.45" customHeight="1">
      <c r="A20" s="142" t="s">
        <v>98</v>
      </c>
      <c r="B20" s="144">
        <f t="shared" si="3"/>
        <v>3.8106626604208418</v>
      </c>
      <c r="C20" s="144">
        <f t="shared" si="4"/>
        <v>4.2215495251851625</v>
      </c>
      <c r="D20" s="144">
        <f t="shared" si="5"/>
        <v>3.3093287786550074</v>
      </c>
      <c r="F20" s="142" t="s">
        <v>98</v>
      </c>
      <c r="G20" s="144">
        <f t="shared" si="10"/>
        <v>3.9425715132614001</v>
      </c>
      <c r="H20" s="144">
        <f t="shared" si="11"/>
        <v>4.4340637388979376</v>
      </c>
      <c r="I20" s="144">
        <f t="shared" si="12"/>
        <v>3.3428889084708393</v>
      </c>
      <c r="K20" s="142" t="s">
        <v>98</v>
      </c>
      <c r="L20" s="144">
        <f t="shared" si="13"/>
        <v>7.2296522994111392</v>
      </c>
      <c r="M20" s="144">
        <f t="shared" si="14"/>
        <v>9.2232398045422421</v>
      </c>
      <c r="N20" s="144">
        <f t="shared" si="15"/>
        <v>4.7972236960764647</v>
      </c>
      <c r="P20" s="142" t="s">
        <v>98</v>
      </c>
      <c r="Q20" s="145">
        <f t="shared" si="6"/>
        <v>4.5314322244375926</v>
      </c>
      <c r="R20" s="145">
        <f t="shared" si="16"/>
        <v>5.4182673099972343</v>
      </c>
      <c r="S20" s="145">
        <f t="shared" si="7"/>
        <v>3.4493813874395123</v>
      </c>
      <c r="U20" s="142" t="s">
        <v>98</v>
      </c>
      <c r="V20" s="145">
        <f>V9*100/$B$5</f>
        <v>4.8785796743827436</v>
      </c>
      <c r="W20" s="145">
        <f t="shared" ref="W20:W25" si="17">W9*100/$C$5</f>
        <v>5.8242800946556441</v>
      </c>
      <c r="X20" s="145">
        <f t="shared" si="9"/>
        <v>3.7247056926604558</v>
      </c>
    </row>
    <row r="21" spans="1:24" ht="20.45" customHeight="1">
      <c r="A21" s="127" t="s">
        <v>97</v>
      </c>
      <c r="B21" s="144">
        <f t="shared" si="3"/>
        <v>9.0526461574579589</v>
      </c>
      <c r="C21" s="144">
        <f t="shared" si="4"/>
        <v>9.27026030302099</v>
      </c>
      <c r="D21" s="144">
        <f t="shared" si="5"/>
        <v>8.787129408985491</v>
      </c>
      <c r="F21" s="127" t="s">
        <v>97</v>
      </c>
      <c r="G21" s="144">
        <f t="shared" si="10"/>
        <v>10.323345586838165</v>
      </c>
      <c r="H21" s="144">
        <f t="shared" si="11"/>
        <v>12.192753311410922</v>
      </c>
      <c r="I21" s="144">
        <f t="shared" si="12"/>
        <v>8.0424320032397709</v>
      </c>
      <c r="K21" s="127" t="s">
        <v>97</v>
      </c>
      <c r="L21" s="144">
        <f t="shared" si="13"/>
        <v>6.075914304847946</v>
      </c>
      <c r="M21" s="144">
        <f t="shared" si="14"/>
        <v>6.8276529702818154</v>
      </c>
      <c r="N21" s="144">
        <f t="shared" si="15"/>
        <v>5.15869816694196</v>
      </c>
      <c r="P21" s="127" t="s">
        <v>97</v>
      </c>
      <c r="Q21" s="145">
        <f t="shared" si="6"/>
        <v>7.6443798130474914</v>
      </c>
      <c r="R21" s="145">
        <f t="shared" si="16"/>
        <v>7.9019023325855127</v>
      </c>
      <c r="S21" s="145">
        <f t="shared" si="7"/>
        <v>7.3301698067573975</v>
      </c>
      <c r="U21" s="127" t="s">
        <v>97</v>
      </c>
      <c r="V21" s="145">
        <f>V10*100/$B$5-0.05</f>
        <v>8.2240714655478904</v>
      </c>
      <c r="W21" s="145">
        <f>W10*100/$C$5-0.05</f>
        <v>8.9981422293248094</v>
      </c>
      <c r="X21" s="145">
        <f t="shared" si="9"/>
        <v>7.3296073464811551</v>
      </c>
    </row>
    <row r="22" spans="1:24" ht="20.45" customHeight="1">
      <c r="A22" s="127" t="s">
        <v>96</v>
      </c>
      <c r="B22" s="144">
        <f t="shared" si="3"/>
        <v>6.0593623617258272</v>
      </c>
      <c r="C22" s="144">
        <f t="shared" si="4"/>
        <v>5.6300132149113375</v>
      </c>
      <c r="D22" s="144">
        <f t="shared" si="5"/>
        <v>6.5832225599067069</v>
      </c>
      <c r="F22" s="127" t="s">
        <v>96</v>
      </c>
      <c r="G22" s="144">
        <f t="shared" si="10"/>
        <v>6.1994627374380462</v>
      </c>
      <c r="H22" s="144">
        <f t="shared" si="11"/>
        <v>6.7428316789083871</v>
      </c>
      <c r="I22" s="144">
        <f t="shared" si="12"/>
        <v>5.536483985818502</v>
      </c>
      <c r="K22" s="127" t="s">
        <v>96</v>
      </c>
      <c r="L22" s="144">
        <f t="shared" si="13"/>
        <v>7.5705716585131455</v>
      </c>
      <c r="M22" s="144">
        <f t="shared" si="14"/>
        <v>7.791112203816958</v>
      </c>
      <c r="N22" s="144">
        <f t="shared" si="15"/>
        <v>7.3014843326690055</v>
      </c>
      <c r="P22" s="127" t="s">
        <v>96</v>
      </c>
      <c r="Q22" s="145">
        <f t="shared" si="6"/>
        <v>11.881170560173491</v>
      </c>
      <c r="R22" s="145">
        <f t="shared" si="16"/>
        <v>12.734257352715204</v>
      </c>
      <c r="S22" s="145">
        <f t="shared" si="7"/>
        <v>10.840296904031153</v>
      </c>
      <c r="U22" s="127" t="s">
        <v>96</v>
      </c>
      <c r="V22" s="145">
        <f t="shared" si="8"/>
        <v>7.9276418294626279</v>
      </c>
      <c r="W22" s="145">
        <f>W11*100/$C$5-0.05</f>
        <v>8.174553612587971</v>
      </c>
      <c r="X22" s="145">
        <f t="shared" si="9"/>
        <v>7.5653719456063415</v>
      </c>
    </row>
    <row r="23" spans="1:24" ht="20.45" customHeight="1">
      <c r="A23" s="127" t="s">
        <v>95</v>
      </c>
      <c r="B23" s="144">
        <f t="shared" si="3"/>
        <v>13.116570437385096</v>
      </c>
      <c r="C23" s="144">
        <f t="shared" si="4"/>
        <v>11.766341928147762</v>
      </c>
      <c r="D23" s="144">
        <f t="shared" si="5"/>
        <v>14.764019791102253</v>
      </c>
      <c r="F23" s="127" t="s">
        <v>95</v>
      </c>
      <c r="G23" s="144">
        <f t="shared" si="10"/>
        <v>11.303457075997908</v>
      </c>
      <c r="H23" s="144">
        <f t="shared" si="11"/>
        <v>9.0491410307630851</v>
      </c>
      <c r="I23" s="144">
        <f t="shared" si="12"/>
        <v>14.054007435724852</v>
      </c>
      <c r="K23" s="127" t="s">
        <v>95</v>
      </c>
      <c r="L23" s="144">
        <f t="shared" si="13"/>
        <v>15.706865087307278</v>
      </c>
      <c r="M23" s="144">
        <f t="shared" si="14"/>
        <v>13.039122284028396</v>
      </c>
      <c r="N23" s="144">
        <f t="shared" si="15"/>
        <v>18.961848319462437</v>
      </c>
      <c r="P23" s="127" t="s">
        <v>95</v>
      </c>
      <c r="Q23" s="145">
        <f t="shared" si="6"/>
        <v>15.469226475339717</v>
      </c>
      <c r="R23" s="145">
        <f t="shared" si="16"/>
        <v>14.445281047358554</v>
      </c>
      <c r="S23" s="145">
        <f t="shared" si="7"/>
        <v>16.718569251046645</v>
      </c>
      <c r="U23" s="127" t="s">
        <v>95</v>
      </c>
      <c r="V23" s="145">
        <f t="shared" si="8"/>
        <v>13.8990297690075</v>
      </c>
      <c r="W23" s="145">
        <f t="shared" si="17"/>
        <v>12.07497157257445</v>
      </c>
      <c r="X23" s="145">
        <f t="shared" si="9"/>
        <v>16.124611199334048</v>
      </c>
    </row>
    <row r="24" spans="1:24" ht="20.45" customHeight="1">
      <c r="A24" s="127" t="s">
        <v>94</v>
      </c>
      <c r="B24" s="144">
        <f t="shared" si="3"/>
        <v>48.939028890741127</v>
      </c>
      <c r="C24" s="144">
        <f t="shared" si="4"/>
        <v>51.183810196994379</v>
      </c>
      <c r="D24" s="144">
        <f t="shared" si="5"/>
        <v>46.20011211708173</v>
      </c>
      <c r="F24" s="127" t="s">
        <v>94</v>
      </c>
      <c r="G24" s="144">
        <f t="shared" si="10"/>
        <v>46.92560323810055</v>
      </c>
      <c r="H24" s="144">
        <f t="shared" si="11"/>
        <v>49.83235502012969</v>
      </c>
      <c r="I24" s="144">
        <f t="shared" si="12"/>
        <v>43.378998858205641</v>
      </c>
      <c r="K24" s="127" t="s">
        <v>94</v>
      </c>
      <c r="L24" s="144">
        <f t="shared" si="13"/>
        <v>45.791964031614214</v>
      </c>
      <c r="M24" s="144">
        <f t="shared" si="14"/>
        <v>48.665601278465843</v>
      </c>
      <c r="N24" s="144">
        <f t="shared" si="15"/>
        <v>42.285763567948017</v>
      </c>
      <c r="P24" s="127" t="s">
        <v>94</v>
      </c>
      <c r="Q24" s="145">
        <f t="shared" si="6"/>
        <v>46.550313262413326</v>
      </c>
      <c r="R24" s="145">
        <f t="shared" si="16"/>
        <v>48.49580503395925</v>
      </c>
      <c r="S24" s="145">
        <f t="shared" si="7"/>
        <v>44.176567529918202</v>
      </c>
      <c r="U24" s="127" t="s">
        <v>94</v>
      </c>
      <c r="V24" s="145">
        <f>V13*100/$B$5</f>
        <v>47.051727355717304</v>
      </c>
      <c r="W24" s="145">
        <f t="shared" si="17"/>
        <v>49.544392882387292</v>
      </c>
      <c r="X24" s="145">
        <f>X13*100/$D$5</f>
        <v>44.010360518288394</v>
      </c>
    </row>
    <row r="25" spans="1:24" ht="20.45" customHeight="1">
      <c r="A25" s="143" t="s">
        <v>93</v>
      </c>
      <c r="B25" s="144">
        <f t="shared" si="3"/>
        <v>15.747231560839792</v>
      </c>
      <c r="C25" s="144">
        <f t="shared" si="4"/>
        <v>14.252281877132058</v>
      </c>
      <c r="D25" s="144">
        <f t="shared" si="5"/>
        <v>17.571259029831019</v>
      </c>
      <c r="F25" s="143" t="s">
        <v>93</v>
      </c>
      <c r="G25" s="144">
        <f t="shared" si="10"/>
        <v>18.565537672138099</v>
      </c>
      <c r="H25" s="144">
        <f t="shared" si="11"/>
        <v>15.389839884446356</v>
      </c>
      <c r="I25" s="144">
        <f t="shared" si="12"/>
        <v>22.440290154507839</v>
      </c>
      <c r="K25" s="143" t="s">
        <v>93</v>
      </c>
      <c r="L25" s="144">
        <f t="shared" si="13"/>
        <v>14.779534029021637</v>
      </c>
      <c r="M25" s="144">
        <f t="shared" si="14"/>
        <v>14.62445065920895</v>
      </c>
      <c r="N25" s="144">
        <f t="shared" si="15"/>
        <v>14.968755331654702</v>
      </c>
      <c r="P25" s="143" t="s">
        <v>93</v>
      </c>
      <c r="Q25" s="145">
        <f t="shared" si="6"/>
        <v>13.907094618845063</v>
      </c>
      <c r="R25" s="145">
        <f t="shared" si="16"/>
        <v>10.269676388333998</v>
      </c>
      <c r="S25" s="145">
        <f t="shared" si="7"/>
        <v>18.345204369941374</v>
      </c>
      <c r="U25" s="143" t="s">
        <v>93</v>
      </c>
      <c r="V25" s="145">
        <f t="shared" si="8"/>
        <v>15.749849470211148</v>
      </c>
      <c r="W25" s="145">
        <f t="shared" si="17"/>
        <v>13.63406220228034</v>
      </c>
      <c r="X25" s="145">
        <f>X14*100/$D$5</f>
        <v>18.331377221483734</v>
      </c>
    </row>
    <row r="26" spans="1:24" ht="5.25" customHeight="1">
      <c r="A26" s="146"/>
      <c r="B26" s="146"/>
      <c r="C26" s="146"/>
      <c r="D26" s="146"/>
      <c r="F26" s="146"/>
      <c r="G26" s="146"/>
      <c r="H26" s="146"/>
      <c r="I26" s="146"/>
      <c r="K26" s="146"/>
      <c r="L26" s="146"/>
      <c r="M26" s="146"/>
      <c r="N26" s="146"/>
      <c r="P26" s="128"/>
      <c r="Q26" s="146"/>
      <c r="R26" s="146"/>
      <c r="S26" s="146"/>
      <c r="U26" s="128"/>
      <c r="V26" s="146"/>
      <c r="W26" s="146"/>
      <c r="X26" s="146"/>
    </row>
    <row r="27" spans="1:24" ht="6.75" customHeight="1"/>
    <row r="28" spans="1:24" ht="37.5" customHeight="1">
      <c r="A28" s="675" t="s">
        <v>92</v>
      </c>
      <c r="B28" s="675"/>
      <c r="D28" s="147"/>
      <c r="F28" s="674" t="s">
        <v>91</v>
      </c>
      <c r="G28" s="674"/>
      <c r="I28" s="147"/>
      <c r="K28" s="674" t="s">
        <v>91</v>
      </c>
      <c r="L28" s="674"/>
      <c r="N28" s="147"/>
      <c r="P28" s="674" t="s">
        <v>91</v>
      </c>
      <c r="Q28" s="674"/>
      <c r="S28" s="147"/>
      <c r="U28" s="674" t="s">
        <v>91</v>
      </c>
      <c r="V28" s="674"/>
      <c r="X28" s="147"/>
    </row>
    <row r="29" spans="1:24" ht="17.25" customHeight="1">
      <c r="A29" s="148"/>
      <c r="C29" s="149"/>
      <c r="D29" s="149"/>
      <c r="F29" s="148"/>
      <c r="H29" s="149"/>
      <c r="I29" s="149"/>
      <c r="K29" s="148"/>
      <c r="M29" s="149"/>
      <c r="N29" s="149"/>
      <c r="P29" s="129"/>
      <c r="R29" s="149"/>
      <c r="S29" s="149"/>
      <c r="U29" s="129"/>
      <c r="W29" s="149"/>
      <c r="X29" s="149"/>
    </row>
    <row r="30" spans="1:24" ht="17.25" customHeight="1">
      <c r="B30" s="149"/>
      <c r="C30" s="149"/>
      <c r="D30" s="149"/>
      <c r="G30" s="149"/>
      <c r="H30" s="149"/>
      <c r="I30" s="149"/>
      <c r="L30" s="149"/>
      <c r="M30" s="149"/>
      <c r="N30" s="149"/>
      <c r="Q30" s="149"/>
      <c r="R30" s="149"/>
      <c r="S30" s="149"/>
      <c r="V30" s="149"/>
      <c r="W30" s="149"/>
      <c r="X30" s="149"/>
    </row>
    <row r="31" spans="1:24" ht="17.25" customHeight="1">
      <c r="B31" s="149"/>
      <c r="C31" s="149"/>
      <c r="D31" s="149"/>
      <c r="G31" s="149"/>
      <c r="H31" s="149"/>
      <c r="I31" s="149"/>
      <c r="L31" s="149"/>
      <c r="M31" s="149"/>
      <c r="N31" s="149"/>
      <c r="Q31" s="149"/>
      <c r="R31" s="149"/>
      <c r="S31" s="149"/>
      <c r="V31" s="149"/>
      <c r="W31" s="149"/>
      <c r="X31" s="149"/>
    </row>
    <row r="32" spans="1:24" ht="17.25" customHeight="1">
      <c r="B32" s="149"/>
      <c r="C32" s="149"/>
      <c r="D32" s="149"/>
      <c r="G32" s="149"/>
      <c r="H32" s="149"/>
      <c r="I32" s="149"/>
      <c r="L32" s="149"/>
      <c r="M32" s="149"/>
      <c r="N32" s="149"/>
      <c r="Q32" s="149"/>
      <c r="R32" s="149"/>
      <c r="S32" s="149"/>
      <c r="V32" s="149"/>
      <c r="W32" s="149"/>
      <c r="X32" s="149"/>
    </row>
    <row r="33" spans="2:24" ht="17.25" customHeight="1">
      <c r="B33" s="149"/>
      <c r="C33" s="149"/>
      <c r="D33" s="149"/>
      <c r="G33" s="149"/>
      <c r="H33" s="149"/>
      <c r="I33" s="149"/>
      <c r="L33" s="149"/>
      <c r="M33" s="149"/>
      <c r="N33" s="149"/>
      <c r="Q33" s="149"/>
      <c r="R33" s="149"/>
      <c r="S33" s="149"/>
      <c r="V33" s="149"/>
      <c r="W33" s="149"/>
      <c r="X33" s="149"/>
    </row>
    <row r="34" spans="2:24" ht="17.25" customHeight="1">
      <c r="B34" s="149"/>
      <c r="C34" s="149"/>
      <c r="D34" s="149"/>
      <c r="G34" s="149"/>
      <c r="H34" s="149"/>
      <c r="I34" s="149"/>
      <c r="L34" s="149"/>
      <c r="M34" s="149"/>
      <c r="N34" s="149"/>
      <c r="Q34" s="149"/>
      <c r="R34" s="149"/>
      <c r="S34" s="149"/>
      <c r="V34" s="149"/>
      <c r="W34" s="149"/>
      <c r="X34" s="149"/>
    </row>
    <row r="35" spans="2:24" ht="17.25" customHeight="1">
      <c r="B35" s="149"/>
      <c r="C35" s="149"/>
      <c r="D35" s="149"/>
      <c r="G35" s="149"/>
      <c r="H35" s="149"/>
      <c r="I35" s="149"/>
      <c r="L35" s="149"/>
      <c r="M35" s="149"/>
      <c r="N35" s="149"/>
      <c r="Q35" s="149"/>
      <c r="R35" s="149"/>
      <c r="S35" s="149"/>
      <c r="V35" s="149"/>
      <c r="W35" s="149"/>
      <c r="X35" s="149"/>
    </row>
    <row r="36" spans="2:24" ht="17.25" customHeight="1">
      <c r="B36" s="149"/>
      <c r="C36" s="149"/>
      <c r="D36" s="149"/>
      <c r="G36" s="149"/>
      <c r="H36" s="149"/>
      <c r="I36" s="149"/>
      <c r="L36" s="149"/>
      <c r="M36" s="149"/>
      <c r="N36" s="149"/>
      <c r="Q36" s="149"/>
      <c r="R36" s="149"/>
      <c r="S36" s="149"/>
      <c r="V36" s="149"/>
      <c r="W36" s="149"/>
      <c r="X36" s="149"/>
    </row>
    <row r="37" spans="2:24" ht="17.25" customHeight="1">
      <c r="B37" s="149"/>
      <c r="C37" s="149"/>
      <c r="D37" s="149"/>
      <c r="G37" s="149"/>
      <c r="H37" s="149"/>
      <c r="I37" s="149"/>
      <c r="L37" s="149"/>
      <c r="M37" s="149"/>
      <c r="N37" s="149"/>
      <c r="Q37" s="149"/>
      <c r="R37" s="149"/>
      <c r="S37" s="149"/>
      <c r="V37" s="149"/>
      <c r="W37" s="149"/>
      <c r="X37" s="149"/>
    </row>
    <row r="38" spans="2:24" ht="17.25" customHeight="1">
      <c r="B38" s="149"/>
      <c r="C38" s="149"/>
      <c r="D38" s="149"/>
      <c r="G38" s="149"/>
      <c r="H38" s="149"/>
      <c r="I38" s="149"/>
      <c r="L38" s="149"/>
      <c r="M38" s="149"/>
      <c r="N38" s="149"/>
      <c r="Q38" s="149"/>
      <c r="R38" s="149"/>
      <c r="S38" s="149"/>
      <c r="V38" s="149"/>
      <c r="W38" s="149"/>
      <c r="X38" s="149"/>
    </row>
    <row r="39" spans="2:24" ht="17.25" customHeight="1">
      <c r="B39" s="149"/>
      <c r="C39" s="149"/>
      <c r="D39" s="149"/>
      <c r="G39" s="149"/>
      <c r="H39" s="149"/>
      <c r="I39" s="149"/>
      <c r="L39" s="149"/>
      <c r="M39" s="149"/>
      <c r="N39" s="149"/>
      <c r="Q39" s="149"/>
      <c r="R39" s="149"/>
      <c r="S39" s="149"/>
      <c r="V39" s="149"/>
      <c r="W39" s="149"/>
      <c r="X39" s="149"/>
    </row>
    <row r="65535" ht="30.75" customHeight="1"/>
  </sheetData>
  <mergeCells count="15">
    <mergeCell ref="L4:N4"/>
    <mergeCell ref="L15:N15"/>
    <mergeCell ref="K28:L28"/>
    <mergeCell ref="B4:D4"/>
    <mergeCell ref="B15:D15"/>
    <mergeCell ref="A28:B28"/>
    <mergeCell ref="G4:I4"/>
    <mergeCell ref="G15:I15"/>
    <mergeCell ref="F28:G28"/>
    <mergeCell ref="Q4:S4"/>
    <mergeCell ref="Q15:S15"/>
    <mergeCell ref="P28:Q28"/>
    <mergeCell ref="V4:X4"/>
    <mergeCell ref="V15:X15"/>
    <mergeCell ref="U28:V28"/>
  </mergeCells>
  <pageMargins left="0.18" right="0" top="0.74803149606299213" bottom="0.74803149606299213" header="0.31496062992125984" footer="0.31496062992125984"/>
  <pageSetup paperSize="5" scale="69" orientation="landscape" horizontalDpi="4294967292" verticalDpi="0" r:id="rId1"/>
  <headerFooter>
    <oddHeader>&amp;C&amp;"TH SarabunPSK,ธรรมดา"&amp;16 21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536"/>
  <sheetViews>
    <sheetView topLeftCell="Q12" zoomScale="60" zoomScaleNormal="60" workbookViewId="0">
      <selection activeCell="AE25" sqref="AE25"/>
    </sheetView>
  </sheetViews>
  <sheetFormatPr defaultColWidth="9.140625" defaultRowHeight="5.25" customHeight="1"/>
  <cols>
    <col min="1" max="1" width="25" style="92" customWidth="1"/>
    <col min="2" max="2" width="12.42578125" style="81" customWidth="1"/>
    <col min="3" max="4" width="10.85546875" style="81" customWidth="1"/>
    <col min="5" max="5" width="2.42578125" style="81" customWidth="1"/>
    <col min="6" max="6" width="24.140625" style="92" customWidth="1"/>
    <col min="7" max="7" width="12.28515625" style="81" customWidth="1"/>
    <col min="8" max="9" width="10.5703125" style="81" customWidth="1"/>
    <col min="10" max="10" width="1.42578125" style="81" customWidth="1"/>
    <col min="11" max="11" width="23.42578125" style="92" customWidth="1"/>
    <col min="12" max="12" width="12.7109375" style="81" customWidth="1"/>
    <col min="13" max="14" width="10.5703125" style="81" customWidth="1"/>
    <col min="15" max="15" width="1.5703125" style="81" customWidth="1"/>
    <col min="16" max="16" width="23.42578125" style="92" customWidth="1"/>
    <col min="17" max="17" width="12.5703125" style="81" customWidth="1"/>
    <col min="18" max="19" width="10.42578125" style="81" customWidth="1"/>
    <col min="20" max="20" width="2.85546875" style="81" customWidth="1"/>
    <col min="21" max="21" width="23.85546875" style="126" customWidth="1"/>
    <col min="22" max="22" width="11.5703125" style="81" customWidth="1"/>
    <col min="23" max="24" width="10.140625" style="81" customWidth="1"/>
    <col min="25" max="16384" width="9.140625" style="81"/>
  </cols>
  <sheetData>
    <row r="1" spans="1:24" s="113" customFormat="1" ht="26.25" customHeight="1">
      <c r="A1" s="113" t="s">
        <v>106</v>
      </c>
      <c r="B1" s="81"/>
      <c r="C1" s="81"/>
      <c r="D1" s="81"/>
      <c r="G1" s="131"/>
      <c r="H1" s="131"/>
      <c r="I1" s="131"/>
      <c r="K1" s="124"/>
      <c r="L1" s="131"/>
      <c r="M1" s="131"/>
      <c r="N1" s="131"/>
      <c r="Q1" s="131"/>
      <c r="R1" s="131"/>
      <c r="S1" s="131"/>
      <c r="U1" s="124" t="s">
        <v>112</v>
      </c>
      <c r="V1" s="131"/>
      <c r="W1" s="131"/>
      <c r="X1" s="13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125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113</v>
      </c>
      <c r="V2" s="44"/>
      <c r="W2" s="44"/>
      <c r="X2" s="44"/>
    </row>
    <row r="3" spans="1:24" s="92" customFormat="1" ht="26.25" customHeight="1">
      <c r="A3" s="133" t="s">
        <v>6</v>
      </c>
      <c r="B3" s="134" t="s">
        <v>0</v>
      </c>
      <c r="C3" s="134" t="s">
        <v>1</v>
      </c>
      <c r="D3" s="134" t="s">
        <v>2</v>
      </c>
      <c r="F3" s="133" t="s">
        <v>6</v>
      </c>
      <c r="G3" s="134" t="s">
        <v>0</v>
      </c>
      <c r="H3" s="134" t="s">
        <v>1</v>
      </c>
      <c r="I3" s="134" t="s">
        <v>2</v>
      </c>
      <c r="K3" s="151" t="s">
        <v>6</v>
      </c>
      <c r="L3" s="134" t="s">
        <v>0</v>
      </c>
      <c r="M3" s="134" t="s">
        <v>1</v>
      </c>
      <c r="N3" s="134" t="s">
        <v>2</v>
      </c>
      <c r="P3" s="151" t="s">
        <v>6</v>
      </c>
      <c r="Q3" s="134" t="s">
        <v>0</v>
      </c>
      <c r="R3" s="134" t="s">
        <v>1</v>
      </c>
      <c r="S3" s="134" t="s">
        <v>2</v>
      </c>
      <c r="U3" s="151" t="s">
        <v>6</v>
      </c>
      <c r="V3" s="134" t="s">
        <v>0</v>
      </c>
      <c r="W3" s="134" t="s">
        <v>1</v>
      </c>
      <c r="X3" s="134" t="s">
        <v>2</v>
      </c>
    </row>
    <row r="4" spans="1:24" s="92" customFormat="1" ht="21.75" customHeight="1">
      <c r="B4" s="672" t="s">
        <v>21</v>
      </c>
      <c r="C4" s="672"/>
      <c r="D4" s="672"/>
      <c r="G4" s="672" t="s">
        <v>21</v>
      </c>
      <c r="H4" s="672"/>
      <c r="I4" s="672"/>
      <c r="L4" s="672" t="s">
        <v>21</v>
      </c>
      <c r="M4" s="672"/>
      <c r="N4" s="672"/>
      <c r="Q4" s="672" t="s">
        <v>21</v>
      </c>
      <c r="R4" s="672"/>
      <c r="S4" s="672"/>
      <c r="U4" s="126"/>
      <c r="V4" s="672" t="s">
        <v>21</v>
      </c>
      <c r="W4" s="672"/>
      <c r="X4" s="672"/>
    </row>
    <row r="5" spans="1:24" ht="21" customHeight="1">
      <c r="A5" s="88" t="s">
        <v>38</v>
      </c>
      <c r="B5" s="194">
        <f>SUM(B7:B11)+B15+B20</f>
        <v>1184151</v>
      </c>
      <c r="C5" s="194">
        <f>SUM(C7:C11)+C15+C20</f>
        <v>650780</v>
      </c>
      <c r="D5" s="194">
        <f>SUM(D7:D11)+D15+D20</f>
        <v>533371</v>
      </c>
      <c r="F5" s="88" t="s">
        <v>38</v>
      </c>
      <c r="G5" s="47">
        <v>1171095</v>
      </c>
      <c r="H5" s="47">
        <v>644778</v>
      </c>
      <c r="I5" s="47">
        <v>526317</v>
      </c>
      <c r="J5" s="92"/>
      <c r="K5" s="88" t="s">
        <v>38</v>
      </c>
      <c r="L5" s="47">
        <v>1164344</v>
      </c>
      <c r="M5" s="47">
        <v>655575</v>
      </c>
      <c r="N5" s="47">
        <v>508769</v>
      </c>
      <c r="P5" s="88" t="s">
        <v>38</v>
      </c>
      <c r="Q5" s="47">
        <v>1198717</v>
      </c>
      <c r="R5" s="47">
        <v>654869</v>
      </c>
      <c r="S5" s="47">
        <v>543848</v>
      </c>
      <c r="U5" s="126" t="s">
        <v>38</v>
      </c>
      <c r="V5" s="137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ht="3.6" customHeight="1">
      <c r="A6" s="88"/>
      <c r="B6" s="194"/>
      <c r="C6" s="195"/>
      <c r="D6" s="196"/>
      <c r="F6" s="88"/>
      <c r="G6" s="156"/>
      <c r="H6" s="156"/>
      <c r="I6" s="156"/>
      <c r="K6" s="88"/>
      <c r="L6" s="156"/>
      <c r="M6" s="156"/>
      <c r="N6" s="156"/>
      <c r="P6" s="197"/>
      <c r="Q6" s="156"/>
      <c r="R6" s="156"/>
      <c r="S6" s="156"/>
      <c r="U6" s="198"/>
      <c r="V6" s="156"/>
      <c r="W6" s="156"/>
      <c r="X6" s="156"/>
    </row>
    <row r="7" spans="1:24" ht="20.25" customHeight="1">
      <c r="A7" s="158" t="s">
        <v>37</v>
      </c>
      <c r="B7" s="199">
        <v>11735</v>
      </c>
      <c r="C7" s="199">
        <v>5816</v>
      </c>
      <c r="D7" s="199">
        <v>5919</v>
      </c>
      <c r="F7" s="158" t="s">
        <v>37</v>
      </c>
      <c r="G7" s="46">
        <v>11739</v>
      </c>
      <c r="H7" s="46">
        <v>4000</v>
      </c>
      <c r="I7" s="46">
        <v>7739</v>
      </c>
      <c r="K7" s="158" t="s">
        <v>37</v>
      </c>
      <c r="L7" s="46">
        <v>10350</v>
      </c>
      <c r="M7" s="46">
        <v>6437</v>
      </c>
      <c r="N7" s="46">
        <v>3913</v>
      </c>
      <c r="P7" s="158" t="s">
        <v>37</v>
      </c>
      <c r="Q7" s="46">
        <v>7961</v>
      </c>
      <c r="R7" s="46">
        <v>3644</v>
      </c>
      <c r="S7" s="46">
        <v>4317</v>
      </c>
      <c r="U7" s="200" t="s">
        <v>37</v>
      </c>
      <c r="V7" s="150">
        <f t="shared" ref="V7:X9" si="0">(B7+G7+L7+Q7)/4</f>
        <v>10446.25</v>
      </c>
      <c r="W7" s="150">
        <f t="shared" si="0"/>
        <v>4974.25</v>
      </c>
      <c r="X7" s="150">
        <f t="shared" si="0"/>
        <v>5472</v>
      </c>
    </row>
    <row r="8" spans="1:24" ht="20.25" customHeight="1">
      <c r="A8" s="81" t="s">
        <v>36</v>
      </c>
      <c r="B8" s="199">
        <v>243023</v>
      </c>
      <c r="C8" s="199">
        <v>137894</v>
      </c>
      <c r="D8" s="199">
        <v>105129</v>
      </c>
      <c r="F8" s="81" t="s">
        <v>36</v>
      </c>
      <c r="G8" s="46">
        <v>260043</v>
      </c>
      <c r="H8" s="46">
        <v>142469</v>
      </c>
      <c r="I8" s="46">
        <v>117574</v>
      </c>
      <c r="K8" s="81" t="s">
        <v>36</v>
      </c>
      <c r="L8" s="46">
        <v>248051</v>
      </c>
      <c r="M8" s="46">
        <v>149847</v>
      </c>
      <c r="N8" s="46">
        <v>98204</v>
      </c>
      <c r="P8" s="81" t="s">
        <v>36</v>
      </c>
      <c r="Q8" s="46">
        <v>273701</v>
      </c>
      <c r="R8" s="46">
        <v>146514</v>
      </c>
      <c r="S8" s="46">
        <v>127187</v>
      </c>
      <c r="U8" s="127" t="s">
        <v>36</v>
      </c>
      <c r="V8" s="150">
        <f t="shared" si="0"/>
        <v>256204.5</v>
      </c>
      <c r="W8" s="150">
        <f t="shared" si="0"/>
        <v>144181</v>
      </c>
      <c r="X8" s="150">
        <f t="shared" si="0"/>
        <v>112023.5</v>
      </c>
    </row>
    <row r="9" spans="1:24" ht="20.25" customHeight="1">
      <c r="A9" s="75" t="s">
        <v>35</v>
      </c>
      <c r="B9" s="199">
        <v>266160</v>
      </c>
      <c r="C9" s="199">
        <v>163276</v>
      </c>
      <c r="D9" s="199">
        <v>102884</v>
      </c>
      <c r="F9" s="75" t="s">
        <v>35</v>
      </c>
      <c r="G9" s="46">
        <v>258295</v>
      </c>
      <c r="H9" s="46">
        <v>161102</v>
      </c>
      <c r="I9" s="46">
        <v>97193</v>
      </c>
      <c r="K9" s="75" t="s">
        <v>35</v>
      </c>
      <c r="L9" s="46">
        <v>245963</v>
      </c>
      <c r="M9" s="46">
        <v>149463</v>
      </c>
      <c r="N9" s="46">
        <v>96500</v>
      </c>
      <c r="P9" s="75" t="s">
        <v>35</v>
      </c>
      <c r="Q9" s="46">
        <v>291203</v>
      </c>
      <c r="R9" s="46">
        <v>159440</v>
      </c>
      <c r="S9" s="46">
        <v>131763</v>
      </c>
      <c r="U9" s="75" t="s">
        <v>35</v>
      </c>
      <c r="V9" s="150">
        <f t="shared" si="0"/>
        <v>265405.25</v>
      </c>
      <c r="W9" s="150">
        <f t="shared" si="0"/>
        <v>158320.25</v>
      </c>
      <c r="X9" s="150">
        <f t="shared" si="0"/>
        <v>107085</v>
      </c>
    </row>
    <row r="10" spans="1:24" ht="20.25" customHeight="1">
      <c r="A10" s="75" t="s">
        <v>34</v>
      </c>
      <c r="B10" s="199">
        <v>211010</v>
      </c>
      <c r="C10" s="199">
        <v>123645</v>
      </c>
      <c r="D10" s="199">
        <v>87365</v>
      </c>
      <c r="F10" s="75" t="s">
        <v>34</v>
      </c>
      <c r="G10" s="46">
        <v>207521</v>
      </c>
      <c r="H10" s="46">
        <v>134193</v>
      </c>
      <c r="I10" s="46">
        <v>73328</v>
      </c>
      <c r="K10" s="75" t="s">
        <v>34</v>
      </c>
      <c r="L10" s="46">
        <v>227964</v>
      </c>
      <c r="M10" s="46">
        <v>131740</v>
      </c>
      <c r="N10" s="46">
        <v>96224</v>
      </c>
      <c r="P10" s="75" t="s">
        <v>34</v>
      </c>
      <c r="Q10" s="46">
        <v>198107</v>
      </c>
      <c r="R10" s="46">
        <v>111770</v>
      </c>
      <c r="S10" s="46">
        <v>86337</v>
      </c>
      <c r="U10" s="75" t="s">
        <v>34</v>
      </c>
      <c r="V10" s="150">
        <f t="shared" ref="V10:V20" si="1">(B10+G10+L10+Q10)/4</f>
        <v>211150.5</v>
      </c>
      <c r="W10" s="150">
        <f t="shared" ref="W10:W20" si="2">(C10+H10+M10+R10)/4</f>
        <v>125337</v>
      </c>
      <c r="X10" s="150">
        <f t="shared" ref="X10:X20" si="3">(D10+I10+N10+S10)/4</f>
        <v>85813.5</v>
      </c>
    </row>
    <row r="11" spans="1:24" ht="20.25" customHeight="1">
      <c r="A11" s="81" t="s">
        <v>33</v>
      </c>
      <c r="B11" s="199">
        <f>SUM(B12:B14)</f>
        <v>240819</v>
      </c>
      <c r="C11" s="199">
        <f>SUM(C12:C14)</f>
        <v>129772</v>
      </c>
      <c r="D11" s="199">
        <f>SUM(D12:D14)</f>
        <v>111047</v>
      </c>
      <c r="F11" s="81" t="s">
        <v>33</v>
      </c>
      <c r="G11" s="201">
        <v>242008</v>
      </c>
      <c r="H11" s="201">
        <v>120456</v>
      </c>
      <c r="I11" s="156">
        <v>121552</v>
      </c>
      <c r="K11" s="81" t="s">
        <v>33</v>
      </c>
      <c r="L11" s="201">
        <f>SUM(L12:L13)</f>
        <v>230896</v>
      </c>
      <c r="M11" s="201">
        <f>SUM(M12:M13)</f>
        <v>132700</v>
      </c>
      <c r="N11" s="201">
        <f>SUM(N12:N13)</f>
        <v>98196</v>
      </c>
      <c r="P11" s="81" t="s">
        <v>33</v>
      </c>
      <c r="Q11" s="201">
        <v>241262</v>
      </c>
      <c r="R11" s="201">
        <v>144918</v>
      </c>
      <c r="S11" s="201">
        <v>96344</v>
      </c>
      <c r="U11" s="127" t="s">
        <v>33</v>
      </c>
      <c r="V11" s="150">
        <f t="shared" si="1"/>
        <v>238746.25</v>
      </c>
      <c r="W11" s="150">
        <f t="shared" si="2"/>
        <v>131961.5</v>
      </c>
      <c r="X11" s="150">
        <f t="shared" si="3"/>
        <v>106784.75</v>
      </c>
    </row>
    <row r="12" spans="1:24" ht="20.25" customHeight="1">
      <c r="A12" s="71" t="s">
        <v>105</v>
      </c>
      <c r="B12" s="150">
        <v>193584</v>
      </c>
      <c r="C12" s="150">
        <v>99029</v>
      </c>
      <c r="D12" s="150">
        <v>94555</v>
      </c>
      <c r="F12" s="71" t="s">
        <v>105</v>
      </c>
      <c r="G12" s="46">
        <v>170334</v>
      </c>
      <c r="H12" s="46">
        <v>72383</v>
      </c>
      <c r="I12" s="46">
        <v>97951</v>
      </c>
      <c r="K12" s="71" t="s">
        <v>105</v>
      </c>
      <c r="L12" s="46">
        <v>186238</v>
      </c>
      <c r="M12" s="46">
        <v>103573</v>
      </c>
      <c r="N12" s="46">
        <v>82665</v>
      </c>
      <c r="P12" s="71" t="s">
        <v>105</v>
      </c>
      <c r="Q12" s="46">
        <v>208608</v>
      </c>
      <c r="R12" s="46">
        <v>127051</v>
      </c>
      <c r="S12" s="46">
        <v>81557</v>
      </c>
      <c r="U12" s="71" t="s">
        <v>105</v>
      </c>
      <c r="V12" s="150">
        <f t="shared" si="1"/>
        <v>189691</v>
      </c>
      <c r="W12" s="150">
        <f t="shared" si="2"/>
        <v>100509</v>
      </c>
      <c r="X12" s="150">
        <f t="shared" si="3"/>
        <v>89182</v>
      </c>
    </row>
    <row r="13" spans="1:24" ht="20.25" customHeight="1">
      <c r="A13" s="71" t="s">
        <v>104</v>
      </c>
      <c r="B13" s="150">
        <v>46793</v>
      </c>
      <c r="C13" s="150">
        <v>30301</v>
      </c>
      <c r="D13" s="150">
        <v>16492</v>
      </c>
      <c r="F13" s="71" t="s">
        <v>104</v>
      </c>
      <c r="G13" s="46">
        <v>71674</v>
      </c>
      <c r="H13" s="46">
        <v>48073</v>
      </c>
      <c r="I13" s="46">
        <v>23601</v>
      </c>
      <c r="K13" s="71" t="s">
        <v>104</v>
      </c>
      <c r="L13" s="46">
        <v>44658</v>
      </c>
      <c r="M13" s="46">
        <v>29127</v>
      </c>
      <c r="N13" s="46">
        <v>15531</v>
      </c>
      <c r="P13" s="71" t="s">
        <v>104</v>
      </c>
      <c r="Q13" s="46">
        <v>32654</v>
      </c>
      <c r="R13" s="46">
        <v>17867</v>
      </c>
      <c r="S13" s="46">
        <v>14787</v>
      </c>
      <c r="U13" s="71" t="s">
        <v>104</v>
      </c>
      <c r="V13" s="150">
        <f t="shared" si="1"/>
        <v>48944.75</v>
      </c>
      <c r="W13" s="150">
        <f t="shared" si="2"/>
        <v>31342</v>
      </c>
      <c r="X13" s="150">
        <f t="shared" si="3"/>
        <v>17602.75</v>
      </c>
    </row>
    <row r="14" spans="1:24" ht="20.25" customHeight="1">
      <c r="A14" s="202" t="s">
        <v>103</v>
      </c>
      <c r="B14" s="72">
        <v>442</v>
      </c>
      <c r="C14" s="72">
        <v>442</v>
      </c>
      <c r="D14" s="165">
        <v>0</v>
      </c>
      <c r="F14" s="202" t="s">
        <v>103</v>
      </c>
      <c r="G14" s="165">
        <v>0</v>
      </c>
      <c r="H14" s="165">
        <v>0</v>
      </c>
      <c r="I14" s="165">
        <v>0</v>
      </c>
      <c r="K14" s="202" t="s">
        <v>103</v>
      </c>
      <c r="L14" s="165">
        <v>0</v>
      </c>
      <c r="M14" s="165">
        <v>0</v>
      </c>
      <c r="N14" s="165">
        <v>0</v>
      </c>
      <c r="P14" s="202" t="s">
        <v>103</v>
      </c>
      <c r="Q14" s="165">
        <v>0</v>
      </c>
      <c r="R14" s="165">
        <v>0</v>
      </c>
      <c r="S14" s="165">
        <v>0</v>
      </c>
      <c r="U14" s="202" t="s">
        <v>103</v>
      </c>
      <c r="V14" s="150">
        <f>(B14+G14+L14+Q14)/4</f>
        <v>110.5</v>
      </c>
      <c r="W14" s="150">
        <f>(C14+H14+M14+R14)/4</f>
        <v>110.5</v>
      </c>
      <c r="X14" s="165">
        <f t="shared" si="3"/>
        <v>0</v>
      </c>
    </row>
    <row r="15" spans="1:24" ht="20.25" customHeight="1">
      <c r="A15" s="81" t="s">
        <v>29</v>
      </c>
      <c r="B15" s="199">
        <f>SUM(B16:B18)</f>
        <v>210217</v>
      </c>
      <c r="C15" s="199">
        <f>SUM(C16:C18)</f>
        <v>89190</v>
      </c>
      <c r="D15" s="199">
        <f>SUM(D16:D18)</f>
        <v>121027</v>
      </c>
      <c r="F15" s="81" t="s">
        <v>29</v>
      </c>
      <c r="G15" s="46">
        <v>188750</v>
      </c>
      <c r="H15" s="46">
        <v>81598</v>
      </c>
      <c r="I15" s="117">
        <v>107152</v>
      </c>
      <c r="K15" s="81" t="s">
        <v>29</v>
      </c>
      <c r="L15" s="201">
        <f>SUM(L16:L18)</f>
        <v>200619</v>
      </c>
      <c r="M15" s="201">
        <f>SUM(M16:M18)</f>
        <v>85130</v>
      </c>
      <c r="N15" s="201">
        <f>SUM(N16:N18)</f>
        <v>115489</v>
      </c>
      <c r="P15" s="81" t="s">
        <v>29</v>
      </c>
      <c r="Q15" s="201">
        <v>185117</v>
      </c>
      <c r="R15" s="201">
        <v>87217</v>
      </c>
      <c r="S15" s="201">
        <v>97900</v>
      </c>
      <c r="U15" s="127" t="s">
        <v>29</v>
      </c>
      <c r="V15" s="150">
        <f t="shared" si="1"/>
        <v>196175.75</v>
      </c>
      <c r="W15" s="150">
        <f t="shared" si="2"/>
        <v>85783.75</v>
      </c>
      <c r="X15" s="150">
        <f t="shared" si="3"/>
        <v>110392</v>
      </c>
    </row>
    <row r="16" spans="1:24" ht="20.25" customHeight="1">
      <c r="A16" s="202" t="s">
        <v>28</v>
      </c>
      <c r="B16" s="74">
        <v>105060</v>
      </c>
      <c r="C16" s="74">
        <v>35281</v>
      </c>
      <c r="D16" s="74">
        <v>69779</v>
      </c>
      <c r="F16" s="202" t="s">
        <v>28</v>
      </c>
      <c r="G16" s="46">
        <v>108589</v>
      </c>
      <c r="H16" s="46">
        <v>38525</v>
      </c>
      <c r="I16" s="46">
        <v>70064</v>
      </c>
      <c r="K16" s="202" t="s">
        <v>28</v>
      </c>
      <c r="L16" s="46">
        <v>104029</v>
      </c>
      <c r="M16" s="46">
        <v>38180</v>
      </c>
      <c r="N16" s="46">
        <v>65849</v>
      </c>
      <c r="P16" s="202" t="s">
        <v>28</v>
      </c>
      <c r="Q16" s="46">
        <v>104506</v>
      </c>
      <c r="R16" s="46">
        <v>44080</v>
      </c>
      <c r="S16" s="46">
        <v>60426</v>
      </c>
      <c r="U16" s="202" t="s">
        <v>28</v>
      </c>
      <c r="V16" s="150">
        <f t="shared" si="1"/>
        <v>105546</v>
      </c>
      <c r="W16" s="150">
        <f t="shared" si="2"/>
        <v>39016.5</v>
      </c>
      <c r="X16" s="150">
        <f t="shared" si="3"/>
        <v>66529.5</v>
      </c>
    </row>
    <row r="17" spans="1:24" ht="20.25" customHeight="1">
      <c r="A17" s="202" t="s">
        <v>27</v>
      </c>
      <c r="B17" s="74">
        <v>68918</v>
      </c>
      <c r="C17" s="74">
        <v>39847</v>
      </c>
      <c r="D17" s="74">
        <v>29071</v>
      </c>
      <c r="F17" s="202" t="s">
        <v>27</v>
      </c>
      <c r="G17" s="46">
        <v>60495</v>
      </c>
      <c r="H17" s="46">
        <v>38226</v>
      </c>
      <c r="I17" s="46">
        <v>22269</v>
      </c>
      <c r="K17" s="202" t="s">
        <v>27</v>
      </c>
      <c r="L17" s="46">
        <v>71732</v>
      </c>
      <c r="M17" s="46">
        <v>41402</v>
      </c>
      <c r="N17" s="46">
        <v>30330</v>
      </c>
      <c r="P17" s="202" t="s">
        <v>27</v>
      </c>
      <c r="Q17" s="46">
        <v>55974</v>
      </c>
      <c r="R17" s="46">
        <v>37802</v>
      </c>
      <c r="S17" s="46">
        <v>18172</v>
      </c>
      <c r="U17" s="202" t="s">
        <v>27</v>
      </c>
      <c r="V17" s="150">
        <f t="shared" si="1"/>
        <v>64279.75</v>
      </c>
      <c r="W17" s="150">
        <f t="shared" si="2"/>
        <v>39319.25</v>
      </c>
      <c r="X17" s="150">
        <f t="shared" si="3"/>
        <v>24960.5</v>
      </c>
    </row>
    <row r="18" spans="1:24" ht="20.25" customHeight="1">
      <c r="A18" s="202" t="s">
        <v>26</v>
      </c>
      <c r="B18" s="74">
        <v>36239</v>
      </c>
      <c r="C18" s="74">
        <v>14062</v>
      </c>
      <c r="D18" s="74">
        <v>22177</v>
      </c>
      <c r="F18" s="202" t="s">
        <v>26</v>
      </c>
      <c r="G18" s="46">
        <v>19666</v>
      </c>
      <c r="H18" s="46">
        <v>4847</v>
      </c>
      <c r="I18" s="46">
        <v>14819</v>
      </c>
      <c r="K18" s="202" t="s">
        <v>26</v>
      </c>
      <c r="L18" s="46">
        <v>24858</v>
      </c>
      <c r="M18" s="46">
        <v>5548</v>
      </c>
      <c r="N18" s="46">
        <v>19310</v>
      </c>
      <c r="P18" s="202" t="s">
        <v>26</v>
      </c>
      <c r="Q18" s="46">
        <v>24637</v>
      </c>
      <c r="R18" s="46">
        <v>5335</v>
      </c>
      <c r="S18" s="46">
        <v>19302</v>
      </c>
      <c r="U18" s="202" t="s">
        <v>26</v>
      </c>
      <c r="V18" s="150">
        <f t="shared" si="1"/>
        <v>26350</v>
      </c>
      <c r="W18" s="150">
        <f t="shared" si="2"/>
        <v>7448</v>
      </c>
      <c r="X18" s="150">
        <f t="shared" si="3"/>
        <v>18902</v>
      </c>
    </row>
    <row r="19" spans="1:24" ht="20.25" customHeight="1">
      <c r="A19" s="71" t="s">
        <v>25</v>
      </c>
      <c r="B19" s="165">
        <v>0</v>
      </c>
      <c r="C19" s="165">
        <v>0</v>
      </c>
      <c r="D19" s="165">
        <v>0</v>
      </c>
      <c r="F19" s="71" t="s">
        <v>25</v>
      </c>
      <c r="G19" s="165">
        <v>0</v>
      </c>
      <c r="H19" s="165">
        <v>0</v>
      </c>
      <c r="I19" s="165">
        <v>0</v>
      </c>
      <c r="K19" s="71" t="s">
        <v>25</v>
      </c>
      <c r="L19" s="165">
        <v>0</v>
      </c>
      <c r="M19" s="165">
        <v>0</v>
      </c>
      <c r="N19" s="165">
        <v>0</v>
      </c>
      <c r="P19" s="71" t="s">
        <v>25</v>
      </c>
      <c r="Q19" s="165">
        <v>0</v>
      </c>
      <c r="R19" s="165">
        <v>0</v>
      </c>
      <c r="S19" s="165">
        <v>0</v>
      </c>
      <c r="U19" s="71" t="s">
        <v>25</v>
      </c>
      <c r="V19" s="165">
        <f>(B19+G19+L19+Q19)/4</f>
        <v>0</v>
      </c>
      <c r="W19" s="165">
        <f>(C19+H19+M19+R19)/4</f>
        <v>0</v>
      </c>
      <c r="X19" s="165">
        <f>(D19+I19+N19+S19)/4</f>
        <v>0</v>
      </c>
    </row>
    <row r="20" spans="1:24" ht="20.25" customHeight="1">
      <c r="A20" s="71" t="s">
        <v>24</v>
      </c>
      <c r="B20" s="74">
        <v>1187</v>
      </c>
      <c r="C20" s="74">
        <v>1187</v>
      </c>
      <c r="D20" s="165">
        <v>0</v>
      </c>
      <c r="F20" s="71" t="s">
        <v>24</v>
      </c>
      <c r="G20" s="46">
        <v>2739</v>
      </c>
      <c r="H20" s="46">
        <v>960</v>
      </c>
      <c r="I20" s="46">
        <v>1779</v>
      </c>
      <c r="K20" s="71" t="s">
        <v>24</v>
      </c>
      <c r="L20" s="46">
        <v>501</v>
      </c>
      <c r="M20" s="46">
        <v>258</v>
      </c>
      <c r="N20" s="46">
        <v>243</v>
      </c>
      <c r="P20" s="71" t="s">
        <v>24</v>
      </c>
      <c r="Q20" s="46">
        <v>1366</v>
      </c>
      <c r="R20" s="46">
        <v>1366</v>
      </c>
      <c r="S20" s="165">
        <v>0</v>
      </c>
      <c r="U20" s="71" t="s">
        <v>24</v>
      </c>
      <c r="V20" s="123">
        <f t="shared" si="1"/>
        <v>1448.25</v>
      </c>
      <c r="W20" s="123">
        <f t="shared" si="2"/>
        <v>942.75</v>
      </c>
      <c r="X20" s="123">
        <f t="shared" si="3"/>
        <v>505.5</v>
      </c>
    </row>
    <row r="21" spans="1:24" ht="21" customHeight="1">
      <c r="A21" s="81"/>
      <c r="B21" s="673" t="s">
        <v>20</v>
      </c>
      <c r="C21" s="673"/>
      <c r="D21" s="673"/>
      <c r="F21" s="81"/>
      <c r="G21" s="673" t="s">
        <v>20</v>
      </c>
      <c r="H21" s="673"/>
      <c r="I21" s="673"/>
      <c r="K21" s="81"/>
      <c r="L21" s="673" t="s">
        <v>20</v>
      </c>
      <c r="M21" s="673"/>
      <c r="N21" s="673"/>
      <c r="P21" s="81"/>
      <c r="Q21" s="673" t="s">
        <v>20</v>
      </c>
      <c r="R21" s="673"/>
      <c r="S21" s="673"/>
      <c r="U21" s="127"/>
      <c r="V21" s="673" t="s">
        <v>20</v>
      </c>
      <c r="W21" s="673"/>
      <c r="X21" s="673"/>
    </row>
    <row r="22" spans="1:24" s="92" customFormat="1" ht="18" customHeight="1">
      <c r="A22" s="88" t="s">
        <v>38</v>
      </c>
      <c r="B22" s="203">
        <f>B5/$B$5*100</f>
        <v>100</v>
      </c>
      <c r="C22" s="203">
        <f>C5/$C$5*100</f>
        <v>100</v>
      </c>
      <c r="D22" s="203">
        <f>D5/$D$5*100</f>
        <v>100</v>
      </c>
      <c r="E22" s="81"/>
      <c r="F22" s="88" t="s">
        <v>38</v>
      </c>
      <c r="G22" s="204">
        <f>G5*100/$G$5</f>
        <v>100</v>
      </c>
      <c r="H22" s="204">
        <f>H5*100/$H$5</f>
        <v>100</v>
      </c>
      <c r="I22" s="204">
        <f>I5*100/$I$5</f>
        <v>100</v>
      </c>
      <c r="K22" s="88" t="s">
        <v>38</v>
      </c>
      <c r="L22" s="204">
        <f>L5*100/$L$5</f>
        <v>100</v>
      </c>
      <c r="M22" s="204">
        <f>M5*100/$M$5</f>
        <v>100</v>
      </c>
      <c r="N22" s="204">
        <f>N5*100/$N$5</f>
        <v>100</v>
      </c>
      <c r="P22" s="88" t="s">
        <v>38</v>
      </c>
      <c r="Q22" s="193">
        <f>Q5*100/$Q$5</f>
        <v>100</v>
      </c>
      <c r="R22" s="193">
        <f>R5*100/$R$5</f>
        <v>100</v>
      </c>
      <c r="S22" s="193">
        <f>S5*100/$S$5</f>
        <v>100</v>
      </c>
      <c r="U22" s="88" t="s">
        <v>38</v>
      </c>
      <c r="V22" s="193">
        <f>V5*100/$V$5</f>
        <v>100</v>
      </c>
      <c r="W22" s="193">
        <f>W5*100/$W$5</f>
        <v>100</v>
      </c>
      <c r="X22" s="193">
        <f>X5*100/$X$5</f>
        <v>100</v>
      </c>
    </row>
    <row r="23" spans="1:24" ht="23.25" customHeight="1">
      <c r="A23" s="121"/>
      <c r="B23" s="116"/>
      <c r="C23" s="116"/>
      <c r="D23" s="116"/>
      <c r="F23" s="121"/>
      <c r="G23" s="116"/>
      <c r="H23" s="116"/>
      <c r="I23" s="116"/>
      <c r="K23" s="121"/>
      <c r="L23" s="116"/>
      <c r="M23" s="116"/>
      <c r="N23" s="116"/>
      <c r="P23" s="121"/>
      <c r="Q23" s="122"/>
      <c r="R23" s="122"/>
      <c r="S23" s="122"/>
      <c r="U23" s="152"/>
      <c r="V23" s="122"/>
      <c r="W23" s="122"/>
      <c r="X23" s="122"/>
    </row>
    <row r="24" spans="1:24" ht="20.25" customHeight="1">
      <c r="A24" s="158" t="s">
        <v>37</v>
      </c>
      <c r="B24" s="205">
        <f t="shared" ref="B24:B37" si="4">B7/$B$5*100</f>
        <v>0.99100537009215883</v>
      </c>
      <c r="C24" s="205">
        <f t="shared" ref="C24:C37" si="5">C7/$C$5*100</f>
        <v>0.89369679461569185</v>
      </c>
      <c r="D24" s="205">
        <f t="shared" ref="D24:D37" si="6">D7/$D$5*100</f>
        <v>1.10973412502742</v>
      </c>
      <c r="E24" s="28"/>
      <c r="F24" s="158" t="s">
        <v>37</v>
      </c>
      <c r="G24" s="206">
        <f t="shared" ref="G24:G37" si="7">G7*100/$G$5</f>
        <v>1.002395194241287</v>
      </c>
      <c r="H24" s="206">
        <f t="shared" ref="H24:H37" si="8">H7*100/$H$5</f>
        <v>0.62036856096206761</v>
      </c>
      <c r="I24" s="206">
        <f t="shared" ref="I24:I37" si="9">I7*100/$I$5</f>
        <v>1.4704066180647783</v>
      </c>
      <c r="K24" s="158" t="s">
        <v>37</v>
      </c>
      <c r="L24" s="206">
        <f t="shared" ref="L24:L37" si="10">L7*100/$L$5</f>
        <v>0.8889125550524587</v>
      </c>
      <c r="M24" s="206">
        <f t="shared" ref="M24:M37" si="11">M7*100/$M$5</f>
        <v>0.98188613049612938</v>
      </c>
      <c r="N24" s="206">
        <f t="shared" ref="N24:N37" si="12">N7*100/$N$5</f>
        <v>0.76911132557211626</v>
      </c>
      <c r="P24" s="158" t="s">
        <v>37</v>
      </c>
      <c r="Q24" s="123">
        <f t="shared" ref="Q24:Q30" si="13">Q7*100/$B$5</f>
        <v>0.672296016301975</v>
      </c>
      <c r="R24" s="123">
        <f t="shared" ref="R24:R30" si="14">R7*100/$C$5</f>
        <v>0.55994345247241772</v>
      </c>
      <c r="S24" s="123">
        <f t="shared" ref="S24:S30" si="15">S7*100/$D$5</f>
        <v>0.80938033751366312</v>
      </c>
      <c r="U24" s="200" t="s">
        <v>37</v>
      </c>
      <c r="V24" s="166">
        <f t="shared" ref="V24:V37" si="16">V7*100/$V$5</f>
        <v>0.88559307395640008</v>
      </c>
      <c r="W24" s="166">
        <f t="shared" ref="W24:W37" si="17">W7*100/$W$5</f>
        <v>0.76350670490659633</v>
      </c>
      <c r="X24" s="166">
        <f t="shared" ref="X24:X37" si="18">X7*100/$X$5</f>
        <v>1.0362139937177632</v>
      </c>
    </row>
    <row r="25" spans="1:24" ht="20.25" customHeight="1">
      <c r="A25" s="81" t="s">
        <v>36</v>
      </c>
      <c r="B25" s="205">
        <f t="shared" si="4"/>
        <v>20.522973843707433</v>
      </c>
      <c r="C25" s="205">
        <f t="shared" si="5"/>
        <v>21.189034696825349</v>
      </c>
      <c r="D25" s="205">
        <f t="shared" si="6"/>
        <v>19.710295460383108</v>
      </c>
      <c r="E25" s="28"/>
      <c r="F25" s="81" t="s">
        <v>36</v>
      </c>
      <c r="G25" s="206">
        <f t="shared" si="7"/>
        <v>22.205115725026577</v>
      </c>
      <c r="H25" s="206">
        <f t="shared" si="8"/>
        <v>22.095822127926201</v>
      </c>
      <c r="I25" s="206">
        <f t="shared" si="9"/>
        <v>22.339008620280172</v>
      </c>
      <c r="K25" s="81" t="s">
        <v>36</v>
      </c>
      <c r="L25" s="206">
        <f t="shared" si="10"/>
        <v>21.303927361673182</v>
      </c>
      <c r="M25" s="206">
        <f t="shared" si="11"/>
        <v>22.857338977233727</v>
      </c>
      <c r="N25" s="206">
        <f t="shared" si="12"/>
        <v>19.302276671731178</v>
      </c>
      <c r="P25" s="81" t="s">
        <v>36</v>
      </c>
      <c r="Q25" s="123">
        <f t="shared" si="13"/>
        <v>23.113690737076606</v>
      </c>
      <c r="R25" s="123">
        <f t="shared" si="14"/>
        <v>22.5135990657365</v>
      </c>
      <c r="S25" s="123">
        <f t="shared" si="15"/>
        <v>23.845878384839072</v>
      </c>
      <c r="U25" s="127" t="s">
        <v>36</v>
      </c>
      <c r="V25" s="166">
        <f t="shared" si="16"/>
        <v>21.720036445275817</v>
      </c>
      <c r="W25" s="166">
        <f t="shared" si="17"/>
        <v>22.130604658016381</v>
      </c>
      <c r="X25" s="166">
        <f t="shared" si="18"/>
        <v>21.213508465870223</v>
      </c>
    </row>
    <row r="26" spans="1:24" ht="20.25" customHeight="1">
      <c r="A26" s="75" t="s">
        <v>35</v>
      </c>
      <c r="B26" s="205">
        <f t="shared" si="4"/>
        <v>22.47686317032203</v>
      </c>
      <c r="C26" s="205">
        <f t="shared" si="5"/>
        <v>25.089277482405731</v>
      </c>
      <c r="D26" s="205">
        <f t="shared" si="6"/>
        <v>19.289387686994605</v>
      </c>
      <c r="E26" s="28"/>
      <c r="F26" s="75" t="s">
        <v>35</v>
      </c>
      <c r="G26" s="206">
        <f t="shared" si="7"/>
        <v>22.055853709562417</v>
      </c>
      <c r="H26" s="206">
        <f t="shared" si="8"/>
        <v>24.985653977027752</v>
      </c>
      <c r="I26" s="206">
        <f t="shared" si="9"/>
        <v>18.466627526756689</v>
      </c>
      <c r="K26" s="75" t="s">
        <v>35</v>
      </c>
      <c r="L26" s="206">
        <f t="shared" si="10"/>
        <v>21.12459891578434</v>
      </c>
      <c r="M26" s="206">
        <f t="shared" si="11"/>
        <v>22.798764443427526</v>
      </c>
      <c r="N26" s="206">
        <f t="shared" si="12"/>
        <v>18.967350605087969</v>
      </c>
      <c r="P26" s="75" t="s">
        <v>35</v>
      </c>
      <c r="Q26" s="123">
        <f t="shared" si="13"/>
        <v>24.59171169893029</v>
      </c>
      <c r="R26" s="123">
        <f t="shared" si="14"/>
        <v>24.499830972064292</v>
      </c>
      <c r="S26" s="123">
        <f t="shared" si="15"/>
        <v>24.703817792868378</v>
      </c>
      <c r="U26" s="75" t="s">
        <v>35</v>
      </c>
      <c r="V26" s="166">
        <f t="shared" si="16"/>
        <v>22.500040798532186</v>
      </c>
      <c r="W26" s="166">
        <f t="shared" si="17"/>
        <v>24.300863928730678</v>
      </c>
      <c r="X26" s="166">
        <f t="shared" si="18"/>
        <v>20.278321549208094</v>
      </c>
    </row>
    <row r="27" spans="1:24" ht="20.25" customHeight="1">
      <c r="A27" s="75" t="s">
        <v>34</v>
      </c>
      <c r="B27" s="205">
        <f t="shared" si="4"/>
        <v>17.819517949991177</v>
      </c>
      <c r="C27" s="205">
        <f t="shared" si="5"/>
        <v>18.999508282368851</v>
      </c>
      <c r="D27" s="205">
        <f t="shared" si="6"/>
        <v>16.379780677989615</v>
      </c>
      <c r="E27" s="28"/>
      <c r="F27" s="75" t="s">
        <v>34</v>
      </c>
      <c r="G27" s="206">
        <f t="shared" si="7"/>
        <v>17.720253267241343</v>
      </c>
      <c r="H27" s="206">
        <f t="shared" si="8"/>
        <v>20.812279575295683</v>
      </c>
      <c r="I27" s="206">
        <f t="shared" si="9"/>
        <v>13.932287955737701</v>
      </c>
      <c r="K27" s="75" t="s">
        <v>34</v>
      </c>
      <c r="L27" s="206">
        <f t="shared" si="10"/>
        <v>19.578749922703256</v>
      </c>
      <c r="M27" s="206">
        <f t="shared" si="11"/>
        <v>20.09533615528353</v>
      </c>
      <c r="N27" s="206">
        <f t="shared" si="12"/>
        <v>18.913102016828855</v>
      </c>
      <c r="P27" s="75" t="s">
        <v>34</v>
      </c>
      <c r="Q27" s="123">
        <f t="shared" si="13"/>
        <v>16.729876510681493</v>
      </c>
      <c r="R27" s="123">
        <f t="shared" si="14"/>
        <v>17.174774885521987</v>
      </c>
      <c r="S27" s="123">
        <f t="shared" si="15"/>
        <v>16.187044289997019</v>
      </c>
      <c r="U27" s="75" t="s">
        <v>34</v>
      </c>
      <c r="V27" s="166">
        <f t="shared" si="16"/>
        <v>17.900530847187348</v>
      </c>
      <c r="W27" s="166">
        <f t="shared" si="17"/>
        <v>19.238204728929603</v>
      </c>
      <c r="X27" s="166">
        <f t="shared" si="18"/>
        <v>16.250210078563466</v>
      </c>
    </row>
    <row r="28" spans="1:24" ht="20.25" customHeight="1">
      <c r="A28" s="81" t="s">
        <v>33</v>
      </c>
      <c r="B28" s="205">
        <f t="shared" si="4"/>
        <v>20.336848932272996</v>
      </c>
      <c r="C28" s="205">
        <f t="shared" si="5"/>
        <v>19.940993884261964</v>
      </c>
      <c r="D28" s="205">
        <f t="shared" si="6"/>
        <v>20.819842098651783</v>
      </c>
      <c r="E28" s="28"/>
      <c r="F28" s="81" t="s">
        <v>33</v>
      </c>
      <c r="G28" s="206">
        <f t="shared" si="7"/>
        <v>20.66510402657342</v>
      </c>
      <c r="H28" s="206">
        <f t="shared" si="8"/>
        <v>18.681778844811703</v>
      </c>
      <c r="I28" s="206">
        <f t="shared" si="9"/>
        <v>23.094826881898172</v>
      </c>
      <c r="K28" s="81" t="s">
        <v>33</v>
      </c>
      <c r="L28" s="206">
        <f t="shared" si="10"/>
        <v>19.83056553733261</v>
      </c>
      <c r="M28" s="206">
        <f t="shared" si="11"/>
        <v>20.241772489799033</v>
      </c>
      <c r="N28" s="206">
        <f t="shared" si="12"/>
        <v>19.30070424888309</v>
      </c>
      <c r="P28" s="81" t="s">
        <v>33</v>
      </c>
      <c r="Q28" s="123">
        <f t="shared" si="13"/>
        <v>20.374259701676561</v>
      </c>
      <c r="R28" s="123">
        <f t="shared" si="14"/>
        <v>22.268354897200282</v>
      </c>
      <c r="S28" s="123">
        <f t="shared" si="15"/>
        <v>18.063224284784887</v>
      </c>
      <c r="U28" s="127" t="s">
        <v>33</v>
      </c>
      <c r="V28" s="166">
        <f t="shared" si="16"/>
        <v>20.239992861846421</v>
      </c>
      <c r="W28" s="166">
        <f t="shared" si="17"/>
        <v>20.255011316184714</v>
      </c>
      <c r="X28" s="166">
        <f t="shared" si="18"/>
        <v>20.221464229834233</v>
      </c>
    </row>
    <row r="29" spans="1:24" ht="20.25" customHeight="1">
      <c r="A29" s="71" t="s">
        <v>32</v>
      </c>
      <c r="B29" s="205">
        <f t="shared" si="4"/>
        <v>16.347915088531785</v>
      </c>
      <c r="C29" s="205">
        <f t="shared" si="5"/>
        <v>15.216970404745075</v>
      </c>
      <c r="D29" s="205">
        <f t="shared" si="6"/>
        <v>17.727810473385315</v>
      </c>
      <c r="E29" s="28"/>
      <c r="F29" s="71" t="s">
        <v>32</v>
      </c>
      <c r="G29" s="206">
        <f t="shared" si="7"/>
        <v>14.544849051528697</v>
      </c>
      <c r="H29" s="206">
        <f t="shared" si="8"/>
        <v>11.226034387029333</v>
      </c>
      <c r="I29" s="206">
        <f t="shared" si="9"/>
        <v>18.610647195511451</v>
      </c>
      <c r="K29" s="71" t="s">
        <v>32</v>
      </c>
      <c r="L29" s="206">
        <f t="shared" si="10"/>
        <v>15.995101104141044</v>
      </c>
      <c r="M29" s="206">
        <f t="shared" si="11"/>
        <v>15.798802577889639</v>
      </c>
      <c r="N29" s="206">
        <f t="shared" si="12"/>
        <v>16.248041842171986</v>
      </c>
      <c r="P29" s="71" t="s">
        <v>32</v>
      </c>
      <c r="Q29" s="123">
        <f t="shared" si="13"/>
        <v>17.616672198055824</v>
      </c>
      <c r="R29" s="123">
        <f t="shared" si="14"/>
        <v>19.522880236024463</v>
      </c>
      <c r="S29" s="123">
        <f t="shared" si="15"/>
        <v>15.290857583183188</v>
      </c>
      <c r="U29" s="71" t="s">
        <v>32</v>
      </c>
      <c r="V29" s="166">
        <f t="shared" si="16"/>
        <v>16.081276610445229</v>
      </c>
      <c r="W29" s="166">
        <f t="shared" si="17"/>
        <v>15.427309725779182</v>
      </c>
      <c r="X29" s="166">
        <f t="shared" si="18"/>
        <v>16.888091445127479</v>
      </c>
    </row>
    <row r="30" spans="1:24" ht="20.25" customHeight="1">
      <c r="A30" s="71" t="s">
        <v>31</v>
      </c>
      <c r="B30" s="205">
        <f t="shared" si="4"/>
        <v>3.9516075230270467</v>
      </c>
      <c r="C30" s="205">
        <f t="shared" si="5"/>
        <v>4.6561049817142504</v>
      </c>
      <c r="D30" s="205">
        <f t="shared" si="6"/>
        <v>3.0920316252664657</v>
      </c>
      <c r="E30" s="28"/>
      <c r="F30" s="71" t="s">
        <v>31</v>
      </c>
      <c r="G30" s="206">
        <f t="shared" si="7"/>
        <v>6.1202549750447233</v>
      </c>
      <c r="H30" s="206">
        <f t="shared" si="8"/>
        <v>7.4557444577823686</v>
      </c>
      <c r="I30" s="206">
        <f t="shared" si="9"/>
        <v>4.4841796863867209</v>
      </c>
      <c r="K30" s="71" t="s">
        <v>31</v>
      </c>
      <c r="L30" s="206">
        <f t="shared" si="10"/>
        <v>3.8354644331915653</v>
      </c>
      <c r="M30" s="206">
        <f t="shared" si="11"/>
        <v>4.4429699119093922</v>
      </c>
      <c r="N30" s="206">
        <f t="shared" si="12"/>
        <v>3.0526624067111006</v>
      </c>
      <c r="P30" s="71" t="s">
        <v>31</v>
      </c>
      <c r="Q30" s="123">
        <f t="shared" si="13"/>
        <v>2.7575875036207376</v>
      </c>
      <c r="R30" s="123">
        <f t="shared" si="14"/>
        <v>2.7454746611758196</v>
      </c>
      <c r="S30" s="123">
        <f t="shared" si="15"/>
        <v>2.7723667016016993</v>
      </c>
      <c r="U30" s="71" t="s">
        <v>31</v>
      </c>
      <c r="V30" s="166">
        <f t="shared" si="16"/>
        <v>4.1493484845305746</v>
      </c>
      <c r="W30" s="166">
        <f t="shared" si="17"/>
        <v>4.8107407438674263</v>
      </c>
      <c r="X30" s="166">
        <f t="shared" si="18"/>
        <v>3.333372784706754</v>
      </c>
    </row>
    <row r="31" spans="1:24" ht="20.25" customHeight="1">
      <c r="A31" s="202" t="s">
        <v>30</v>
      </c>
      <c r="B31" s="205">
        <f t="shared" si="4"/>
        <v>3.7326320714165681E-2</v>
      </c>
      <c r="C31" s="205">
        <f t="shared" si="5"/>
        <v>6.7918497802636826E-2</v>
      </c>
      <c r="D31" s="205">
        <f t="shared" si="6"/>
        <v>0</v>
      </c>
      <c r="E31" s="28"/>
      <c r="F31" s="202" t="s">
        <v>30</v>
      </c>
      <c r="G31" s="206">
        <f t="shared" si="7"/>
        <v>0</v>
      </c>
      <c r="H31" s="206">
        <f t="shared" si="8"/>
        <v>0</v>
      </c>
      <c r="I31" s="206">
        <f t="shared" si="9"/>
        <v>0</v>
      </c>
      <c r="K31" s="202" t="s">
        <v>30</v>
      </c>
      <c r="L31" s="206">
        <f t="shared" si="10"/>
        <v>0</v>
      </c>
      <c r="M31" s="206">
        <f t="shared" si="11"/>
        <v>0</v>
      </c>
      <c r="N31" s="206">
        <f t="shared" si="12"/>
        <v>0</v>
      </c>
      <c r="P31" s="202" t="s">
        <v>30</v>
      </c>
      <c r="Q31" s="165">
        <v>0</v>
      </c>
      <c r="R31" s="165">
        <v>0</v>
      </c>
      <c r="S31" s="165">
        <v>0</v>
      </c>
      <c r="U31" s="202" t="s">
        <v>30</v>
      </c>
      <c r="V31" s="166">
        <f t="shared" si="16"/>
        <v>9.3677668706169392E-3</v>
      </c>
      <c r="W31" s="166">
        <f t="shared" si="17"/>
        <v>1.6960846538107033E-2</v>
      </c>
      <c r="X31" s="165">
        <f t="shared" si="18"/>
        <v>0</v>
      </c>
    </row>
    <row r="32" spans="1:24" ht="20.25" customHeight="1">
      <c r="A32" s="81" t="s">
        <v>29</v>
      </c>
      <c r="B32" s="205">
        <f t="shared" si="4"/>
        <v>17.752550139298112</v>
      </c>
      <c r="C32" s="205">
        <f t="shared" si="5"/>
        <v>13.705092350717601</v>
      </c>
      <c r="D32" s="205">
        <f t="shared" si="6"/>
        <v>22.690959950953463</v>
      </c>
      <c r="E32" s="28"/>
      <c r="F32" s="81" t="s">
        <v>29</v>
      </c>
      <c r="G32" s="206">
        <f t="shared" si="7"/>
        <v>16.117394404382225</v>
      </c>
      <c r="H32" s="206">
        <f t="shared" si="8"/>
        <v>12.655208459345697</v>
      </c>
      <c r="I32" s="206">
        <f t="shared" si="9"/>
        <v>20.358833174683699</v>
      </c>
      <c r="K32" s="81" t="s">
        <v>29</v>
      </c>
      <c r="L32" s="206">
        <f t="shared" si="10"/>
        <v>17.230217186673354</v>
      </c>
      <c r="M32" s="206">
        <f t="shared" si="11"/>
        <v>12.985547038859018</v>
      </c>
      <c r="N32" s="206">
        <f t="shared" si="12"/>
        <v>22.699692787886054</v>
      </c>
      <c r="P32" s="81" t="s">
        <v>29</v>
      </c>
      <c r="Q32" s="123">
        <f>Q15*100/$B$5+0.02</f>
        <v>15.652888035394135</v>
      </c>
      <c r="R32" s="123">
        <f t="shared" ref="R32:R37" si="19">R15*100/$C$5</f>
        <v>13.401917698761487</v>
      </c>
      <c r="S32" s="123">
        <f t="shared" ref="S32:S37" si="20">S15*100/$D$5</f>
        <v>18.35495368139625</v>
      </c>
      <c r="U32" s="127" t="s">
        <v>29</v>
      </c>
      <c r="V32" s="166">
        <f t="shared" si="16"/>
        <v>16.631028883877203</v>
      </c>
      <c r="W32" s="166">
        <f t="shared" si="17"/>
        <v>13.167104246274562</v>
      </c>
      <c r="X32" s="166">
        <f t="shared" si="18"/>
        <v>20.904556870338325</v>
      </c>
    </row>
    <row r="33" spans="1:24" ht="20.25" customHeight="1">
      <c r="A33" s="202" t="s">
        <v>28</v>
      </c>
      <c r="B33" s="205">
        <f t="shared" si="4"/>
        <v>8.8721793082132265</v>
      </c>
      <c r="C33" s="205">
        <f t="shared" si="5"/>
        <v>5.4213405451919234</v>
      </c>
      <c r="D33" s="205">
        <f t="shared" si="6"/>
        <v>13.082638538653207</v>
      </c>
      <c r="E33" s="28"/>
      <c r="F33" s="202" t="s">
        <v>28</v>
      </c>
      <c r="G33" s="206">
        <f t="shared" si="7"/>
        <v>9.2724330647812518</v>
      </c>
      <c r="H33" s="206">
        <f t="shared" si="8"/>
        <v>5.9749247027659136</v>
      </c>
      <c r="I33" s="206">
        <f t="shared" si="9"/>
        <v>13.312129382102421</v>
      </c>
      <c r="K33" s="202" t="s">
        <v>28</v>
      </c>
      <c r="L33" s="206">
        <f t="shared" si="10"/>
        <v>8.9345588588939346</v>
      </c>
      <c r="M33" s="206">
        <f t="shared" si="11"/>
        <v>5.8238950539602641</v>
      </c>
      <c r="N33" s="206">
        <f t="shared" si="12"/>
        <v>12.9428090154864</v>
      </c>
      <c r="P33" s="202" t="s">
        <v>28</v>
      </c>
      <c r="Q33" s="123">
        <f>Q16*100/$B$5</f>
        <v>8.8253947342864212</v>
      </c>
      <c r="R33" s="123">
        <f t="shared" si="19"/>
        <v>6.7734103690955472</v>
      </c>
      <c r="S33" s="123">
        <f t="shared" si="20"/>
        <v>11.329074884086312</v>
      </c>
      <c r="U33" s="202" t="s">
        <v>28</v>
      </c>
      <c r="V33" s="166">
        <f t="shared" si="16"/>
        <v>8.9477857205985121</v>
      </c>
      <c r="W33" s="166">
        <f t="shared" si="17"/>
        <v>5.9887137461905251</v>
      </c>
      <c r="X33" s="166">
        <f t="shared" si="18"/>
        <v>12.598464710351962</v>
      </c>
    </row>
    <row r="34" spans="1:24" ht="20.25" customHeight="1">
      <c r="A34" s="202" t="s">
        <v>27</v>
      </c>
      <c r="B34" s="205">
        <f t="shared" si="4"/>
        <v>5.8200347759702948</v>
      </c>
      <c r="C34" s="205">
        <f t="shared" si="5"/>
        <v>6.1229601401395248</v>
      </c>
      <c r="D34" s="205">
        <f t="shared" si="6"/>
        <v>5.4504275635533244</v>
      </c>
      <c r="E34" s="28"/>
      <c r="F34" s="202" t="s">
        <v>27</v>
      </c>
      <c r="G34" s="206">
        <f t="shared" si="7"/>
        <v>5.165678275460146</v>
      </c>
      <c r="H34" s="206">
        <f t="shared" si="8"/>
        <v>5.9285521528339986</v>
      </c>
      <c r="I34" s="206">
        <f t="shared" si="9"/>
        <v>4.2311002684693824</v>
      </c>
      <c r="K34" s="202" t="s">
        <v>27</v>
      </c>
      <c r="L34" s="206">
        <f t="shared" si="10"/>
        <v>6.1607222607751657</v>
      </c>
      <c r="M34" s="206">
        <f t="shared" si="11"/>
        <v>6.3153720016779165</v>
      </c>
      <c r="N34" s="206">
        <f t="shared" si="12"/>
        <v>5.9614481228219489</v>
      </c>
      <c r="P34" s="202" t="s">
        <v>27</v>
      </c>
      <c r="Q34" s="123">
        <f>Q17*100/$B$5</f>
        <v>4.7269309403952704</v>
      </c>
      <c r="R34" s="123">
        <f t="shared" si="19"/>
        <v>5.8087218414825283</v>
      </c>
      <c r="S34" s="123">
        <f t="shared" si="20"/>
        <v>3.4070093799625401</v>
      </c>
      <c r="U34" s="202" t="s">
        <v>27</v>
      </c>
      <c r="V34" s="166">
        <f t="shared" si="16"/>
        <v>5.4493910633623459</v>
      </c>
      <c r="W34" s="166">
        <f t="shared" si="17"/>
        <v>6.0351833958684606</v>
      </c>
      <c r="X34" s="166">
        <f t="shared" si="18"/>
        <v>4.7266848300789892</v>
      </c>
    </row>
    <row r="35" spans="1:24" ht="20.25" customHeight="1">
      <c r="A35" s="202" t="s">
        <v>26</v>
      </c>
      <c r="B35" s="205">
        <f t="shared" si="4"/>
        <v>3.0603360551145928</v>
      </c>
      <c r="C35" s="205">
        <f t="shared" si="5"/>
        <v>2.1607916653861516</v>
      </c>
      <c r="D35" s="205">
        <f t="shared" si="6"/>
        <v>4.1578938487469328</v>
      </c>
      <c r="E35" s="28"/>
      <c r="F35" s="202" t="s">
        <v>26</v>
      </c>
      <c r="G35" s="206">
        <f t="shared" si="7"/>
        <v>1.6792830641408254</v>
      </c>
      <c r="H35" s="206">
        <f t="shared" si="8"/>
        <v>0.7517316037457854</v>
      </c>
      <c r="I35" s="206">
        <f t="shared" si="9"/>
        <v>2.8156035241118946</v>
      </c>
      <c r="K35" s="202" t="s">
        <v>26</v>
      </c>
      <c r="L35" s="206">
        <f t="shared" si="10"/>
        <v>2.134936067004253</v>
      </c>
      <c r="M35" s="206">
        <f t="shared" si="11"/>
        <v>0.84627998322083664</v>
      </c>
      <c r="N35" s="206">
        <f t="shared" si="12"/>
        <v>3.7954356495777062</v>
      </c>
      <c r="P35" s="202" t="s">
        <v>26</v>
      </c>
      <c r="Q35" s="123">
        <f>Q18*100/$B$5</f>
        <v>2.080562360712443</v>
      </c>
      <c r="R35" s="123">
        <f t="shared" si="19"/>
        <v>0.81978548818341068</v>
      </c>
      <c r="S35" s="123">
        <f t="shared" si="20"/>
        <v>3.6188694173473999</v>
      </c>
      <c r="U35" s="202" t="s">
        <v>26</v>
      </c>
      <c r="V35" s="166">
        <f t="shared" si="16"/>
        <v>2.2338520999163469</v>
      </c>
      <c r="W35" s="166">
        <f t="shared" si="17"/>
        <v>1.1432071042155763</v>
      </c>
      <c r="X35" s="166">
        <f t="shared" si="18"/>
        <v>3.5794073299073759</v>
      </c>
    </row>
    <row r="36" spans="1:24" ht="20.25" customHeight="1">
      <c r="A36" s="71" t="s">
        <v>25</v>
      </c>
      <c r="B36" s="165">
        <f t="shared" si="4"/>
        <v>0</v>
      </c>
      <c r="C36" s="165">
        <f t="shared" si="5"/>
        <v>0</v>
      </c>
      <c r="D36" s="165">
        <f t="shared" si="6"/>
        <v>0</v>
      </c>
      <c r="E36" s="28"/>
      <c r="F36" s="71" t="s">
        <v>25</v>
      </c>
      <c r="G36" s="165">
        <f t="shared" si="7"/>
        <v>0</v>
      </c>
      <c r="H36" s="165">
        <f t="shared" si="8"/>
        <v>0</v>
      </c>
      <c r="I36" s="165">
        <f t="shared" si="9"/>
        <v>0</v>
      </c>
      <c r="K36" s="71" t="s">
        <v>25</v>
      </c>
      <c r="L36" s="165">
        <f t="shared" si="10"/>
        <v>0</v>
      </c>
      <c r="M36" s="165">
        <f t="shared" si="11"/>
        <v>0</v>
      </c>
      <c r="N36" s="165">
        <f t="shared" si="12"/>
        <v>0</v>
      </c>
      <c r="P36" s="71" t="s">
        <v>25</v>
      </c>
      <c r="Q36" s="165">
        <f>Q19*100/$B$5</f>
        <v>0</v>
      </c>
      <c r="R36" s="165">
        <f t="shared" si="19"/>
        <v>0</v>
      </c>
      <c r="S36" s="165">
        <f t="shared" si="20"/>
        <v>0</v>
      </c>
      <c r="U36" s="71" t="s">
        <v>25</v>
      </c>
      <c r="V36" s="165">
        <f>V19*100/$V$5</f>
        <v>0</v>
      </c>
      <c r="W36" s="165">
        <f t="shared" si="17"/>
        <v>0</v>
      </c>
      <c r="X36" s="165">
        <f t="shared" si="18"/>
        <v>0</v>
      </c>
    </row>
    <row r="37" spans="1:24" ht="20.25" customHeight="1">
      <c r="A37" s="71" t="s">
        <v>24</v>
      </c>
      <c r="B37" s="205">
        <f t="shared" si="4"/>
        <v>0.10024059431609651</v>
      </c>
      <c r="C37" s="205">
        <f t="shared" si="5"/>
        <v>0.18239650880481884</v>
      </c>
      <c r="D37" s="165">
        <f t="shared" si="6"/>
        <v>0</v>
      </c>
      <c r="E37" s="28"/>
      <c r="F37" s="71" t="s">
        <v>24</v>
      </c>
      <c r="G37" s="206">
        <f t="shared" si="7"/>
        <v>0.23388367297273066</v>
      </c>
      <c r="H37" s="206">
        <f t="shared" si="8"/>
        <v>0.14888845463089623</v>
      </c>
      <c r="I37" s="206">
        <f t="shared" si="9"/>
        <v>0.33800922257878807</v>
      </c>
      <c r="K37" s="71" t="s">
        <v>24</v>
      </c>
      <c r="L37" s="123">
        <f t="shared" si="10"/>
        <v>4.3028520780800175E-2</v>
      </c>
      <c r="M37" s="123">
        <f t="shared" si="11"/>
        <v>3.9354764901041069E-2</v>
      </c>
      <c r="N37" s="123">
        <f t="shared" si="12"/>
        <v>4.776234401073965E-2</v>
      </c>
      <c r="P37" s="71" t="s">
        <v>24</v>
      </c>
      <c r="Q37" s="123">
        <f>Q20*100/$B$5</f>
        <v>0.11535690971843962</v>
      </c>
      <c r="R37" s="123">
        <f t="shared" si="19"/>
        <v>0.2099019637972894</v>
      </c>
      <c r="S37" s="165">
        <f t="shared" si="20"/>
        <v>0</v>
      </c>
      <c r="U37" s="71" t="s">
        <v>24</v>
      </c>
      <c r="V37" s="166">
        <f t="shared" si="16"/>
        <v>0.12277708932462428</v>
      </c>
      <c r="W37" s="166">
        <f t="shared" si="17"/>
        <v>0.14470441695746972</v>
      </c>
      <c r="X37" s="166">
        <f t="shared" si="18"/>
        <v>9.572481246789645E-2</v>
      </c>
    </row>
    <row r="38" spans="1:24" ht="4.9000000000000004" customHeight="1">
      <c r="A38" s="146"/>
      <c r="B38" s="146"/>
      <c r="C38" s="146"/>
      <c r="D38" s="146"/>
      <c r="F38" s="146"/>
      <c r="G38" s="146"/>
      <c r="H38" s="146"/>
      <c r="I38" s="146"/>
      <c r="K38" s="146"/>
      <c r="L38" s="146"/>
      <c r="M38" s="146"/>
      <c r="N38" s="146"/>
      <c r="P38" s="146"/>
      <c r="Q38" s="146"/>
      <c r="R38" s="146"/>
      <c r="S38" s="146"/>
      <c r="U38" s="128"/>
      <c r="V38" s="146"/>
      <c r="W38" s="146"/>
      <c r="X38" s="146"/>
    </row>
    <row r="39" spans="1:24" ht="3" customHeight="1"/>
    <row r="40" spans="1:24" ht="15" customHeight="1">
      <c r="A40" s="148" t="s">
        <v>23</v>
      </c>
      <c r="B40" s="149"/>
      <c r="C40" s="149"/>
      <c r="D40" s="149"/>
      <c r="F40" s="148" t="s">
        <v>23</v>
      </c>
      <c r="G40" s="149"/>
      <c r="H40" s="149"/>
      <c r="I40" s="149"/>
      <c r="K40" s="148" t="s">
        <v>23</v>
      </c>
      <c r="L40" s="149"/>
      <c r="M40" s="149"/>
      <c r="N40" s="149"/>
      <c r="P40" s="148" t="s">
        <v>23</v>
      </c>
      <c r="Q40" s="149"/>
      <c r="R40" s="149"/>
      <c r="S40" s="149"/>
      <c r="U40" s="129" t="s">
        <v>23</v>
      </c>
      <c r="V40" s="149"/>
      <c r="W40" s="149"/>
      <c r="X40" s="149"/>
    </row>
    <row r="41" spans="1:24" ht="15" customHeight="1">
      <c r="B41" s="149"/>
      <c r="C41" s="149"/>
      <c r="D41" s="149"/>
      <c r="G41" s="149"/>
      <c r="H41" s="149"/>
      <c r="I41" s="149"/>
      <c r="L41" s="149"/>
      <c r="M41" s="149"/>
      <c r="N41" s="149"/>
      <c r="Q41" s="149"/>
      <c r="R41" s="149"/>
      <c r="S41" s="149"/>
      <c r="V41" s="149"/>
      <c r="W41" s="149"/>
      <c r="X41" s="149"/>
    </row>
    <row r="42" spans="1:24" ht="15" customHeight="1">
      <c r="B42" s="149"/>
      <c r="C42" s="149"/>
      <c r="D42" s="149"/>
      <c r="G42" s="149"/>
      <c r="H42" s="149"/>
      <c r="I42" s="149"/>
      <c r="L42" s="149"/>
      <c r="M42" s="149"/>
      <c r="N42" s="149"/>
      <c r="Q42" s="149"/>
      <c r="R42" s="149"/>
      <c r="S42" s="149"/>
      <c r="V42" s="149"/>
      <c r="W42" s="149"/>
      <c r="X42" s="149"/>
    </row>
    <row r="43" spans="1:24" ht="15" customHeight="1">
      <c r="B43" s="149"/>
      <c r="C43" s="149"/>
      <c r="D43" s="149"/>
      <c r="G43" s="149"/>
      <c r="H43" s="149"/>
      <c r="I43" s="149"/>
      <c r="L43" s="149"/>
      <c r="M43" s="149"/>
      <c r="N43" s="149"/>
      <c r="Q43" s="149"/>
      <c r="R43" s="149"/>
      <c r="S43" s="149"/>
      <c r="V43" s="149"/>
      <c r="W43" s="149"/>
      <c r="X43" s="149"/>
    </row>
    <row r="44" spans="1:24" ht="15" customHeight="1">
      <c r="B44" s="149"/>
      <c r="C44" s="149"/>
      <c r="D44" s="149"/>
      <c r="G44" s="149"/>
      <c r="H44" s="149"/>
      <c r="I44" s="149"/>
      <c r="L44" s="149"/>
      <c r="M44" s="149"/>
      <c r="N44" s="149"/>
      <c r="Q44" s="149"/>
      <c r="R44" s="149"/>
      <c r="S44" s="149"/>
      <c r="V44" s="149"/>
      <c r="W44" s="149"/>
      <c r="X44" s="149"/>
    </row>
    <row r="45" spans="1:24" ht="15" customHeight="1">
      <c r="B45" s="149"/>
      <c r="C45" s="149"/>
      <c r="D45" s="149"/>
      <c r="G45" s="149"/>
      <c r="H45" s="149"/>
      <c r="I45" s="149"/>
      <c r="L45" s="149"/>
      <c r="M45" s="149"/>
      <c r="N45" s="149"/>
      <c r="Q45" s="149"/>
      <c r="R45" s="149"/>
      <c r="S45" s="149"/>
      <c r="V45" s="149"/>
      <c r="W45" s="149"/>
      <c r="X45" s="149"/>
    </row>
    <row r="46" spans="1:24" ht="15" customHeight="1">
      <c r="B46" s="149"/>
      <c r="C46" s="149"/>
      <c r="D46" s="149"/>
      <c r="G46" s="149"/>
      <c r="H46" s="149"/>
      <c r="I46" s="149"/>
      <c r="L46" s="149"/>
      <c r="M46" s="149"/>
      <c r="N46" s="149"/>
      <c r="Q46" s="149"/>
      <c r="R46" s="149"/>
      <c r="S46" s="149"/>
      <c r="V46" s="149"/>
      <c r="W46" s="149"/>
      <c r="X46" s="149"/>
    </row>
    <row r="47" spans="1:24" ht="15" customHeight="1">
      <c r="B47" s="149"/>
      <c r="C47" s="149"/>
      <c r="D47" s="149"/>
      <c r="G47" s="149"/>
      <c r="H47" s="149"/>
      <c r="I47" s="149"/>
      <c r="L47" s="149"/>
      <c r="M47" s="149"/>
      <c r="N47" s="149"/>
      <c r="Q47" s="149"/>
      <c r="R47" s="149"/>
      <c r="S47" s="149"/>
      <c r="V47" s="149"/>
      <c r="W47" s="149"/>
      <c r="X47" s="149"/>
    </row>
    <row r="48" spans="1:24" ht="15" customHeight="1">
      <c r="B48" s="149"/>
      <c r="C48" s="149"/>
      <c r="D48" s="149"/>
      <c r="G48" s="149"/>
      <c r="H48" s="149"/>
      <c r="I48" s="149"/>
      <c r="L48" s="149"/>
      <c r="M48" s="149"/>
      <c r="N48" s="149"/>
      <c r="Q48" s="149"/>
      <c r="R48" s="149"/>
      <c r="S48" s="149"/>
      <c r="V48" s="149"/>
      <c r="W48" s="149"/>
      <c r="X48" s="149"/>
    </row>
    <row r="49" spans="2:24" s="81" customFormat="1" ht="15" customHeight="1">
      <c r="B49" s="149"/>
      <c r="C49" s="149"/>
      <c r="D49" s="149"/>
      <c r="G49" s="149"/>
      <c r="H49" s="149"/>
      <c r="I49" s="149"/>
      <c r="L49" s="149"/>
      <c r="M49" s="149"/>
      <c r="N49" s="149"/>
      <c r="Q49" s="149"/>
      <c r="R49" s="149"/>
      <c r="S49" s="149"/>
      <c r="U49" s="127"/>
      <c r="V49" s="149"/>
      <c r="W49" s="149"/>
      <c r="X49" s="149"/>
    </row>
    <row r="50" spans="2:24" s="81" customFormat="1" ht="15" customHeight="1">
      <c r="B50" s="149"/>
      <c r="C50" s="149"/>
      <c r="D50" s="149"/>
      <c r="G50" s="149"/>
      <c r="H50" s="149"/>
      <c r="I50" s="149"/>
      <c r="L50" s="149"/>
      <c r="M50" s="149"/>
      <c r="N50" s="149"/>
      <c r="Q50" s="149"/>
      <c r="R50" s="149"/>
      <c r="S50" s="149"/>
      <c r="U50" s="127"/>
      <c r="V50" s="149"/>
      <c r="W50" s="149"/>
      <c r="X50" s="149"/>
    </row>
    <row r="51" spans="2:24" s="81" customFormat="1" ht="15" customHeight="1">
      <c r="B51" s="149"/>
      <c r="C51" s="149"/>
      <c r="D51" s="149"/>
      <c r="G51" s="149"/>
      <c r="H51" s="149"/>
      <c r="I51" s="149"/>
      <c r="L51" s="149"/>
      <c r="M51" s="149"/>
      <c r="N51" s="149"/>
      <c r="Q51" s="149"/>
      <c r="R51" s="149"/>
      <c r="S51" s="149"/>
      <c r="U51" s="127"/>
      <c r="V51" s="149"/>
      <c r="W51" s="149"/>
      <c r="X51" s="149"/>
    </row>
    <row r="52" spans="2:24" s="81" customFormat="1" ht="15" customHeight="1">
      <c r="B52" s="149"/>
      <c r="C52" s="149"/>
      <c r="D52" s="149"/>
      <c r="G52" s="149"/>
      <c r="H52" s="149"/>
      <c r="I52" s="149"/>
      <c r="L52" s="149"/>
      <c r="M52" s="149"/>
      <c r="N52" s="149"/>
      <c r="Q52" s="149"/>
      <c r="R52" s="149"/>
      <c r="S52" s="149"/>
      <c r="U52" s="127"/>
      <c r="V52" s="149"/>
      <c r="W52" s="149"/>
      <c r="X52" s="149"/>
    </row>
    <row r="53" spans="2:24" s="81" customFormat="1" ht="15" customHeight="1">
      <c r="B53" s="149"/>
      <c r="C53" s="149"/>
      <c r="D53" s="149"/>
      <c r="G53" s="149"/>
      <c r="H53" s="149"/>
      <c r="I53" s="149"/>
      <c r="L53" s="149"/>
      <c r="M53" s="149"/>
      <c r="N53" s="149"/>
      <c r="Q53" s="149"/>
      <c r="R53" s="149"/>
      <c r="S53" s="149"/>
      <c r="U53" s="127"/>
      <c r="V53" s="149"/>
      <c r="W53" s="149"/>
      <c r="X53" s="149"/>
    </row>
    <row r="54" spans="2:24" s="81" customFormat="1" ht="15" customHeight="1">
      <c r="B54" s="149"/>
      <c r="C54" s="149"/>
      <c r="D54" s="149"/>
      <c r="G54" s="149"/>
      <c r="H54" s="149"/>
      <c r="I54" s="149"/>
      <c r="L54" s="149"/>
      <c r="M54" s="149"/>
      <c r="N54" s="149"/>
      <c r="Q54" s="149"/>
      <c r="R54" s="149"/>
      <c r="S54" s="149"/>
      <c r="U54" s="127"/>
      <c r="V54" s="149"/>
      <c r="W54" s="149"/>
      <c r="X54" s="149"/>
    </row>
    <row r="55" spans="2:24" s="81" customFormat="1" ht="15" customHeight="1">
      <c r="B55" s="149"/>
      <c r="C55" s="149"/>
      <c r="D55" s="149"/>
      <c r="G55" s="149"/>
      <c r="H55" s="149"/>
      <c r="I55" s="149"/>
      <c r="L55" s="149"/>
      <c r="M55" s="149"/>
      <c r="N55" s="149"/>
      <c r="Q55" s="149"/>
      <c r="R55" s="149"/>
      <c r="S55" s="149"/>
      <c r="U55" s="127"/>
      <c r="V55" s="149"/>
      <c r="W55" s="149"/>
      <c r="X55" s="149"/>
    </row>
    <row r="56" spans="2:24" s="81" customFormat="1" ht="15" customHeight="1">
      <c r="B56" s="149"/>
      <c r="C56" s="149"/>
      <c r="D56" s="149"/>
      <c r="G56" s="149"/>
      <c r="H56" s="149"/>
      <c r="I56" s="149"/>
      <c r="L56" s="149"/>
      <c r="M56" s="149"/>
      <c r="N56" s="149"/>
      <c r="Q56" s="149"/>
      <c r="R56" s="149"/>
      <c r="S56" s="149"/>
      <c r="U56" s="127"/>
      <c r="V56" s="149"/>
      <c r="W56" s="149"/>
      <c r="X56" s="149"/>
    </row>
    <row r="57" spans="2:24" s="81" customFormat="1" ht="15" customHeight="1">
      <c r="B57" s="149"/>
      <c r="C57" s="149"/>
      <c r="D57" s="149"/>
      <c r="G57" s="149"/>
      <c r="H57" s="149"/>
      <c r="I57" s="149"/>
      <c r="L57" s="149"/>
      <c r="M57" s="149"/>
      <c r="N57" s="149"/>
      <c r="Q57" s="149"/>
      <c r="R57" s="149"/>
      <c r="S57" s="149"/>
      <c r="U57" s="127"/>
      <c r="V57" s="149"/>
      <c r="W57" s="149"/>
      <c r="X57" s="149"/>
    </row>
    <row r="58" spans="2:24" s="81" customFormat="1" ht="15" customHeight="1">
      <c r="B58" s="149"/>
      <c r="C58" s="149"/>
      <c r="D58" s="149"/>
      <c r="G58" s="149"/>
      <c r="H58" s="149"/>
      <c r="I58" s="149"/>
      <c r="L58" s="149"/>
      <c r="M58" s="149"/>
      <c r="N58" s="149"/>
      <c r="Q58" s="149"/>
      <c r="R58" s="149"/>
      <c r="S58" s="149"/>
      <c r="U58" s="127"/>
      <c r="V58" s="149"/>
      <c r="W58" s="149"/>
      <c r="X58" s="149"/>
    </row>
    <row r="59" spans="2:24" s="81" customFormat="1" ht="15" customHeight="1">
      <c r="B59" s="149"/>
      <c r="C59" s="149"/>
      <c r="D59" s="149"/>
      <c r="G59" s="149"/>
      <c r="H59" s="149"/>
      <c r="I59" s="149"/>
      <c r="L59" s="149"/>
      <c r="M59" s="149"/>
      <c r="N59" s="149"/>
      <c r="Q59" s="149"/>
      <c r="R59" s="149"/>
      <c r="S59" s="149"/>
      <c r="U59" s="127"/>
      <c r="V59" s="149"/>
      <c r="W59" s="149"/>
      <c r="X59" s="149"/>
    </row>
    <row r="60" spans="2:24" s="81" customFormat="1" ht="15" customHeight="1">
      <c r="B60" s="149"/>
      <c r="C60" s="149"/>
      <c r="D60" s="149"/>
      <c r="G60" s="149"/>
      <c r="H60" s="149"/>
      <c r="I60" s="149"/>
      <c r="L60" s="149"/>
      <c r="M60" s="149"/>
      <c r="N60" s="149"/>
      <c r="Q60" s="149"/>
      <c r="R60" s="149"/>
      <c r="S60" s="149"/>
      <c r="U60" s="127"/>
      <c r="V60" s="149"/>
      <c r="W60" s="149"/>
      <c r="X60" s="149"/>
    </row>
    <row r="61" spans="2:24" s="81" customFormat="1" ht="15" customHeight="1">
      <c r="B61" s="149"/>
      <c r="C61" s="149"/>
      <c r="D61" s="149"/>
      <c r="G61" s="149"/>
      <c r="H61" s="149"/>
      <c r="I61" s="149"/>
      <c r="L61" s="149"/>
      <c r="M61" s="149"/>
      <c r="N61" s="149"/>
      <c r="Q61" s="149"/>
      <c r="R61" s="149"/>
      <c r="S61" s="149"/>
      <c r="U61" s="127"/>
      <c r="V61" s="149"/>
      <c r="W61" s="149"/>
      <c r="X61" s="149"/>
    </row>
    <row r="62" spans="2:24" s="81" customFormat="1" ht="15" customHeight="1">
      <c r="B62" s="149"/>
      <c r="C62" s="149"/>
      <c r="D62" s="149"/>
      <c r="G62" s="149"/>
      <c r="H62" s="149"/>
      <c r="I62" s="149"/>
      <c r="L62" s="149"/>
      <c r="M62" s="149"/>
      <c r="N62" s="149"/>
      <c r="Q62" s="149"/>
      <c r="R62" s="149"/>
      <c r="S62" s="149"/>
      <c r="U62" s="127"/>
      <c r="V62" s="149"/>
      <c r="W62" s="149"/>
      <c r="X62" s="149"/>
    </row>
    <row r="63" spans="2:24" s="81" customFormat="1" ht="15" customHeight="1">
      <c r="B63" s="149"/>
      <c r="C63" s="149"/>
      <c r="D63" s="149"/>
      <c r="G63" s="149"/>
      <c r="H63" s="149"/>
      <c r="I63" s="149"/>
      <c r="L63" s="149"/>
      <c r="M63" s="149"/>
      <c r="N63" s="149"/>
      <c r="Q63" s="149"/>
      <c r="R63" s="149"/>
      <c r="S63" s="149"/>
      <c r="U63" s="127"/>
      <c r="V63" s="149"/>
      <c r="W63" s="149"/>
      <c r="X63" s="149"/>
    </row>
    <row r="64" spans="2:24" s="81" customFormat="1" ht="15" customHeight="1">
      <c r="U64" s="127"/>
    </row>
    <row r="65" spans="21:21" s="81" customFormat="1" ht="15" customHeight="1">
      <c r="U65" s="127"/>
    </row>
    <row r="66" spans="21:21" s="81" customFormat="1" ht="15" customHeight="1">
      <c r="U66" s="127"/>
    </row>
    <row r="67" spans="21:21" s="81" customFormat="1" ht="15" customHeight="1">
      <c r="U67" s="127"/>
    </row>
    <row r="68" spans="21:21" s="81" customFormat="1" ht="15" customHeight="1">
      <c r="U68" s="127"/>
    </row>
    <row r="69" spans="21:21" s="81" customFormat="1" ht="15" customHeight="1">
      <c r="U69" s="127"/>
    </row>
    <row r="70" spans="21:21" s="81" customFormat="1" ht="15" customHeight="1">
      <c r="U70" s="127"/>
    </row>
    <row r="71" spans="21:21" s="81" customFormat="1" ht="15" customHeight="1">
      <c r="U71" s="127"/>
    </row>
    <row r="72" spans="21:21" s="81" customFormat="1" ht="15" customHeight="1">
      <c r="U72" s="127"/>
    </row>
    <row r="73" spans="21:21" s="81" customFormat="1" ht="15" customHeight="1">
      <c r="U73" s="127"/>
    </row>
    <row r="74" spans="21:21" s="81" customFormat="1" ht="15" customHeight="1">
      <c r="U74" s="127"/>
    </row>
    <row r="75" spans="21:21" s="81" customFormat="1" ht="15" customHeight="1">
      <c r="U75" s="127"/>
    </row>
    <row r="76" spans="21:21" s="81" customFormat="1" ht="15" customHeight="1">
      <c r="U76" s="127"/>
    </row>
    <row r="77" spans="21:21" s="81" customFormat="1" ht="15" customHeight="1">
      <c r="U77" s="127"/>
    </row>
    <row r="78" spans="21:21" s="81" customFormat="1" ht="15" customHeight="1">
      <c r="U78" s="127"/>
    </row>
    <row r="79" spans="21:21" s="81" customFormat="1" ht="15" customHeight="1">
      <c r="U79" s="127"/>
    </row>
    <row r="80" spans="21:21" s="81" customFormat="1" ht="15" customHeight="1">
      <c r="U80" s="127"/>
    </row>
    <row r="81" spans="21:21" s="81" customFormat="1" ht="15" customHeight="1">
      <c r="U81" s="127"/>
    </row>
    <row r="82" spans="21:21" s="81" customFormat="1" ht="15" customHeight="1">
      <c r="U82" s="127"/>
    </row>
    <row r="83" spans="21:21" s="81" customFormat="1" ht="15" customHeight="1">
      <c r="U83" s="127"/>
    </row>
    <row r="84" spans="21:21" s="81" customFormat="1" ht="15" customHeight="1">
      <c r="U84" s="127"/>
    </row>
    <row r="85" spans="21:21" s="81" customFormat="1" ht="15" customHeight="1">
      <c r="U85" s="127"/>
    </row>
    <row r="86" spans="21:21" s="81" customFormat="1" ht="15" customHeight="1">
      <c r="U86" s="127"/>
    </row>
    <row r="87" spans="21:21" s="81" customFormat="1" ht="15" customHeight="1">
      <c r="U87" s="127"/>
    </row>
    <row r="88" spans="21:21" s="81" customFormat="1" ht="15" customHeight="1">
      <c r="U88" s="127"/>
    </row>
    <row r="89" spans="21:21" s="81" customFormat="1" ht="15" customHeight="1">
      <c r="U89" s="127"/>
    </row>
    <row r="90" spans="21:21" s="81" customFormat="1" ht="15" customHeight="1">
      <c r="U90" s="127"/>
    </row>
    <row r="91" spans="21:21" s="81" customFormat="1" ht="15" customHeight="1">
      <c r="U91" s="127"/>
    </row>
    <row r="92" spans="21:21" s="81" customFormat="1" ht="15" customHeight="1">
      <c r="U92" s="127"/>
    </row>
    <row r="93" spans="21:21" s="81" customFormat="1" ht="15" customHeight="1">
      <c r="U93" s="127"/>
    </row>
    <row r="94" spans="21:21" s="81" customFormat="1" ht="15" customHeight="1">
      <c r="U94" s="127"/>
    </row>
    <row r="95" spans="21:21" s="81" customFormat="1" ht="15" customHeight="1">
      <c r="U95" s="127"/>
    </row>
    <row r="96" spans="21:21" s="81" customFormat="1" ht="15" customHeight="1">
      <c r="U96" s="127"/>
    </row>
    <row r="97" spans="1:21" ht="15" customHeight="1">
      <c r="A97" s="81"/>
      <c r="F97" s="81"/>
      <c r="K97" s="81"/>
      <c r="P97" s="81"/>
      <c r="U97" s="127"/>
    </row>
    <row r="98" spans="1:21" ht="15" customHeight="1">
      <c r="A98" s="81"/>
      <c r="F98" s="81"/>
      <c r="K98" s="81"/>
      <c r="P98" s="81"/>
      <c r="U98" s="127"/>
    </row>
    <row r="99" spans="1:21" ht="15" customHeight="1">
      <c r="A99" s="81"/>
      <c r="F99" s="81"/>
      <c r="K99" s="81"/>
      <c r="P99" s="81"/>
      <c r="U99" s="127"/>
    </row>
    <row r="100" spans="1:21" ht="15" customHeight="1">
      <c r="A100" s="81"/>
      <c r="F100" s="81"/>
      <c r="K100" s="81"/>
      <c r="P100" s="81"/>
      <c r="U100" s="127"/>
    </row>
    <row r="101" spans="1:21" ht="15" customHeight="1">
      <c r="A101" s="81"/>
      <c r="F101" s="81"/>
      <c r="K101" s="81"/>
      <c r="P101" s="81"/>
      <c r="U101" s="127"/>
    </row>
    <row r="102" spans="1:21" ht="15" customHeight="1">
      <c r="A102" s="81"/>
      <c r="F102" s="81"/>
      <c r="K102" s="81"/>
      <c r="P102" s="81"/>
      <c r="U102" s="127"/>
    </row>
    <row r="103" spans="1:21" ht="15" customHeight="1">
      <c r="A103" s="81"/>
      <c r="F103" s="81"/>
      <c r="K103" s="81"/>
      <c r="P103" s="81"/>
      <c r="U103" s="127"/>
    </row>
    <row r="104" spans="1:21" ht="15" customHeight="1">
      <c r="A104" s="81"/>
      <c r="F104" s="81"/>
      <c r="K104" s="81"/>
      <c r="P104" s="81"/>
      <c r="U104" s="127"/>
    </row>
    <row r="105" spans="1:21" ht="5.25" customHeight="1">
      <c r="A105" s="81"/>
      <c r="F105" s="81"/>
      <c r="K105" s="81"/>
      <c r="P105" s="81"/>
      <c r="U105" s="127"/>
    </row>
    <row r="65536" spans="1:21" ht="26.25" customHeight="1">
      <c r="A65536" s="81"/>
      <c r="F65536" s="81"/>
      <c r="K65536" s="81"/>
      <c r="P65536" s="81"/>
      <c r="U65536" s="127"/>
    </row>
  </sheetData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ageMargins left="0.11811023622047245" right="0" top="0.55118110236220474" bottom="0.35433070866141736" header="0.31496062992125984" footer="0.31496062992125984"/>
  <pageSetup paperSize="5" scale="65" orientation="landscape" horizontalDpi="4294967293" verticalDpi="0" r:id="rId1"/>
  <headerFooter>
    <oddHeader>&amp;C&amp;"TH SarabunPSK,ธรรมดา"&amp;16 22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7" workbookViewId="0">
      <selection activeCell="C7" sqref="C7"/>
    </sheetView>
  </sheetViews>
  <sheetFormatPr defaultColWidth="8" defaultRowHeight="21.75"/>
  <cols>
    <col min="1" max="1" width="22.140625" style="254" customWidth="1"/>
    <col min="2" max="10" width="11.5703125" style="253" customWidth="1"/>
    <col min="11" max="16384" width="8" style="3"/>
  </cols>
  <sheetData>
    <row r="1" spans="1:10">
      <c r="A1" s="279" t="s">
        <v>134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2485082</v>
      </c>
      <c r="C5" s="266">
        <v>1215619</v>
      </c>
      <c r="D5" s="266">
        <v>1269463</v>
      </c>
      <c r="E5" s="266">
        <v>643874</v>
      </c>
      <c r="F5" s="266">
        <v>309497</v>
      </c>
      <c r="G5" s="266">
        <v>334377</v>
      </c>
      <c r="H5" s="266">
        <v>1841208</v>
      </c>
      <c r="I5" s="266">
        <v>906122</v>
      </c>
      <c r="J5" s="265">
        <v>935086</v>
      </c>
    </row>
    <row r="6" spans="1:10" ht="21.6" customHeight="1">
      <c r="A6" s="264" t="s">
        <v>128</v>
      </c>
      <c r="B6" s="261">
        <v>435594</v>
      </c>
      <c r="C6" s="260">
        <v>225498</v>
      </c>
      <c r="D6" s="260">
        <v>210096</v>
      </c>
      <c r="E6" s="261">
        <v>112751</v>
      </c>
      <c r="F6" s="260">
        <v>57411</v>
      </c>
      <c r="G6" s="260">
        <v>55340</v>
      </c>
      <c r="H6" s="261">
        <v>322843</v>
      </c>
      <c r="I6" s="260">
        <v>168087</v>
      </c>
      <c r="J6" s="253">
        <v>154756</v>
      </c>
    </row>
    <row r="7" spans="1:10" ht="21.6" customHeight="1">
      <c r="A7" s="263" t="s">
        <v>127</v>
      </c>
      <c r="B7" s="261">
        <v>115043</v>
      </c>
      <c r="C7" s="260">
        <v>59520</v>
      </c>
      <c r="D7" s="260">
        <v>55523</v>
      </c>
      <c r="E7" s="261">
        <v>29779</v>
      </c>
      <c r="F7" s="260">
        <v>15154</v>
      </c>
      <c r="G7" s="260">
        <v>14625</v>
      </c>
      <c r="H7" s="261">
        <v>85264</v>
      </c>
      <c r="I7" s="260">
        <v>44366</v>
      </c>
      <c r="J7" s="253">
        <v>40898</v>
      </c>
    </row>
    <row r="8" spans="1:10" ht="21.6" customHeight="1">
      <c r="A8" s="264" t="s">
        <v>126</v>
      </c>
      <c r="B8" s="261">
        <v>83411</v>
      </c>
      <c r="C8" s="260">
        <v>42836</v>
      </c>
      <c r="D8" s="260">
        <v>40575</v>
      </c>
      <c r="E8" s="261">
        <v>21593</v>
      </c>
      <c r="F8" s="260">
        <v>10906</v>
      </c>
      <c r="G8" s="260">
        <v>10687</v>
      </c>
      <c r="H8" s="261">
        <v>61818</v>
      </c>
      <c r="I8" s="260">
        <v>31930</v>
      </c>
      <c r="J8" s="253">
        <v>29888</v>
      </c>
    </row>
    <row r="9" spans="1:10" ht="21.6" customHeight="1">
      <c r="A9" s="263" t="s">
        <v>125</v>
      </c>
      <c r="B9" s="261">
        <v>231572</v>
      </c>
      <c r="C9" s="260">
        <v>117066</v>
      </c>
      <c r="D9" s="260">
        <v>114506</v>
      </c>
      <c r="E9" s="261">
        <v>59967</v>
      </c>
      <c r="F9" s="260">
        <v>29806</v>
      </c>
      <c r="G9" s="260">
        <v>30161</v>
      </c>
      <c r="H9" s="261">
        <v>171605</v>
      </c>
      <c r="I9" s="260">
        <v>87260</v>
      </c>
      <c r="J9" s="253">
        <v>84345</v>
      </c>
    </row>
    <row r="10" spans="1:10" ht="21.6" customHeight="1">
      <c r="A10" s="262" t="s">
        <v>124</v>
      </c>
      <c r="B10" s="261">
        <v>161693</v>
      </c>
      <c r="C10" s="260">
        <v>81082</v>
      </c>
      <c r="D10" s="260">
        <v>80611</v>
      </c>
      <c r="E10" s="261">
        <v>41876</v>
      </c>
      <c r="F10" s="260">
        <v>20643</v>
      </c>
      <c r="G10" s="260">
        <v>21233</v>
      </c>
      <c r="H10" s="261">
        <v>119817</v>
      </c>
      <c r="I10" s="260">
        <v>60439</v>
      </c>
      <c r="J10" s="253">
        <v>59378</v>
      </c>
    </row>
    <row r="11" spans="1:10" ht="21.6" customHeight="1">
      <c r="A11" s="262" t="s">
        <v>123</v>
      </c>
      <c r="B11" s="261">
        <v>119655</v>
      </c>
      <c r="C11" s="260">
        <v>61514</v>
      </c>
      <c r="D11" s="260">
        <v>58141</v>
      </c>
      <c r="E11" s="261">
        <v>30978</v>
      </c>
      <c r="F11" s="260">
        <v>15663</v>
      </c>
      <c r="G11" s="260">
        <v>15315</v>
      </c>
      <c r="H11" s="261">
        <v>88677</v>
      </c>
      <c r="I11" s="260">
        <v>45851</v>
      </c>
      <c r="J11" s="253">
        <v>42826</v>
      </c>
    </row>
    <row r="12" spans="1:10" ht="21.6" customHeight="1">
      <c r="A12" s="262" t="s">
        <v>122</v>
      </c>
      <c r="B12" s="261">
        <v>120219</v>
      </c>
      <c r="C12" s="260">
        <v>60172</v>
      </c>
      <c r="D12" s="260">
        <v>60047</v>
      </c>
      <c r="E12" s="261">
        <v>31135</v>
      </c>
      <c r="F12" s="260">
        <v>15319</v>
      </c>
      <c r="G12" s="260">
        <v>15816</v>
      </c>
      <c r="H12" s="261">
        <v>89084</v>
      </c>
      <c r="I12" s="260">
        <v>44853</v>
      </c>
      <c r="J12" s="253">
        <v>44231</v>
      </c>
    </row>
    <row r="13" spans="1:10" ht="21.6" customHeight="1">
      <c r="A13" s="262" t="s">
        <v>121</v>
      </c>
      <c r="B13" s="261">
        <v>349498</v>
      </c>
      <c r="C13" s="260">
        <v>165808</v>
      </c>
      <c r="D13" s="260">
        <v>183690</v>
      </c>
      <c r="E13" s="261">
        <v>90598</v>
      </c>
      <c r="F13" s="260">
        <v>42215</v>
      </c>
      <c r="G13" s="260">
        <v>48383</v>
      </c>
      <c r="H13" s="261">
        <v>258900</v>
      </c>
      <c r="I13" s="260">
        <v>123593</v>
      </c>
      <c r="J13" s="253">
        <v>135307</v>
      </c>
    </row>
    <row r="14" spans="1:10" ht="21.6" customHeight="1">
      <c r="A14" s="262" t="s">
        <v>120</v>
      </c>
      <c r="B14" s="261">
        <v>366539</v>
      </c>
      <c r="C14" s="260">
        <v>173833</v>
      </c>
      <c r="D14" s="260">
        <v>192706</v>
      </c>
      <c r="E14" s="261">
        <v>95018</v>
      </c>
      <c r="F14" s="260">
        <v>44258</v>
      </c>
      <c r="G14" s="260">
        <v>50760</v>
      </c>
      <c r="H14" s="261">
        <v>271521</v>
      </c>
      <c r="I14" s="260">
        <v>129575</v>
      </c>
      <c r="J14" s="253">
        <v>141946</v>
      </c>
    </row>
    <row r="15" spans="1:10" ht="21.6" customHeight="1">
      <c r="A15" s="334" t="s">
        <v>119</v>
      </c>
      <c r="B15" s="333">
        <v>501858</v>
      </c>
      <c r="C15" s="332">
        <v>228290</v>
      </c>
      <c r="D15" s="332">
        <v>273568</v>
      </c>
      <c r="E15" s="333">
        <v>130179</v>
      </c>
      <c r="F15" s="332">
        <v>58122</v>
      </c>
      <c r="G15" s="332">
        <v>72057</v>
      </c>
      <c r="H15" s="333">
        <v>371679</v>
      </c>
      <c r="I15" s="332">
        <v>170168</v>
      </c>
      <c r="J15" s="331">
        <v>201511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118</v>
      </c>
    </row>
    <row r="18" spans="1:1" ht="21.2" customHeight="1">
      <c r="A18" s="257" t="s">
        <v>117</v>
      </c>
    </row>
    <row r="19" spans="1:1" ht="21.6" customHeight="1">
      <c r="A19" s="256" t="s">
        <v>116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2" workbookViewId="0">
      <selection activeCell="F19" sqref="F19"/>
    </sheetView>
  </sheetViews>
  <sheetFormatPr defaultColWidth="8" defaultRowHeight="21.75"/>
  <cols>
    <col min="1" max="1" width="19" style="254" customWidth="1"/>
    <col min="2" max="10" width="11.85546875" style="253" customWidth="1"/>
    <col min="11" max="16384" width="8" style="3"/>
  </cols>
  <sheetData>
    <row r="1" spans="1:10">
      <c r="A1" s="279" t="s">
        <v>138</v>
      </c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2484703</v>
      </c>
      <c r="C5" s="266">
        <v>1215359</v>
      </c>
      <c r="D5" s="266">
        <v>1269344</v>
      </c>
      <c r="E5" s="266">
        <v>643776</v>
      </c>
      <c r="F5" s="266">
        <v>309431</v>
      </c>
      <c r="G5" s="266">
        <v>334345</v>
      </c>
      <c r="H5" s="266">
        <v>1840927</v>
      </c>
      <c r="I5" s="266">
        <v>905928</v>
      </c>
      <c r="J5" s="265">
        <v>934999</v>
      </c>
    </row>
    <row r="6" spans="1:10" ht="21.6" customHeight="1">
      <c r="A6" s="264" t="s">
        <v>128</v>
      </c>
      <c r="B6" s="261">
        <v>434867</v>
      </c>
      <c r="C6" s="260">
        <v>225105</v>
      </c>
      <c r="D6" s="260">
        <v>209762</v>
      </c>
      <c r="E6" s="261">
        <v>112563</v>
      </c>
      <c r="F6" s="260">
        <v>57312</v>
      </c>
      <c r="G6" s="260">
        <v>55251</v>
      </c>
      <c r="H6" s="261">
        <v>322304</v>
      </c>
      <c r="I6" s="260">
        <v>167793</v>
      </c>
      <c r="J6" s="253">
        <v>154511</v>
      </c>
    </row>
    <row r="7" spans="1:10" ht="21.6" customHeight="1">
      <c r="A7" s="263" t="s">
        <v>127</v>
      </c>
      <c r="B7" s="261">
        <v>114761</v>
      </c>
      <c r="C7" s="260">
        <v>59397</v>
      </c>
      <c r="D7" s="260">
        <v>55364</v>
      </c>
      <c r="E7" s="261">
        <v>29705</v>
      </c>
      <c r="F7" s="260">
        <v>15122</v>
      </c>
      <c r="G7" s="260">
        <v>14583</v>
      </c>
      <c r="H7" s="261">
        <v>85056</v>
      </c>
      <c r="I7" s="260">
        <v>44275</v>
      </c>
      <c r="J7" s="253">
        <v>40781</v>
      </c>
    </row>
    <row r="8" spans="1:10" ht="21.6" customHeight="1">
      <c r="A8" s="264" t="s">
        <v>126</v>
      </c>
      <c r="B8" s="261">
        <v>83277</v>
      </c>
      <c r="C8" s="260">
        <v>42789</v>
      </c>
      <c r="D8" s="260">
        <v>40488</v>
      </c>
      <c r="E8" s="261">
        <v>21558</v>
      </c>
      <c r="F8" s="260">
        <v>10893</v>
      </c>
      <c r="G8" s="260">
        <v>10665</v>
      </c>
      <c r="H8" s="261">
        <v>61719</v>
      </c>
      <c r="I8" s="260">
        <v>31896</v>
      </c>
      <c r="J8" s="253">
        <v>29823</v>
      </c>
    </row>
    <row r="9" spans="1:10" ht="21.6" customHeight="1">
      <c r="A9" s="263" t="s">
        <v>125</v>
      </c>
      <c r="B9" s="261">
        <v>231695</v>
      </c>
      <c r="C9" s="260">
        <v>117172</v>
      </c>
      <c r="D9" s="260">
        <v>114523</v>
      </c>
      <c r="E9" s="261">
        <v>59997</v>
      </c>
      <c r="F9" s="260">
        <v>29832</v>
      </c>
      <c r="G9" s="260">
        <v>30165</v>
      </c>
      <c r="H9" s="261">
        <v>171698</v>
      </c>
      <c r="I9" s="260">
        <v>87340</v>
      </c>
      <c r="J9" s="253">
        <v>84358</v>
      </c>
    </row>
    <row r="10" spans="1:10" ht="21.6" customHeight="1">
      <c r="A10" s="262" t="s">
        <v>124</v>
      </c>
      <c r="B10" s="261">
        <v>162642</v>
      </c>
      <c r="C10" s="260">
        <v>81523</v>
      </c>
      <c r="D10" s="260">
        <v>81119</v>
      </c>
      <c r="E10" s="261">
        <v>42123</v>
      </c>
      <c r="F10" s="260">
        <v>20756</v>
      </c>
      <c r="G10" s="260">
        <v>21367</v>
      </c>
      <c r="H10" s="261">
        <v>120519</v>
      </c>
      <c r="I10" s="260">
        <v>60767</v>
      </c>
      <c r="J10" s="253">
        <v>59752</v>
      </c>
    </row>
    <row r="11" spans="1:10" ht="21.6" customHeight="1">
      <c r="A11" s="262" t="s">
        <v>123</v>
      </c>
      <c r="B11" s="261">
        <v>119476</v>
      </c>
      <c r="C11" s="260">
        <v>61411</v>
      </c>
      <c r="D11" s="260">
        <v>58065</v>
      </c>
      <c r="E11" s="261">
        <v>30929</v>
      </c>
      <c r="F11" s="260">
        <v>15635</v>
      </c>
      <c r="G11" s="260">
        <v>15294</v>
      </c>
      <c r="H11" s="261">
        <v>88547</v>
      </c>
      <c r="I11" s="260">
        <v>45776</v>
      </c>
      <c r="J11" s="253">
        <v>42771</v>
      </c>
    </row>
    <row r="12" spans="1:10" ht="21.6" customHeight="1">
      <c r="A12" s="262" t="s">
        <v>122</v>
      </c>
      <c r="B12" s="261">
        <v>119429</v>
      </c>
      <c r="C12" s="260">
        <v>59810</v>
      </c>
      <c r="D12" s="260">
        <v>59619</v>
      </c>
      <c r="E12" s="261">
        <v>30931</v>
      </c>
      <c r="F12" s="260">
        <v>15228</v>
      </c>
      <c r="G12" s="260">
        <v>15703</v>
      </c>
      <c r="H12" s="261">
        <v>88498</v>
      </c>
      <c r="I12" s="260">
        <v>44582</v>
      </c>
      <c r="J12" s="253">
        <v>43916</v>
      </c>
    </row>
    <row r="13" spans="1:10" ht="21.6" customHeight="1">
      <c r="A13" s="262" t="s">
        <v>121</v>
      </c>
      <c r="B13" s="261">
        <v>348174</v>
      </c>
      <c r="C13" s="260">
        <v>165206</v>
      </c>
      <c r="D13" s="260">
        <v>182968</v>
      </c>
      <c r="E13" s="261">
        <v>90253</v>
      </c>
      <c r="F13" s="260">
        <v>42061</v>
      </c>
      <c r="G13" s="260">
        <v>48192</v>
      </c>
      <c r="H13" s="261">
        <v>257921</v>
      </c>
      <c r="I13" s="260">
        <v>123145</v>
      </c>
      <c r="J13" s="253">
        <v>134776</v>
      </c>
    </row>
    <row r="14" spans="1:10" ht="21.6" customHeight="1">
      <c r="A14" s="262" t="s">
        <v>120</v>
      </c>
      <c r="B14" s="261">
        <v>366945</v>
      </c>
      <c r="C14" s="260">
        <v>173970</v>
      </c>
      <c r="D14" s="260">
        <v>192975</v>
      </c>
      <c r="E14" s="261">
        <v>95124</v>
      </c>
      <c r="F14" s="260">
        <v>44293</v>
      </c>
      <c r="G14" s="260">
        <v>50831</v>
      </c>
      <c r="H14" s="261">
        <v>271821</v>
      </c>
      <c r="I14" s="260">
        <v>129677</v>
      </c>
      <c r="J14" s="253">
        <v>142144</v>
      </c>
    </row>
    <row r="15" spans="1:10" ht="21.6" customHeight="1">
      <c r="A15" s="334" t="s">
        <v>119</v>
      </c>
      <c r="B15" s="333">
        <v>503437</v>
      </c>
      <c r="C15" s="332">
        <v>228976</v>
      </c>
      <c r="D15" s="332">
        <v>274461</v>
      </c>
      <c r="E15" s="333">
        <v>130593</v>
      </c>
      <c r="F15" s="332">
        <v>58299</v>
      </c>
      <c r="G15" s="332">
        <v>72294</v>
      </c>
      <c r="H15" s="333">
        <v>372844</v>
      </c>
      <c r="I15" s="332">
        <v>170677</v>
      </c>
      <c r="J15" s="331">
        <v>202167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82" t="s">
        <v>137</v>
      </c>
    </row>
    <row r="18" spans="1:1" ht="21.2" customHeight="1">
      <c r="A18" s="282" t="s">
        <v>136</v>
      </c>
    </row>
    <row r="19" spans="1:1" ht="21.6" customHeight="1">
      <c r="A19" s="281" t="s">
        <v>135</v>
      </c>
    </row>
    <row r="20" spans="1:1" ht="21.6" customHeight="1">
      <c r="A20" s="280"/>
    </row>
    <row r="21" spans="1:1" ht="21.6" customHeight="1">
      <c r="A21" s="28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4" workbookViewId="0">
      <selection activeCell="D11" sqref="D11"/>
    </sheetView>
  </sheetViews>
  <sheetFormatPr defaultColWidth="8" defaultRowHeight="21.75"/>
  <cols>
    <col min="1" max="1" width="19" style="254" customWidth="1"/>
    <col min="2" max="10" width="13.5703125" style="253" customWidth="1"/>
    <col min="11" max="16384" width="8" style="3"/>
  </cols>
  <sheetData>
    <row r="1" spans="1:10">
      <c r="A1" s="279" t="s">
        <v>139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2484356</v>
      </c>
      <c r="C5" s="266">
        <v>1215118</v>
      </c>
      <c r="D5" s="266">
        <v>1269238</v>
      </c>
      <c r="E5" s="266">
        <v>643686</v>
      </c>
      <c r="F5" s="266">
        <v>309368</v>
      </c>
      <c r="G5" s="266">
        <v>334318</v>
      </c>
      <c r="H5" s="266">
        <v>1840670</v>
      </c>
      <c r="I5" s="266">
        <v>905750</v>
      </c>
      <c r="J5" s="265">
        <v>934920</v>
      </c>
    </row>
    <row r="6" spans="1:10" ht="21.6" customHeight="1">
      <c r="A6" s="264" t="s">
        <v>128</v>
      </c>
      <c r="B6" s="261">
        <v>434037</v>
      </c>
      <c r="C6" s="261">
        <v>224678</v>
      </c>
      <c r="D6" s="261">
        <v>209359</v>
      </c>
      <c r="E6" s="261">
        <v>112348</v>
      </c>
      <c r="F6" s="260">
        <v>57202</v>
      </c>
      <c r="G6" s="260">
        <v>55146</v>
      </c>
      <c r="H6" s="261">
        <v>321689</v>
      </c>
      <c r="I6" s="260">
        <v>167476</v>
      </c>
      <c r="J6" s="253">
        <v>154213</v>
      </c>
    </row>
    <row r="7" spans="1:10" ht="21.6" customHeight="1">
      <c r="A7" s="263" t="s">
        <v>127</v>
      </c>
      <c r="B7" s="261">
        <v>114479</v>
      </c>
      <c r="C7" s="261">
        <v>59256</v>
      </c>
      <c r="D7" s="261">
        <v>55223</v>
      </c>
      <c r="E7" s="261">
        <v>29633</v>
      </c>
      <c r="F7" s="260">
        <v>15087</v>
      </c>
      <c r="G7" s="260">
        <v>14546</v>
      </c>
      <c r="H7" s="261">
        <v>84846</v>
      </c>
      <c r="I7" s="260">
        <v>44169</v>
      </c>
      <c r="J7" s="253">
        <v>40677</v>
      </c>
    </row>
    <row r="8" spans="1:10" ht="21.6" customHeight="1">
      <c r="A8" s="264" t="s">
        <v>126</v>
      </c>
      <c r="B8" s="261">
        <v>83152</v>
      </c>
      <c r="C8" s="261">
        <v>42732</v>
      </c>
      <c r="D8" s="261">
        <v>40420</v>
      </c>
      <c r="E8" s="261">
        <v>21527</v>
      </c>
      <c r="F8" s="260">
        <v>10880</v>
      </c>
      <c r="G8" s="260">
        <v>10647</v>
      </c>
      <c r="H8" s="261">
        <v>61625</v>
      </c>
      <c r="I8" s="260">
        <v>31852</v>
      </c>
      <c r="J8" s="253">
        <v>29773</v>
      </c>
    </row>
    <row r="9" spans="1:10" ht="21.6" customHeight="1">
      <c r="A9" s="263" t="s">
        <v>125</v>
      </c>
      <c r="B9" s="261">
        <v>231911</v>
      </c>
      <c r="C9" s="261">
        <v>117326</v>
      </c>
      <c r="D9" s="261">
        <v>114585</v>
      </c>
      <c r="E9" s="261">
        <v>60053</v>
      </c>
      <c r="F9" s="260">
        <v>29871</v>
      </c>
      <c r="G9" s="260">
        <v>30182</v>
      </c>
      <c r="H9" s="261">
        <v>171858</v>
      </c>
      <c r="I9" s="260">
        <v>87455</v>
      </c>
      <c r="J9" s="253">
        <v>84403</v>
      </c>
    </row>
    <row r="10" spans="1:10" ht="21.6" customHeight="1">
      <c r="A10" s="262" t="s">
        <v>124</v>
      </c>
      <c r="B10" s="261">
        <v>163617</v>
      </c>
      <c r="C10" s="261">
        <v>81972</v>
      </c>
      <c r="D10" s="261">
        <v>81645</v>
      </c>
      <c r="E10" s="261">
        <v>42373</v>
      </c>
      <c r="F10" s="260">
        <v>20869</v>
      </c>
      <c r="G10" s="260">
        <v>21504</v>
      </c>
      <c r="H10" s="261">
        <v>121244</v>
      </c>
      <c r="I10" s="260">
        <v>61103</v>
      </c>
      <c r="J10" s="253">
        <v>60141</v>
      </c>
    </row>
    <row r="11" spans="1:10" ht="21.6" customHeight="1">
      <c r="A11" s="262" t="s">
        <v>123</v>
      </c>
      <c r="B11" s="261">
        <v>119288</v>
      </c>
      <c r="C11" s="261">
        <v>61295</v>
      </c>
      <c r="D11" s="261">
        <v>57993</v>
      </c>
      <c r="E11" s="261">
        <v>30881</v>
      </c>
      <c r="F11" s="260">
        <v>15606</v>
      </c>
      <c r="G11" s="260">
        <v>15275</v>
      </c>
      <c r="H11" s="261">
        <v>88407</v>
      </c>
      <c r="I11" s="260">
        <v>45689</v>
      </c>
      <c r="J11" s="253">
        <v>42718</v>
      </c>
    </row>
    <row r="12" spans="1:10" ht="21.6" customHeight="1">
      <c r="A12" s="262" t="s">
        <v>122</v>
      </c>
      <c r="B12" s="261">
        <v>118609</v>
      </c>
      <c r="C12" s="261">
        <v>59447</v>
      </c>
      <c r="D12" s="261">
        <v>59162</v>
      </c>
      <c r="E12" s="261">
        <v>30718</v>
      </c>
      <c r="F12" s="260">
        <v>15134</v>
      </c>
      <c r="G12" s="260">
        <v>15584</v>
      </c>
      <c r="H12" s="261">
        <v>87891</v>
      </c>
      <c r="I12" s="260">
        <v>44313</v>
      </c>
      <c r="J12" s="253">
        <v>43578</v>
      </c>
    </row>
    <row r="13" spans="1:10" ht="21.6" customHeight="1">
      <c r="A13" s="262" t="s">
        <v>121</v>
      </c>
      <c r="B13" s="261">
        <v>346890</v>
      </c>
      <c r="C13" s="261">
        <v>164580</v>
      </c>
      <c r="D13" s="261">
        <v>182310</v>
      </c>
      <c r="E13" s="261">
        <v>89921</v>
      </c>
      <c r="F13" s="260">
        <v>41901</v>
      </c>
      <c r="G13" s="260">
        <v>48020</v>
      </c>
      <c r="H13" s="261">
        <v>256969</v>
      </c>
      <c r="I13" s="260">
        <v>122679</v>
      </c>
      <c r="J13" s="253">
        <v>134290</v>
      </c>
    </row>
    <row r="14" spans="1:10" ht="21.6" customHeight="1">
      <c r="A14" s="262" t="s">
        <v>120</v>
      </c>
      <c r="B14" s="261">
        <v>367356</v>
      </c>
      <c r="C14" s="261">
        <v>174147</v>
      </c>
      <c r="D14" s="261">
        <v>193209</v>
      </c>
      <c r="E14" s="261">
        <v>95228</v>
      </c>
      <c r="F14" s="260">
        <v>44338</v>
      </c>
      <c r="G14" s="260">
        <v>50890</v>
      </c>
      <c r="H14" s="261">
        <v>272128</v>
      </c>
      <c r="I14" s="260">
        <v>129809</v>
      </c>
      <c r="J14" s="253">
        <v>142319</v>
      </c>
    </row>
    <row r="15" spans="1:10" ht="21.6" customHeight="1">
      <c r="A15" s="334" t="s">
        <v>119</v>
      </c>
      <c r="B15" s="333">
        <v>505017</v>
      </c>
      <c r="C15" s="333">
        <v>229685</v>
      </c>
      <c r="D15" s="333">
        <v>275332</v>
      </c>
      <c r="E15" s="333">
        <v>131004</v>
      </c>
      <c r="F15" s="332">
        <v>58480</v>
      </c>
      <c r="G15" s="332">
        <v>72524</v>
      </c>
      <c r="H15" s="333">
        <v>374013</v>
      </c>
      <c r="I15" s="332">
        <v>171205</v>
      </c>
      <c r="J15" s="331">
        <v>202808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118</v>
      </c>
    </row>
    <row r="18" spans="1:1" ht="21.2" customHeight="1">
      <c r="A18" s="257" t="s">
        <v>117</v>
      </c>
    </row>
    <row r="19" spans="1:1" ht="21.6" customHeight="1">
      <c r="A19" s="256" t="s">
        <v>116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8" workbookViewId="0">
      <selection activeCell="D8" sqref="D8"/>
    </sheetView>
  </sheetViews>
  <sheetFormatPr defaultColWidth="8" defaultRowHeight="18.75"/>
  <cols>
    <col min="1" max="1" width="16.42578125" style="284" customWidth="1"/>
    <col min="2" max="2" width="10.140625" style="283" customWidth="1"/>
    <col min="3" max="3" width="9.85546875" style="283" customWidth="1"/>
    <col min="4" max="4" width="10.28515625" style="283" customWidth="1"/>
    <col min="5" max="5" width="9.5703125" style="283" customWidth="1"/>
    <col min="6" max="6" width="9.42578125" style="283" customWidth="1"/>
    <col min="7" max="7" width="9.140625" style="283" customWidth="1"/>
    <col min="8" max="8" width="10.28515625" style="283" customWidth="1"/>
    <col min="9" max="9" width="9" style="283" customWidth="1"/>
    <col min="10" max="10" width="9.7109375" style="283" customWidth="1"/>
    <col min="11" max="16384" width="8" style="7"/>
  </cols>
  <sheetData>
    <row r="1" spans="1:10">
      <c r="A1" s="303" t="s">
        <v>140</v>
      </c>
    </row>
    <row r="3" spans="1:10" s="4" customFormat="1">
      <c r="A3" s="251" t="s">
        <v>133</v>
      </c>
      <c r="B3" s="302" t="s">
        <v>0</v>
      </c>
      <c r="C3" s="299"/>
      <c r="D3" s="301"/>
      <c r="E3" s="299" t="s">
        <v>132</v>
      </c>
      <c r="F3" s="300"/>
      <c r="G3" s="301"/>
      <c r="H3" s="299" t="s">
        <v>131</v>
      </c>
      <c r="I3" s="300"/>
      <c r="J3" s="299"/>
    </row>
    <row r="4" spans="1:10" s="4" customFormat="1">
      <c r="A4" s="298" t="s">
        <v>130</v>
      </c>
      <c r="B4" s="297" t="s">
        <v>0</v>
      </c>
      <c r="C4" s="296" t="s">
        <v>1</v>
      </c>
      <c r="D4" s="296" t="s">
        <v>2</v>
      </c>
      <c r="E4" s="296" t="s">
        <v>0</v>
      </c>
      <c r="F4" s="296" t="s">
        <v>1</v>
      </c>
      <c r="G4" s="296" t="s">
        <v>2</v>
      </c>
      <c r="H4" s="296" t="s">
        <v>0</v>
      </c>
      <c r="I4" s="296" t="s">
        <v>1</v>
      </c>
      <c r="J4" s="295" t="s">
        <v>2</v>
      </c>
    </row>
    <row r="5" spans="1:10" s="4" customFormat="1" ht="21.6" customHeight="1">
      <c r="A5" s="294" t="s">
        <v>129</v>
      </c>
      <c r="B5" s="293">
        <v>2484028</v>
      </c>
      <c r="C5" s="293">
        <v>1214883</v>
      </c>
      <c r="D5" s="293">
        <v>1269145</v>
      </c>
      <c r="E5" s="293">
        <v>643600</v>
      </c>
      <c r="F5" s="293">
        <v>309308</v>
      </c>
      <c r="G5" s="293">
        <v>334292</v>
      </c>
      <c r="H5" s="293">
        <v>1840428</v>
      </c>
      <c r="I5" s="293">
        <v>905575</v>
      </c>
      <c r="J5" s="292">
        <v>934853</v>
      </c>
    </row>
    <row r="6" spans="1:10" ht="21.6" customHeight="1">
      <c r="A6" s="291" t="s">
        <v>128</v>
      </c>
      <c r="B6" s="288">
        <v>433206</v>
      </c>
      <c r="C6" s="287">
        <v>224250</v>
      </c>
      <c r="D6" s="287">
        <v>208956</v>
      </c>
      <c r="E6" s="288">
        <v>112131</v>
      </c>
      <c r="F6" s="287">
        <v>57093</v>
      </c>
      <c r="G6" s="287">
        <v>55038</v>
      </c>
      <c r="H6" s="288">
        <v>321075</v>
      </c>
      <c r="I6" s="287">
        <v>167157</v>
      </c>
      <c r="J6" s="283">
        <v>153918</v>
      </c>
    </row>
    <row r="7" spans="1:10" ht="21.6" customHeight="1">
      <c r="A7" s="290" t="s">
        <v>127</v>
      </c>
      <c r="B7" s="288">
        <v>114197</v>
      </c>
      <c r="C7" s="287">
        <v>59114</v>
      </c>
      <c r="D7" s="287">
        <v>55083</v>
      </c>
      <c r="E7" s="288">
        <v>29560</v>
      </c>
      <c r="F7" s="287">
        <v>15051</v>
      </c>
      <c r="G7" s="287">
        <v>14509</v>
      </c>
      <c r="H7" s="288">
        <v>84637</v>
      </c>
      <c r="I7" s="287">
        <v>44063</v>
      </c>
      <c r="J7" s="283">
        <v>40574</v>
      </c>
    </row>
    <row r="8" spans="1:10" ht="21.6" customHeight="1">
      <c r="A8" s="291" t="s">
        <v>126</v>
      </c>
      <c r="B8" s="288">
        <v>83028</v>
      </c>
      <c r="C8" s="287">
        <v>42674</v>
      </c>
      <c r="D8" s="287">
        <v>40354</v>
      </c>
      <c r="E8" s="288">
        <v>21494</v>
      </c>
      <c r="F8" s="287">
        <v>10865</v>
      </c>
      <c r="G8" s="287">
        <v>10629</v>
      </c>
      <c r="H8" s="288">
        <v>61534</v>
      </c>
      <c r="I8" s="287">
        <v>31809</v>
      </c>
      <c r="J8" s="283">
        <v>29725</v>
      </c>
    </row>
    <row r="9" spans="1:10" ht="21.6" customHeight="1">
      <c r="A9" s="290" t="s">
        <v>125</v>
      </c>
      <c r="B9" s="288">
        <v>232126</v>
      </c>
      <c r="C9" s="287">
        <v>117478</v>
      </c>
      <c r="D9" s="287">
        <v>114648</v>
      </c>
      <c r="E9" s="288">
        <v>60109</v>
      </c>
      <c r="F9" s="287">
        <v>29910</v>
      </c>
      <c r="G9" s="287">
        <v>30199</v>
      </c>
      <c r="H9" s="288">
        <v>172017</v>
      </c>
      <c r="I9" s="287">
        <v>87568</v>
      </c>
      <c r="J9" s="283">
        <v>84449</v>
      </c>
    </row>
    <row r="10" spans="1:10" ht="21.6" customHeight="1">
      <c r="A10" s="289" t="s">
        <v>124</v>
      </c>
      <c r="B10" s="288">
        <v>164599</v>
      </c>
      <c r="C10" s="287">
        <v>82426</v>
      </c>
      <c r="D10" s="287">
        <v>82173</v>
      </c>
      <c r="E10" s="288">
        <v>42630</v>
      </c>
      <c r="F10" s="287">
        <v>20985</v>
      </c>
      <c r="G10" s="287">
        <v>21645</v>
      </c>
      <c r="H10" s="288">
        <v>121969</v>
      </c>
      <c r="I10" s="287">
        <v>61441</v>
      </c>
      <c r="J10" s="283">
        <v>60528</v>
      </c>
    </row>
    <row r="11" spans="1:10" ht="21.6" customHeight="1">
      <c r="A11" s="289" t="s">
        <v>123</v>
      </c>
      <c r="B11" s="288">
        <v>119102</v>
      </c>
      <c r="C11" s="287">
        <v>61182</v>
      </c>
      <c r="D11" s="287">
        <v>57920</v>
      </c>
      <c r="E11" s="288">
        <v>30833</v>
      </c>
      <c r="F11" s="287">
        <v>15577</v>
      </c>
      <c r="G11" s="287">
        <v>15256</v>
      </c>
      <c r="H11" s="288">
        <v>88269</v>
      </c>
      <c r="I11" s="287">
        <v>45605</v>
      </c>
      <c r="J11" s="283">
        <v>42664</v>
      </c>
    </row>
    <row r="12" spans="1:10" ht="21.6" customHeight="1">
      <c r="A12" s="289" t="s">
        <v>122</v>
      </c>
      <c r="B12" s="288">
        <v>117791</v>
      </c>
      <c r="C12" s="287">
        <v>59087</v>
      </c>
      <c r="D12" s="287">
        <v>58704</v>
      </c>
      <c r="E12" s="288">
        <v>30505</v>
      </c>
      <c r="F12" s="287">
        <v>15043</v>
      </c>
      <c r="G12" s="287">
        <v>15462</v>
      </c>
      <c r="H12" s="288">
        <v>87286</v>
      </c>
      <c r="I12" s="287">
        <v>44044</v>
      </c>
      <c r="J12" s="283">
        <v>43242</v>
      </c>
    </row>
    <row r="13" spans="1:10" ht="21.6" customHeight="1">
      <c r="A13" s="289" t="s">
        <v>121</v>
      </c>
      <c r="B13" s="288">
        <v>345606</v>
      </c>
      <c r="C13" s="287">
        <v>163951</v>
      </c>
      <c r="D13" s="287">
        <v>181655</v>
      </c>
      <c r="E13" s="288">
        <v>89590</v>
      </c>
      <c r="F13" s="287">
        <v>41742</v>
      </c>
      <c r="G13" s="287">
        <v>47848</v>
      </c>
      <c r="H13" s="288">
        <v>256016</v>
      </c>
      <c r="I13" s="287">
        <v>122209</v>
      </c>
      <c r="J13" s="283">
        <v>133807</v>
      </c>
    </row>
    <row r="14" spans="1:10" ht="21.6" customHeight="1">
      <c r="A14" s="289" t="s">
        <v>120</v>
      </c>
      <c r="B14" s="288">
        <v>367770</v>
      </c>
      <c r="C14" s="287">
        <v>174323</v>
      </c>
      <c r="D14" s="287">
        <v>193447</v>
      </c>
      <c r="E14" s="288">
        <v>95337</v>
      </c>
      <c r="F14" s="287">
        <v>44383</v>
      </c>
      <c r="G14" s="287">
        <v>50954</v>
      </c>
      <c r="H14" s="288">
        <v>272433</v>
      </c>
      <c r="I14" s="287">
        <v>129940</v>
      </c>
      <c r="J14" s="283">
        <v>142493</v>
      </c>
    </row>
    <row r="15" spans="1:10" ht="21.6" customHeight="1">
      <c r="A15" s="629" t="s">
        <v>119</v>
      </c>
      <c r="B15" s="630">
        <v>506603</v>
      </c>
      <c r="C15" s="631">
        <v>230398</v>
      </c>
      <c r="D15" s="631">
        <v>276205</v>
      </c>
      <c r="E15" s="630">
        <v>131411</v>
      </c>
      <c r="F15" s="631">
        <v>58659</v>
      </c>
      <c r="G15" s="631">
        <v>72752</v>
      </c>
      <c r="H15" s="630">
        <v>375192</v>
      </c>
      <c r="I15" s="631">
        <v>171739</v>
      </c>
      <c r="J15" s="632">
        <v>203453</v>
      </c>
    </row>
    <row r="16" spans="1:10" ht="6" customHeight="1">
      <c r="A16" s="286"/>
      <c r="B16" s="285"/>
      <c r="C16" s="285"/>
      <c r="D16" s="285"/>
      <c r="E16" s="285"/>
      <c r="F16" s="285"/>
      <c r="G16" s="285"/>
      <c r="H16" s="285"/>
      <c r="I16" s="285"/>
      <c r="J16" s="285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9" workbookViewId="0">
      <selection activeCell="B10" sqref="B10"/>
    </sheetView>
  </sheetViews>
  <sheetFormatPr defaultColWidth="8" defaultRowHeight="24"/>
  <cols>
    <col min="1" max="1" width="17.7109375" style="306" customWidth="1"/>
    <col min="2" max="10" width="15.7109375" style="305" customWidth="1"/>
    <col min="11" max="16384" width="8" style="304"/>
  </cols>
  <sheetData>
    <row r="1" spans="1:10">
      <c r="A1" s="330" t="s">
        <v>141</v>
      </c>
      <c r="F1" s="624"/>
      <c r="G1" s="258"/>
      <c r="H1" s="258"/>
      <c r="I1" s="310"/>
    </row>
    <row r="3" spans="1:10" s="317" customFormat="1">
      <c r="A3" s="329" t="s">
        <v>133</v>
      </c>
      <c r="B3" s="328" t="s">
        <v>0</v>
      </c>
      <c r="C3" s="325"/>
      <c r="D3" s="327"/>
      <c r="E3" s="325" t="s">
        <v>132</v>
      </c>
      <c r="F3" s="326"/>
      <c r="G3" s="327"/>
      <c r="H3" s="325" t="s">
        <v>131</v>
      </c>
      <c r="I3" s="326"/>
      <c r="J3" s="325"/>
    </row>
    <row r="4" spans="1:10" s="317" customFormat="1">
      <c r="A4" s="324" t="s">
        <v>130</v>
      </c>
      <c r="B4" s="323" t="s">
        <v>0</v>
      </c>
      <c r="C4" s="322" t="s">
        <v>1</v>
      </c>
      <c r="D4" s="322" t="s">
        <v>2</v>
      </c>
      <c r="E4" s="322" t="s">
        <v>0</v>
      </c>
      <c r="F4" s="322" t="s">
        <v>1</v>
      </c>
      <c r="G4" s="322" t="s">
        <v>2</v>
      </c>
      <c r="H4" s="322" t="s">
        <v>0</v>
      </c>
      <c r="I4" s="322" t="s">
        <v>1</v>
      </c>
      <c r="J4" s="321" t="s">
        <v>2</v>
      </c>
    </row>
    <row r="5" spans="1:10" s="317" customFormat="1" ht="21.6" customHeight="1">
      <c r="A5" s="320" t="s">
        <v>129</v>
      </c>
      <c r="B5" s="319">
        <v>2483736</v>
      </c>
      <c r="C5" s="319">
        <v>1214667</v>
      </c>
      <c r="D5" s="319">
        <v>1269069</v>
      </c>
      <c r="E5" s="319">
        <v>643528</v>
      </c>
      <c r="F5" s="319">
        <v>309254</v>
      </c>
      <c r="G5" s="319">
        <v>334274</v>
      </c>
      <c r="H5" s="319">
        <v>1840208</v>
      </c>
      <c r="I5" s="319">
        <v>905413</v>
      </c>
      <c r="J5" s="318">
        <v>934795</v>
      </c>
    </row>
    <row r="6" spans="1:10" ht="21.6" customHeight="1">
      <c r="A6" s="316" t="s">
        <v>128</v>
      </c>
      <c r="B6" s="313">
        <v>432381</v>
      </c>
      <c r="C6" s="312">
        <v>223831</v>
      </c>
      <c r="D6" s="312">
        <v>208550</v>
      </c>
      <c r="E6" s="313">
        <v>111921</v>
      </c>
      <c r="F6" s="312">
        <v>56989</v>
      </c>
      <c r="G6" s="312">
        <v>54932</v>
      </c>
      <c r="H6" s="313">
        <v>320460</v>
      </c>
      <c r="I6" s="312">
        <v>166842</v>
      </c>
      <c r="J6" s="305">
        <v>153618</v>
      </c>
    </row>
    <row r="7" spans="1:10" ht="21.6" customHeight="1">
      <c r="A7" s="315" t="s">
        <v>127</v>
      </c>
      <c r="B7" s="313">
        <v>113914</v>
      </c>
      <c r="C7" s="312">
        <v>58971</v>
      </c>
      <c r="D7" s="312">
        <v>54943</v>
      </c>
      <c r="E7" s="313">
        <v>29486</v>
      </c>
      <c r="F7" s="312">
        <v>15014</v>
      </c>
      <c r="G7" s="312">
        <v>14472</v>
      </c>
      <c r="H7" s="313">
        <v>84428</v>
      </c>
      <c r="I7" s="312">
        <v>43957</v>
      </c>
      <c r="J7" s="305">
        <v>40471</v>
      </c>
    </row>
    <row r="8" spans="1:10" ht="21.6" customHeight="1">
      <c r="A8" s="316" t="s">
        <v>126</v>
      </c>
      <c r="B8" s="313">
        <v>82903</v>
      </c>
      <c r="C8" s="312">
        <v>42616</v>
      </c>
      <c r="D8" s="312">
        <v>40287</v>
      </c>
      <c r="E8" s="313">
        <v>21462</v>
      </c>
      <c r="F8" s="312">
        <v>10850</v>
      </c>
      <c r="G8" s="312">
        <v>10612</v>
      </c>
      <c r="H8" s="313">
        <v>61441</v>
      </c>
      <c r="I8" s="312">
        <v>31766</v>
      </c>
      <c r="J8" s="305">
        <v>29675</v>
      </c>
    </row>
    <row r="9" spans="1:10" ht="21.6" customHeight="1">
      <c r="A9" s="315" t="s">
        <v>125</v>
      </c>
      <c r="B9" s="313">
        <v>232341</v>
      </c>
      <c r="C9" s="312">
        <v>117630</v>
      </c>
      <c r="D9" s="312">
        <v>114711</v>
      </c>
      <c r="E9" s="313">
        <v>60163</v>
      </c>
      <c r="F9" s="312">
        <v>29949</v>
      </c>
      <c r="G9" s="312">
        <v>30214</v>
      </c>
      <c r="H9" s="313">
        <v>172178</v>
      </c>
      <c r="I9" s="312">
        <v>87681</v>
      </c>
      <c r="J9" s="305">
        <v>84497</v>
      </c>
    </row>
    <row r="10" spans="1:10" ht="21.6" customHeight="1">
      <c r="A10" s="314" t="s">
        <v>124</v>
      </c>
      <c r="B10" s="313">
        <v>165586</v>
      </c>
      <c r="C10" s="312">
        <v>82880</v>
      </c>
      <c r="D10" s="312">
        <v>82706</v>
      </c>
      <c r="E10" s="313">
        <v>42886</v>
      </c>
      <c r="F10" s="312">
        <v>21101</v>
      </c>
      <c r="G10" s="312">
        <v>21785</v>
      </c>
      <c r="H10" s="313">
        <v>122700</v>
      </c>
      <c r="I10" s="312">
        <v>61779</v>
      </c>
      <c r="J10" s="305">
        <v>60921</v>
      </c>
    </row>
    <row r="11" spans="1:10" ht="21.6" customHeight="1">
      <c r="A11" s="314" t="s">
        <v>123</v>
      </c>
      <c r="B11" s="313">
        <v>118918</v>
      </c>
      <c r="C11" s="312">
        <v>61070</v>
      </c>
      <c r="D11" s="312">
        <v>57848</v>
      </c>
      <c r="E11" s="313">
        <v>30786</v>
      </c>
      <c r="F11" s="312">
        <v>15549</v>
      </c>
      <c r="G11" s="312">
        <v>15237</v>
      </c>
      <c r="H11" s="313">
        <v>88132</v>
      </c>
      <c r="I11" s="312">
        <v>45521</v>
      </c>
      <c r="J11" s="305">
        <v>42611</v>
      </c>
    </row>
    <row r="12" spans="1:10" ht="21.6" customHeight="1">
      <c r="A12" s="314" t="s">
        <v>122</v>
      </c>
      <c r="B12" s="313">
        <v>116978</v>
      </c>
      <c r="C12" s="312">
        <v>58728</v>
      </c>
      <c r="D12" s="312">
        <v>58250</v>
      </c>
      <c r="E12" s="313">
        <v>30295</v>
      </c>
      <c r="F12" s="312">
        <v>14952</v>
      </c>
      <c r="G12" s="312">
        <v>15343</v>
      </c>
      <c r="H12" s="313">
        <v>86683</v>
      </c>
      <c r="I12" s="312">
        <v>43776</v>
      </c>
      <c r="J12" s="305">
        <v>42907</v>
      </c>
    </row>
    <row r="13" spans="1:10" ht="21.6" customHeight="1">
      <c r="A13" s="314" t="s">
        <v>121</v>
      </c>
      <c r="B13" s="313">
        <v>344330</v>
      </c>
      <c r="C13" s="312">
        <v>163326</v>
      </c>
      <c r="D13" s="312">
        <v>181004</v>
      </c>
      <c r="E13" s="313">
        <v>89258</v>
      </c>
      <c r="F13" s="312">
        <v>41582</v>
      </c>
      <c r="G13" s="312">
        <v>47676</v>
      </c>
      <c r="H13" s="313">
        <v>255072</v>
      </c>
      <c r="I13" s="312">
        <v>121744</v>
      </c>
      <c r="J13" s="305">
        <v>133328</v>
      </c>
    </row>
    <row r="14" spans="1:10" ht="21.6" customHeight="1">
      <c r="A14" s="314" t="s">
        <v>120</v>
      </c>
      <c r="B14" s="313">
        <v>368188</v>
      </c>
      <c r="C14" s="312">
        <v>174502</v>
      </c>
      <c r="D14" s="312">
        <v>193686</v>
      </c>
      <c r="E14" s="313">
        <v>95447</v>
      </c>
      <c r="F14" s="312">
        <v>44428</v>
      </c>
      <c r="G14" s="312">
        <v>51019</v>
      </c>
      <c r="H14" s="313">
        <v>272741</v>
      </c>
      <c r="I14" s="312">
        <v>130074</v>
      </c>
      <c r="J14" s="305">
        <v>142667</v>
      </c>
    </row>
    <row r="15" spans="1:10" ht="21.6" customHeight="1">
      <c r="A15" s="625" t="s">
        <v>119</v>
      </c>
      <c r="B15" s="626">
        <v>508197</v>
      </c>
      <c r="C15" s="627">
        <v>231113</v>
      </c>
      <c r="D15" s="627">
        <v>277084</v>
      </c>
      <c r="E15" s="626">
        <v>131824</v>
      </c>
      <c r="F15" s="627">
        <v>58840</v>
      </c>
      <c r="G15" s="627">
        <v>72984</v>
      </c>
      <c r="H15" s="626">
        <v>376373</v>
      </c>
      <c r="I15" s="627">
        <v>172273</v>
      </c>
      <c r="J15" s="628">
        <v>204100</v>
      </c>
    </row>
    <row r="16" spans="1:10" ht="6" customHeight="1">
      <c r="A16" s="311"/>
      <c r="B16" s="310"/>
      <c r="C16" s="310"/>
      <c r="D16" s="310"/>
      <c r="E16" s="310"/>
      <c r="F16" s="310"/>
      <c r="G16" s="310"/>
      <c r="H16" s="310"/>
      <c r="I16" s="310"/>
      <c r="J16" s="310"/>
    </row>
    <row r="17" spans="1:1" ht="21.2" customHeight="1">
      <c r="A17" s="309" t="s">
        <v>137</v>
      </c>
    </row>
    <row r="18" spans="1:1" ht="21.2" customHeight="1">
      <c r="A18" s="309" t="s">
        <v>136</v>
      </c>
    </row>
    <row r="19" spans="1:1" ht="21.6" customHeight="1">
      <c r="A19" s="308" t="s">
        <v>135</v>
      </c>
    </row>
    <row r="20" spans="1:1" ht="21.6" customHeight="1">
      <c r="A20" s="307"/>
    </row>
    <row r="21" spans="1:1" ht="21.6" customHeight="1">
      <c r="A21" s="307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15" sqref="A14:J15"/>
    </sheetView>
  </sheetViews>
  <sheetFormatPr defaultColWidth="8" defaultRowHeight="21.75"/>
  <cols>
    <col min="1" max="1" width="18.7109375" style="254" customWidth="1"/>
    <col min="2" max="2" width="11.5703125" style="253" bestFit="1" customWidth="1"/>
    <col min="3" max="3" width="10.42578125" style="253" bestFit="1" customWidth="1"/>
    <col min="4" max="4" width="10.28515625" style="253" bestFit="1" customWidth="1"/>
    <col min="5" max="5" width="10.42578125" style="253" bestFit="1" customWidth="1"/>
    <col min="6" max="6" width="10.28515625" style="253" bestFit="1" customWidth="1"/>
    <col min="7" max="7" width="10.7109375" style="253" bestFit="1" customWidth="1"/>
    <col min="8" max="8" width="11.5703125" style="253" bestFit="1" customWidth="1"/>
    <col min="9" max="9" width="10.28515625" style="253" bestFit="1" customWidth="1"/>
    <col min="10" max="10" width="10.42578125" style="253" bestFit="1" customWidth="1"/>
    <col min="11" max="16384" width="8" style="3"/>
  </cols>
  <sheetData>
    <row r="1" spans="1:10">
      <c r="A1" s="279" t="s">
        <v>142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2483461</v>
      </c>
      <c r="C5" s="266">
        <v>1214455</v>
      </c>
      <c r="D5" s="266">
        <v>1269006</v>
      </c>
      <c r="E5" s="266">
        <v>643455</v>
      </c>
      <c r="F5" s="266">
        <v>309199</v>
      </c>
      <c r="G5" s="266">
        <v>334256</v>
      </c>
      <c r="H5" s="266">
        <v>1840006</v>
      </c>
      <c r="I5" s="266">
        <v>905256</v>
      </c>
      <c r="J5" s="265">
        <v>934750</v>
      </c>
    </row>
    <row r="6" spans="1:10" ht="21.6" customHeight="1">
      <c r="A6" s="264" t="s">
        <v>128</v>
      </c>
      <c r="B6" s="261">
        <v>431550</v>
      </c>
      <c r="C6" s="260">
        <v>223403</v>
      </c>
      <c r="D6" s="260">
        <v>208147</v>
      </c>
      <c r="E6" s="261">
        <v>111702</v>
      </c>
      <c r="F6" s="260">
        <v>56877</v>
      </c>
      <c r="G6" s="260">
        <v>54825</v>
      </c>
      <c r="H6" s="261">
        <v>319848</v>
      </c>
      <c r="I6" s="260">
        <v>166526</v>
      </c>
      <c r="J6" s="253">
        <v>153322</v>
      </c>
    </row>
    <row r="7" spans="1:10" ht="21.6" customHeight="1">
      <c r="A7" s="263" t="s">
        <v>127</v>
      </c>
      <c r="B7" s="261">
        <v>113634</v>
      </c>
      <c r="C7" s="260">
        <v>58830</v>
      </c>
      <c r="D7" s="260">
        <v>54804</v>
      </c>
      <c r="E7" s="261">
        <v>29414</v>
      </c>
      <c r="F7" s="260">
        <v>14978</v>
      </c>
      <c r="G7" s="260">
        <v>14436</v>
      </c>
      <c r="H7" s="261">
        <v>84220</v>
      </c>
      <c r="I7" s="260">
        <v>43852</v>
      </c>
      <c r="J7" s="253">
        <v>40368</v>
      </c>
    </row>
    <row r="8" spans="1:10" ht="21.6" customHeight="1">
      <c r="A8" s="264" t="s">
        <v>126</v>
      </c>
      <c r="B8" s="261">
        <v>82777</v>
      </c>
      <c r="C8" s="260">
        <v>42558</v>
      </c>
      <c r="D8" s="260">
        <v>40219</v>
      </c>
      <c r="E8" s="261">
        <v>21428</v>
      </c>
      <c r="F8" s="260">
        <v>10834</v>
      </c>
      <c r="G8" s="260">
        <v>10594</v>
      </c>
      <c r="H8" s="261">
        <v>61349</v>
      </c>
      <c r="I8" s="260">
        <v>31724</v>
      </c>
      <c r="J8" s="253">
        <v>29625</v>
      </c>
    </row>
    <row r="9" spans="1:10" ht="21.6" customHeight="1">
      <c r="A9" s="263" t="s">
        <v>125</v>
      </c>
      <c r="B9" s="261">
        <v>232557</v>
      </c>
      <c r="C9" s="260">
        <v>117783</v>
      </c>
      <c r="D9" s="260">
        <v>114774</v>
      </c>
      <c r="E9" s="261">
        <v>60220</v>
      </c>
      <c r="F9" s="260">
        <v>29988</v>
      </c>
      <c r="G9" s="260">
        <v>30232</v>
      </c>
      <c r="H9" s="261">
        <v>172337</v>
      </c>
      <c r="I9" s="260">
        <v>87795</v>
      </c>
      <c r="J9" s="253">
        <v>84542</v>
      </c>
    </row>
    <row r="10" spans="1:10" ht="21.6" customHeight="1">
      <c r="A10" s="262" t="s">
        <v>124</v>
      </c>
      <c r="B10" s="261">
        <v>166578</v>
      </c>
      <c r="C10" s="260">
        <v>83337</v>
      </c>
      <c r="D10" s="260">
        <v>83241</v>
      </c>
      <c r="E10" s="261">
        <v>43143</v>
      </c>
      <c r="F10" s="260">
        <v>21218</v>
      </c>
      <c r="G10" s="260">
        <v>21925</v>
      </c>
      <c r="H10" s="261">
        <v>123435</v>
      </c>
      <c r="I10" s="260">
        <v>62119</v>
      </c>
      <c r="J10" s="253">
        <v>61316</v>
      </c>
    </row>
    <row r="11" spans="1:10" ht="21.6" customHeight="1">
      <c r="A11" s="262" t="s">
        <v>123</v>
      </c>
      <c r="B11" s="261">
        <v>118731</v>
      </c>
      <c r="C11" s="260">
        <v>60955</v>
      </c>
      <c r="D11" s="260">
        <v>57776</v>
      </c>
      <c r="E11" s="261">
        <v>30737</v>
      </c>
      <c r="F11" s="260">
        <v>15519</v>
      </c>
      <c r="G11" s="260">
        <v>15218</v>
      </c>
      <c r="H11" s="261">
        <v>87994</v>
      </c>
      <c r="I11" s="260">
        <v>45436</v>
      </c>
      <c r="J11" s="253">
        <v>42558</v>
      </c>
    </row>
    <row r="12" spans="1:10" ht="21.6" customHeight="1">
      <c r="A12" s="262" t="s">
        <v>122</v>
      </c>
      <c r="B12" s="261">
        <v>116174</v>
      </c>
      <c r="C12" s="260">
        <v>58373</v>
      </c>
      <c r="D12" s="260">
        <v>57801</v>
      </c>
      <c r="E12" s="261">
        <v>30087</v>
      </c>
      <c r="F12" s="260">
        <v>14862</v>
      </c>
      <c r="G12" s="260">
        <v>15225</v>
      </c>
      <c r="H12" s="261">
        <v>86087</v>
      </c>
      <c r="I12" s="260">
        <v>43511</v>
      </c>
      <c r="J12" s="253">
        <v>42576</v>
      </c>
    </row>
    <row r="13" spans="1:10" ht="21.6" customHeight="1">
      <c r="A13" s="262" t="s">
        <v>121</v>
      </c>
      <c r="B13" s="261">
        <v>343062</v>
      </c>
      <c r="C13" s="260">
        <v>162707</v>
      </c>
      <c r="D13" s="260">
        <v>180355</v>
      </c>
      <c r="E13" s="261">
        <v>88931</v>
      </c>
      <c r="F13" s="260">
        <v>41425</v>
      </c>
      <c r="G13" s="260">
        <v>47506</v>
      </c>
      <c r="H13" s="261">
        <v>254131</v>
      </c>
      <c r="I13" s="260">
        <v>121282</v>
      </c>
      <c r="J13" s="253">
        <v>132849</v>
      </c>
    </row>
    <row r="14" spans="1:10" ht="21.6" customHeight="1">
      <c r="A14" s="259" t="s">
        <v>120</v>
      </c>
      <c r="B14" s="261">
        <v>368604</v>
      </c>
      <c r="C14" s="260">
        <v>174680</v>
      </c>
      <c r="D14" s="260">
        <v>193924</v>
      </c>
      <c r="E14" s="261">
        <v>95555</v>
      </c>
      <c r="F14" s="260">
        <v>44475</v>
      </c>
      <c r="G14" s="260">
        <v>51080</v>
      </c>
      <c r="H14" s="261">
        <v>273049</v>
      </c>
      <c r="I14" s="260">
        <v>130205</v>
      </c>
      <c r="J14" s="258">
        <v>142844</v>
      </c>
    </row>
    <row r="15" spans="1:10" ht="21.6" customHeight="1">
      <c r="A15" s="334" t="s">
        <v>119</v>
      </c>
      <c r="B15" s="333">
        <v>509794</v>
      </c>
      <c r="C15" s="332">
        <v>231829</v>
      </c>
      <c r="D15" s="332">
        <v>277965</v>
      </c>
      <c r="E15" s="333">
        <v>132238</v>
      </c>
      <c r="F15" s="332">
        <v>59023</v>
      </c>
      <c r="G15" s="332">
        <v>73215</v>
      </c>
      <c r="H15" s="333">
        <v>377556</v>
      </c>
      <c r="I15" s="332">
        <v>172806</v>
      </c>
      <c r="J15" s="331">
        <v>204750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6"/>
  <sheetViews>
    <sheetView zoomScaleNormal="100" workbookViewId="0">
      <pane xSplit="1" ySplit="5" topLeftCell="AL21" activePane="bottomRight" state="frozen"/>
      <selection activeCell="C40" sqref="C40"/>
      <selection pane="topRight" activeCell="C40" sqref="C40"/>
      <selection pane="bottomLeft" activeCell="C40" sqref="C40"/>
      <selection pane="bottomRight" activeCell="AN26" sqref="AN26"/>
    </sheetView>
  </sheetViews>
  <sheetFormatPr defaultColWidth="9.140625" defaultRowHeight="26.25" customHeight="1"/>
  <cols>
    <col min="1" max="1" width="20.7109375" style="337" customWidth="1"/>
    <col min="2" max="5" width="11" style="335" customWidth="1"/>
    <col min="6" max="9" width="11.28515625" style="335" customWidth="1"/>
    <col min="10" max="13" width="11.5703125" style="335" customWidth="1"/>
    <col min="14" max="15" width="10.7109375" style="335" customWidth="1"/>
    <col min="16" max="16" width="10.7109375" style="63" customWidth="1"/>
    <col min="17" max="25" width="10.7109375" style="336" customWidth="1"/>
    <col min="26" max="28" width="10.7109375" style="335" customWidth="1"/>
    <col min="29" max="29" width="11.28515625" style="335" customWidth="1"/>
    <col min="30" max="37" width="11.42578125" style="335" customWidth="1"/>
    <col min="38" max="41" width="12.85546875" style="335" customWidth="1"/>
    <col min="42" max="16384" width="9.140625" style="335"/>
  </cols>
  <sheetData>
    <row r="1" spans="1:42" s="337" customFormat="1" ht="26.25" customHeight="1">
      <c r="A1" s="337" t="s">
        <v>163</v>
      </c>
      <c r="P1" s="63"/>
      <c r="Q1" s="336"/>
      <c r="R1" s="336"/>
      <c r="S1" s="336"/>
      <c r="T1" s="336"/>
      <c r="U1" s="336"/>
      <c r="V1" s="336"/>
      <c r="W1" s="336"/>
      <c r="X1" s="336"/>
      <c r="Y1" s="336"/>
    </row>
    <row r="2" spans="1:42" ht="24.6" customHeight="1">
      <c r="A2" s="369"/>
      <c r="C2" s="343"/>
      <c r="G2" s="368"/>
      <c r="K2" s="368"/>
      <c r="P2" s="367"/>
    </row>
    <row r="3" spans="1:42" s="8" customFormat="1" ht="30" customHeight="1">
      <c r="A3" s="650" t="s">
        <v>6</v>
      </c>
      <c r="B3" s="649" t="s">
        <v>162</v>
      </c>
      <c r="C3" s="649"/>
      <c r="D3" s="649"/>
      <c r="E3" s="649"/>
      <c r="F3" s="649" t="s">
        <v>161</v>
      </c>
      <c r="G3" s="649"/>
      <c r="H3" s="649"/>
      <c r="I3" s="649"/>
      <c r="J3" s="652" t="s">
        <v>160</v>
      </c>
      <c r="K3" s="652"/>
      <c r="L3" s="652"/>
      <c r="M3" s="366"/>
      <c r="N3" s="646" t="s">
        <v>159</v>
      </c>
      <c r="O3" s="646"/>
      <c r="P3" s="646"/>
      <c r="Q3" s="646"/>
      <c r="R3" s="646" t="s">
        <v>158</v>
      </c>
      <c r="S3" s="646"/>
      <c r="T3" s="646"/>
      <c r="U3" s="646"/>
      <c r="V3" s="646" t="s">
        <v>157</v>
      </c>
      <c r="W3" s="646"/>
      <c r="X3" s="646"/>
      <c r="Y3" s="646"/>
      <c r="Z3" s="646" t="s">
        <v>156</v>
      </c>
      <c r="AA3" s="646"/>
      <c r="AB3" s="646"/>
      <c r="AC3" s="646"/>
      <c r="AD3" s="646" t="s">
        <v>155</v>
      </c>
      <c r="AE3" s="646"/>
      <c r="AF3" s="646"/>
      <c r="AG3" s="646"/>
      <c r="AH3" s="646" t="s">
        <v>154</v>
      </c>
      <c r="AI3" s="646"/>
      <c r="AJ3" s="646"/>
      <c r="AK3" s="646"/>
      <c r="AL3" s="646" t="s">
        <v>197</v>
      </c>
      <c r="AM3" s="646"/>
      <c r="AN3" s="646"/>
      <c r="AO3" s="646"/>
    </row>
    <row r="4" spans="1:42" s="8" customFormat="1" ht="27" customHeight="1">
      <c r="A4" s="651"/>
      <c r="B4" s="365" t="s">
        <v>153</v>
      </c>
      <c r="C4" s="365" t="s">
        <v>152</v>
      </c>
      <c r="D4" s="365" t="s">
        <v>151</v>
      </c>
      <c r="E4" s="365" t="s">
        <v>150</v>
      </c>
      <c r="F4" s="365" t="s">
        <v>153</v>
      </c>
      <c r="G4" s="365" t="s">
        <v>152</v>
      </c>
      <c r="H4" s="365" t="s">
        <v>151</v>
      </c>
      <c r="I4" s="365" t="s">
        <v>150</v>
      </c>
      <c r="J4" s="364" t="s">
        <v>153</v>
      </c>
      <c r="K4" s="364" t="s">
        <v>152</v>
      </c>
      <c r="L4" s="364" t="s">
        <v>151</v>
      </c>
      <c r="M4" s="364" t="s">
        <v>150</v>
      </c>
      <c r="N4" s="364" t="s">
        <v>153</v>
      </c>
      <c r="O4" s="364" t="s">
        <v>152</v>
      </c>
      <c r="P4" s="364" t="s">
        <v>151</v>
      </c>
      <c r="Q4" s="364" t="s">
        <v>150</v>
      </c>
      <c r="R4" s="364" t="s">
        <v>153</v>
      </c>
      <c r="S4" s="364" t="s">
        <v>152</v>
      </c>
      <c r="T4" s="364" t="s">
        <v>151</v>
      </c>
      <c r="U4" s="364" t="s">
        <v>150</v>
      </c>
      <c r="V4" s="364" t="s">
        <v>153</v>
      </c>
      <c r="W4" s="364" t="s">
        <v>152</v>
      </c>
      <c r="X4" s="364" t="s">
        <v>151</v>
      </c>
      <c r="Y4" s="364" t="s">
        <v>150</v>
      </c>
      <c r="Z4" s="364" t="s">
        <v>153</v>
      </c>
      <c r="AA4" s="364" t="s">
        <v>152</v>
      </c>
      <c r="AB4" s="364" t="s">
        <v>151</v>
      </c>
      <c r="AC4" s="364" t="s">
        <v>150</v>
      </c>
      <c r="AD4" s="364" t="s">
        <v>153</v>
      </c>
      <c r="AE4" s="364" t="s">
        <v>152</v>
      </c>
      <c r="AF4" s="364" t="s">
        <v>151</v>
      </c>
      <c r="AG4" s="364" t="s">
        <v>150</v>
      </c>
      <c r="AH4" s="364" t="s">
        <v>153</v>
      </c>
      <c r="AI4" s="364" t="s">
        <v>152</v>
      </c>
      <c r="AJ4" s="364" t="s">
        <v>151</v>
      </c>
      <c r="AK4" s="364" t="s">
        <v>150</v>
      </c>
      <c r="AL4" s="364" t="s">
        <v>153</v>
      </c>
      <c r="AM4" s="364" t="s">
        <v>152</v>
      </c>
      <c r="AN4" s="364" t="s">
        <v>151</v>
      </c>
      <c r="AO4" s="364" t="s">
        <v>150</v>
      </c>
    </row>
    <row r="5" spans="1:42" s="8" customFormat="1" ht="20.25" customHeight="1">
      <c r="A5" s="648" t="s">
        <v>21</v>
      </c>
      <c r="B5" s="648"/>
      <c r="C5" s="648"/>
      <c r="D5" s="648"/>
      <c r="E5" s="648"/>
      <c r="F5" s="648"/>
      <c r="G5" s="648"/>
      <c r="H5" s="648"/>
      <c r="I5" s="648"/>
      <c r="J5" s="648"/>
      <c r="K5" s="648"/>
      <c r="L5" s="648"/>
      <c r="P5" s="363"/>
      <c r="AI5" s="8" t="s">
        <v>21</v>
      </c>
    </row>
    <row r="6" spans="1:42" s="336" customFormat="1" ht="21" customHeight="1">
      <c r="A6" s="2" t="s">
        <v>38</v>
      </c>
      <c r="B6" s="355">
        <v>1463504</v>
      </c>
      <c r="C6" s="362">
        <v>1496075</v>
      </c>
      <c r="D6" s="353">
        <v>0</v>
      </c>
      <c r="E6" s="355">
        <v>1554713</v>
      </c>
      <c r="F6" s="355">
        <v>2211286</v>
      </c>
      <c r="G6" s="360">
        <v>2216461</v>
      </c>
      <c r="H6" s="361">
        <v>1568702</v>
      </c>
      <c r="I6" s="355">
        <v>1596453</v>
      </c>
      <c r="J6" s="355">
        <v>2231241</v>
      </c>
      <c r="K6" s="360">
        <v>2236201</v>
      </c>
      <c r="L6" s="360">
        <v>2226720</v>
      </c>
      <c r="M6" s="360">
        <v>2206530</v>
      </c>
      <c r="N6" s="360">
        <v>2192585</v>
      </c>
      <c r="O6" s="360">
        <v>2179550</v>
      </c>
      <c r="P6" s="360">
        <v>2178229</v>
      </c>
      <c r="Q6" s="360">
        <v>2199606</v>
      </c>
      <c r="R6" s="360">
        <v>2011469</v>
      </c>
      <c r="S6" s="360">
        <v>1397340.87</v>
      </c>
      <c r="T6" s="360">
        <v>2017213</v>
      </c>
      <c r="U6" s="360">
        <v>2019155.77</v>
      </c>
      <c r="V6" s="360">
        <v>2021364</v>
      </c>
      <c r="W6" s="360">
        <v>2023741</v>
      </c>
      <c r="X6" s="360">
        <v>2025910</v>
      </c>
      <c r="Y6" s="355">
        <v>2027645</v>
      </c>
      <c r="Z6" s="355">
        <v>2029679</v>
      </c>
      <c r="AA6" s="355">
        <v>2031873</v>
      </c>
      <c r="AB6" s="355">
        <v>2033816</v>
      </c>
      <c r="AC6" s="355">
        <v>2035816</v>
      </c>
      <c r="AD6" s="355">
        <v>2037730</v>
      </c>
      <c r="AE6" s="355">
        <v>2039805</v>
      </c>
      <c r="AF6" s="355">
        <v>2041594</v>
      </c>
      <c r="AG6" s="355">
        <v>2043022</v>
      </c>
      <c r="AH6" s="355">
        <v>2044122</v>
      </c>
      <c r="AI6" s="355">
        <v>2045917</v>
      </c>
      <c r="AJ6" s="355">
        <v>2047509</v>
      </c>
      <c r="AK6" s="355">
        <v>2048551</v>
      </c>
      <c r="AL6" s="173">
        <v>2049836</v>
      </c>
      <c r="AM6" s="47">
        <v>2051355</v>
      </c>
      <c r="AN6" s="47">
        <v>2052652</v>
      </c>
      <c r="AO6" s="47">
        <v>2053245</v>
      </c>
      <c r="AP6" s="174"/>
    </row>
    <row r="7" spans="1:42" s="336" customFormat="1" ht="14.25" customHeight="1">
      <c r="A7" s="2"/>
      <c r="B7" s="355"/>
      <c r="C7" s="355"/>
      <c r="D7" s="355"/>
      <c r="E7" s="355"/>
      <c r="F7" s="355"/>
      <c r="G7" s="6"/>
      <c r="H7" s="6"/>
      <c r="I7" s="355"/>
      <c r="J7" s="355"/>
      <c r="K7" s="6"/>
      <c r="L7" s="6"/>
      <c r="M7" s="6"/>
      <c r="N7" s="6"/>
      <c r="O7" s="6"/>
      <c r="P7" s="6"/>
      <c r="Q7" s="5"/>
      <c r="R7" s="5"/>
      <c r="S7" s="359"/>
      <c r="T7" s="359"/>
      <c r="U7" s="359"/>
      <c r="V7" s="359"/>
      <c r="W7" s="359"/>
      <c r="X7" s="359"/>
      <c r="Y7" s="5"/>
      <c r="Z7" s="5"/>
      <c r="AA7" s="5"/>
      <c r="AB7" s="5"/>
      <c r="AC7" s="5"/>
      <c r="AD7" s="5"/>
      <c r="AE7" s="5"/>
      <c r="AF7" s="5"/>
      <c r="AG7" s="5"/>
      <c r="AL7" s="175"/>
      <c r="AM7" s="46"/>
      <c r="AN7" s="46"/>
      <c r="AO7" s="46"/>
      <c r="AP7" s="174"/>
    </row>
    <row r="8" spans="1:42" s="336" customFormat="1" ht="21" customHeight="1">
      <c r="A8" s="350" t="s">
        <v>37</v>
      </c>
      <c r="B8" s="345">
        <v>44706</v>
      </c>
      <c r="C8" s="345">
        <v>28861</v>
      </c>
      <c r="D8" s="344">
        <v>0</v>
      </c>
      <c r="E8" s="345">
        <v>25629</v>
      </c>
      <c r="F8" s="345">
        <v>74688.070000000007</v>
      </c>
      <c r="G8" s="358">
        <v>68546.81</v>
      </c>
      <c r="H8" s="358">
        <v>33272</v>
      </c>
      <c r="I8" s="345">
        <v>24978</v>
      </c>
      <c r="J8" s="345">
        <v>109562.67</v>
      </c>
      <c r="K8" s="358">
        <v>87120.98</v>
      </c>
      <c r="L8" s="358">
        <v>70261.210000000006</v>
      </c>
      <c r="M8" s="358">
        <v>75634</v>
      </c>
      <c r="N8" s="358">
        <v>84459</v>
      </c>
      <c r="O8" s="358">
        <v>70320</v>
      </c>
      <c r="P8" s="358">
        <v>53342</v>
      </c>
      <c r="Q8" s="358">
        <v>69039</v>
      </c>
      <c r="R8" s="358">
        <v>59516</v>
      </c>
      <c r="S8" s="358">
        <v>18722.509999999998</v>
      </c>
      <c r="T8" s="358">
        <v>50890</v>
      </c>
      <c r="U8" s="358">
        <v>56432</v>
      </c>
      <c r="V8" s="358">
        <v>62809</v>
      </c>
      <c r="W8" s="358">
        <v>54362.23</v>
      </c>
      <c r="X8" s="358">
        <v>74636.06</v>
      </c>
      <c r="Y8" s="345">
        <v>56402</v>
      </c>
      <c r="Z8" s="345">
        <v>71272</v>
      </c>
      <c r="AA8" s="345">
        <v>63749.59</v>
      </c>
      <c r="AB8" s="345">
        <v>73806.210000000006</v>
      </c>
      <c r="AC8" s="345">
        <v>80180.34</v>
      </c>
      <c r="AD8" s="345">
        <v>52242</v>
      </c>
      <c r="AE8" s="345">
        <v>60743</v>
      </c>
      <c r="AF8" s="345">
        <v>67737</v>
      </c>
      <c r="AG8" s="345">
        <v>53979</v>
      </c>
      <c r="AH8" s="345">
        <v>39518</v>
      </c>
      <c r="AI8" s="345">
        <v>52716</v>
      </c>
      <c r="AJ8" s="345">
        <v>63358</v>
      </c>
      <c r="AK8" s="345">
        <v>47207</v>
      </c>
      <c r="AL8" s="176">
        <v>50865</v>
      </c>
      <c r="AM8" s="46">
        <v>50533</v>
      </c>
      <c r="AN8" s="46">
        <v>41929</v>
      </c>
      <c r="AO8" s="46">
        <v>49436</v>
      </c>
      <c r="AP8" s="174"/>
    </row>
    <row r="9" spans="1:42" s="336" customFormat="1" ht="21" customHeight="1">
      <c r="A9" s="336" t="s">
        <v>36</v>
      </c>
      <c r="B9" s="345">
        <v>453805</v>
      </c>
      <c r="C9" s="345">
        <v>469178</v>
      </c>
      <c r="D9" s="344">
        <v>0</v>
      </c>
      <c r="E9" s="345">
        <v>521526</v>
      </c>
      <c r="F9" s="345">
        <v>702126.63</v>
      </c>
      <c r="G9" s="358">
        <v>689000.68</v>
      </c>
      <c r="H9" s="358">
        <v>489011</v>
      </c>
      <c r="I9" s="345">
        <v>509873</v>
      </c>
      <c r="J9" s="345">
        <v>656108.71</v>
      </c>
      <c r="K9" s="358">
        <v>696717.4</v>
      </c>
      <c r="L9" s="358">
        <v>687773.52</v>
      </c>
      <c r="M9" s="358">
        <v>659715</v>
      </c>
      <c r="N9" s="358">
        <v>631888</v>
      </c>
      <c r="O9" s="358">
        <v>652463</v>
      </c>
      <c r="P9" s="358">
        <v>692385</v>
      </c>
      <c r="Q9" s="358">
        <v>602903</v>
      </c>
      <c r="R9" s="358">
        <v>611040</v>
      </c>
      <c r="S9" s="358">
        <v>377783.69</v>
      </c>
      <c r="T9" s="358">
        <v>619112</v>
      </c>
      <c r="U9" s="358">
        <v>634275</v>
      </c>
      <c r="V9" s="358">
        <v>675433</v>
      </c>
      <c r="W9" s="358">
        <v>689665.51</v>
      </c>
      <c r="X9" s="358">
        <v>662204.31999999995</v>
      </c>
      <c r="Y9" s="345">
        <v>657487</v>
      </c>
      <c r="Z9" s="345">
        <v>635033</v>
      </c>
      <c r="AA9" s="345">
        <v>645357.16</v>
      </c>
      <c r="AB9" s="345">
        <v>631655.55000000005</v>
      </c>
      <c r="AC9" s="345">
        <v>614924.18999999994</v>
      </c>
      <c r="AD9" s="345">
        <v>619080</v>
      </c>
      <c r="AE9" s="345">
        <v>626555</v>
      </c>
      <c r="AF9" s="345">
        <v>624260</v>
      </c>
      <c r="AG9" s="345">
        <v>644049</v>
      </c>
      <c r="AH9" s="345">
        <v>633176</v>
      </c>
      <c r="AI9" s="345">
        <v>630660</v>
      </c>
      <c r="AJ9" s="345">
        <v>653418</v>
      </c>
      <c r="AK9" s="345">
        <v>680069</v>
      </c>
      <c r="AL9" s="176">
        <v>603664</v>
      </c>
      <c r="AM9" s="46">
        <v>632934</v>
      </c>
      <c r="AN9" s="46">
        <v>650243</v>
      </c>
      <c r="AO9" s="46">
        <v>621796</v>
      </c>
      <c r="AP9" s="174"/>
    </row>
    <row r="10" spans="1:42" s="336" customFormat="1" ht="21" customHeight="1">
      <c r="A10" s="349" t="s">
        <v>35</v>
      </c>
      <c r="B10" s="345">
        <v>305095</v>
      </c>
      <c r="C10" s="345">
        <v>319051</v>
      </c>
      <c r="D10" s="344">
        <v>0</v>
      </c>
      <c r="E10" s="345">
        <v>346634</v>
      </c>
      <c r="F10" s="345">
        <v>439237.04</v>
      </c>
      <c r="G10" s="358">
        <v>427043.87</v>
      </c>
      <c r="H10" s="358">
        <v>361151</v>
      </c>
      <c r="I10" s="345">
        <v>380816</v>
      </c>
      <c r="J10" s="345">
        <v>410339.33</v>
      </c>
      <c r="K10" s="358">
        <v>420797.39</v>
      </c>
      <c r="L10" s="358">
        <v>417528.32000000001</v>
      </c>
      <c r="M10" s="358">
        <v>414284</v>
      </c>
      <c r="N10" s="358">
        <v>434062</v>
      </c>
      <c r="O10" s="358">
        <v>402666</v>
      </c>
      <c r="P10" s="358">
        <v>359370</v>
      </c>
      <c r="Q10" s="358">
        <v>470430</v>
      </c>
      <c r="R10" s="358">
        <v>422353</v>
      </c>
      <c r="S10" s="358">
        <v>334375.58</v>
      </c>
      <c r="T10" s="358">
        <v>442360</v>
      </c>
      <c r="U10" s="358">
        <v>430804</v>
      </c>
      <c r="V10" s="358">
        <v>374815</v>
      </c>
      <c r="W10" s="358">
        <v>346904.07</v>
      </c>
      <c r="X10" s="358">
        <v>395536.1</v>
      </c>
      <c r="Y10" s="345">
        <v>411459</v>
      </c>
      <c r="Z10" s="345">
        <v>395374</v>
      </c>
      <c r="AA10" s="345">
        <v>372990.13</v>
      </c>
      <c r="AB10" s="345">
        <v>395280.99</v>
      </c>
      <c r="AC10" s="345">
        <v>404667.38</v>
      </c>
      <c r="AD10" s="345">
        <v>422581</v>
      </c>
      <c r="AE10" s="345">
        <v>395606</v>
      </c>
      <c r="AF10" s="345">
        <v>400201</v>
      </c>
      <c r="AG10" s="345">
        <v>394311</v>
      </c>
      <c r="AH10" s="345">
        <v>416181</v>
      </c>
      <c r="AI10" s="345">
        <v>401519</v>
      </c>
      <c r="AJ10" s="345">
        <v>407270</v>
      </c>
      <c r="AK10" s="345">
        <v>359078</v>
      </c>
      <c r="AL10" s="176">
        <v>395951</v>
      </c>
      <c r="AM10" s="46">
        <v>370448</v>
      </c>
      <c r="AN10" s="46">
        <v>375676</v>
      </c>
      <c r="AO10" s="46">
        <v>414137</v>
      </c>
      <c r="AP10" s="174"/>
    </row>
    <row r="11" spans="1:42" s="336" customFormat="1" ht="21" customHeight="1">
      <c r="A11" s="349" t="s">
        <v>34</v>
      </c>
      <c r="B11" s="345">
        <v>225254</v>
      </c>
      <c r="C11" s="345">
        <v>286358</v>
      </c>
      <c r="D11" s="344">
        <v>0</v>
      </c>
      <c r="E11" s="345">
        <v>260481</v>
      </c>
      <c r="F11" s="345">
        <v>412688.32</v>
      </c>
      <c r="G11" s="358">
        <v>433296.68</v>
      </c>
      <c r="H11" s="358">
        <v>235984</v>
      </c>
      <c r="I11" s="345">
        <v>242670</v>
      </c>
      <c r="J11" s="345">
        <v>409232.18</v>
      </c>
      <c r="K11" s="358">
        <v>431395.19</v>
      </c>
      <c r="L11" s="358">
        <v>453215.6</v>
      </c>
      <c r="M11" s="358">
        <v>424779</v>
      </c>
      <c r="N11" s="358">
        <v>449819</v>
      </c>
      <c r="O11" s="358">
        <v>443429</v>
      </c>
      <c r="P11" s="358">
        <v>454407</v>
      </c>
      <c r="Q11" s="358">
        <v>473512</v>
      </c>
      <c r="R11" s="358">
        <v>377341</v>
      </c>
      <c r="S11" s="358">
        <v>243252.58</v>
      </c>
      <c r="T11" s="358">
        <v>384632</v>
      </c>
      <c r="U11" s="358">
        <v>351703</v>
      </c>
      <c r="V11" s="358">
        <v>363738</v>
      </c>
      <c r="W11" s="358">
        <v>396571</v>
      </c>
      <c r="X11" s="358">
        <v>403491</v>
      </c>
      <c r="Y11" s="345">
        <v>373420</v>
      </c>
      <c r="Z11" s="345">
        <v>382194</v>
      </c>
      <c r="AA11" s="345">
        <v>405527.65</v>
      </c>
      <c r="AB11" s="345">
        <v>372890.88</v>
      </c>
      <c r="AC11" s="345">
        <v>380004.99</v>
      </c>
      <c r="AD11" s="345">
        <v>398918</v>
      </c>
      <c r="AE11" s="345">
        <v>366148</v>
      </c>
      <c r="AF11" s="345">
        <v>369741</v>
      </c>
      <c r="AG11" s="345">
        <v>399984</v>
      </c>
      <c r="AH11" s="345">
        <v>395120</v>
      </c>
      <c r="AI11" s="345">
        <v>358711</v>
      </c>
      <c r="AJ11" s="345">
        <v>369764</v>
      </c>
      <c r="AK11" s="345">
        <v>396798</v>
      </c>
      <c r="AL11" s="176">
        <v>397466</v>
      </c>
      <c r="AM11" s="46">
        <v>372087</v>
      </c>
      <c r="AN11" s="46">
        <v>406391</v>
      </c>
      <c r="AO11" s="46">
        <v>371919</v>
      </c>
      <c r="AP11" s="174"/>
    </row>
    <row r="12" spans="1:42" s="336" customFormat="1" ht="21" customHeight="1">
      <c r="A12" s="336" t="s">
        <v>33</v>
      </c>
      <c r="B12" s="358">
        <v>247863</v>
      </c>
      <c r="C12" s="358">
        <v>206367</v>
      </c>
      <c r="D12" s="344">
        <v>0</v>
      </c>
      <c r="E12" s="345">
        <v>199002</v>
      </c>
      <c r="F12" s="358">
        <v>308840.27</v>
      </c>
      <c r="G12" s="358">
        <v>334300.34000000003</v>
      </c>
      <c r="H12" s="358">
        <v>230959</v>
      </c>
      <c r="I12" s="358">
        <v>221781</v>
      </c>
      <c r="J12" s="358">
        <v>345551.99</v>
      </c>
      <c r="K12" s="358">
        <v>357153.4</v>
      </c>
      <c r="L12" s="358">
        <v>348690.25</v>
      </c>
      <c r="M12" s="358">
        <v>360663</v>
      </c>
      <c r="N12" s="358">
        <v>330785</v>
      </c>
      <c r="O12" s="358">
        <v>343187</v>
      </c>
      <c r="P12" s="358">
        <v>356758</v>
      </c>
      <c r="Q12" s="358">
        <f>Q13+Q14+Q15</f>
        <v>340041</v>
      </c>
      <c r="R12" s="358">
        <v>307756</v>
      </c>
      <c r="S12" s="358">
        <v>234933.38999999998</v>
      </c>
      <c r="T12" s="358">
        <v>302107</v>
      </c>
      <c r="U12" s="358">
        <v>324126</v>
      </c>
      <c r="V12" s="358">
        <v>310395</v>
      </c>
      <c r="W12" s="358">
        <f>SUM(W13:W15)</f>
        <v>313722.03000000003</v>
      </c>
      <c r="X12" s="358">
        <f>SUM(X13:X15)</f>
        <v>299905.01</v>
      </c>
      <c r="Y12" s="345">
        <v>320740</v>
      </c>
      <c r="Z12" s="345">
        <v>324330</v>
      </c>
      <c r="AA12" s="345">
        <v>321645.60000000003</v>
      </c>
      <c r="AB12" s="345">
        <v>319233.42</v>
      </c>
      <c r="AC12" s="345">
        <v>327431.44000000006</v>
      </c>
      <c r="AD12" s="345">
        <v>309470</v>
      </c>
      <c r="AE12" s="345">
        <v>344150</v>
      </c>
      <c r="AF12" s="345">
        <v>329600</v>
      </c>
      <c r="AG12" s="345">
        <v>302093</v>
      </c>
      <c r="AH12" s="345">
        <v>354064</v>
      </c>
      <c r="AI12" s="345">
        <v>380877</v>
      </c>
      <c r="AJ12" s="345">
        <v>327714</v>
      </c>
      <c r="AK12" s="345">
        <v>333418</v>
      </c>
      <c r="AL12" s="176">
        <v>354380</v>
      </c>
      <c r="AM12" s="46">
        <v>382672</v>
      </c>
      <c r="AN12" s="46">
        <v>341321</v>
      </c>
      <c r="AO12" s="46">
        <v>346520</v>
      </c>
      <c r="AP12" s="174"/>
    </row>
    <row r="13" spans="1:42" s="336" customFormat="1" ht="21" customHeight="1">
      <c r="A13" s="346" t="s">
        <v>32</v>
      </c>
      <c r="B13" s="345">
        <v>189018</v>
      </c>
      <c r="C13" s="358">
        <v>172923</v>
      </c>
      <c r="D13" s="344">
        <v>0</v>
      </c>
      <c r="E13" s="345">
        <v>165175</v>
      </c>
      <c r="F13" s="358">
        <v>246038.88</v>
      </c>
      <c r="G13" s="358">
        <v>273127.84000000003</v>
      </c>
      <c r="H13" s="358">
        <v>203593</v>
      </c>
      <c r="I13" s="358">
        <v>190850</v>
      </c>
      <c r="J13" s="358">
        <v>280115.51</v>
      </c>
      <c r="K13" s="358">
        <v>305449.53000000003</v>
      </c>
      <c r="L13" s="358">
        <v>285871.99</v>
      </c>
      <c r="M13" s="358">
        <v>289043</v>
      </c>
      <c r="N13" s="358">
        <v>267786</v>
      </c>
      <c r="O13" s="358">
        <v>278776</v>
      </c>
      <c r="P13" s="358">
        <v>294946</v>
      </c>
      <c r="Q13" s="358">
        <v>294982</v>
      </c>
      <c r="R13" s="358">
        <v>263009</v>
      </c>
      <c r="S13" s="358">
        <v>185925.61</v>
      </c>
      <c r="T13" s="358">
        <v>246199</v>
      </c>
      <c r="U13" s="358">
        <v>270491</v>
      </c>
      <c r="V13" s="358">
        <v>260934</v>
      </c>
      <c r="W13" s="358">
        <v>262898.64</v>
      </c>
      <c r="X13" s="358">
        <v>237242.39</v>
      </c>
      <c r="Y13" s="345">
        <v>268502</v>
      </c>
      <c r="Z13" s="345">
        <v>276690</v>
      </c>
      <c r="AA13" s="345">
        <v>272093.39</v>
      </c>
      <c r="AB13" s="345">
        <v>267612.40999999997</v>
      </c>
      <c r="AC13" s="345">
        <v>275794.03000000003</v>
      </c>
      <c r="AD13" s="345">
        <v>256237</v>
      </c>
      <c r="AE13" s="345">
        <v>289526</v>
      </c>
      <c r="AF13" s="345">
        <v>276230</v>
      </c>
      <c r="AG13" s="345">
        <v>233849</v>
      </c>
      <c r="AH13" s="345">
        <v>293915</v>
      </c>
      <c r="AI13" s="345">
        <v>309712</v>
      </c>
      <c r="AJ13" s="345">
        <v>249977</v>
      </c>
      <c r="AK13" s="345">
        <v>293428</v>
      </c>
      <c r="AL13" s="176">
        <v>286814</v>
      </c>
      <c r="AM13" s="46">
        <v>282789</v>
      </c>
      <c r="AN13" s="46">
        <v>272456</v>
      </c>
      <c r="AO13" s="46">
        <v>292303</v>
      </c>
      <c r="AP13" s="174"/>
    </row>
    <row r="14" spans="1:42" s="336" customFormat="1" ht="21" customHeight="1">
      <c r="A14" s="346" t="s">
        <v>31</v>
      </c>
      <c r="B14" s="345">
        <v>58845</v>
      </c>
      <c r="C14" s="358">
        <v>33444</v>
      </c>
      <c r="D14" s="344">
        <v>0</v>
      </c>
      <c r="E14" s="345">
        <v>33827</v>
      </c>
      <c r="F14" s="358">
        <v>62801.39</v>
      </c>
      <c r="G14" s="358">
        <v>61172.5</v>
      </c>
      <c r="H14" s="358">
        <v>27148</v>
      </c>
      <c r="I14" s="358">
        <v>30242</v>
      </c>
      <c r="J14" s="358">
        <v>65436.480000000003</v>
      </c>
      <c r="K14" s="358">
        <v>49893.31</v>
      </c>
      <c r="L14" s="358">
        <v>62818.26</v>
      </c>
      <c r="M14" s="358">
        <v>71366</v>
      </c>
      <c r="N14" s="358">
        <v>62999</v>
      </c>
      <c r="O14" s="358">
        <v>62793</v>
      </c>
      <c r="P14" s="358">
        <v>54984</v>
      </c>
      <c r="Q14" s="358">
        <v>44361</v>
      </c>
      <c r="R14" s="358">
        <v>44747</v>
      </c>
      <c r="S14" s="358">
        <v>49007.78</v>
      </c>
      <c r="T14" s="358">
        <v>55908</v>
      </c>
      <c r="U14" s="358">
        <v>53635</v>
      </c>
      <c r="V14" s="358">
        <v>49461</v>
      </c>
      <c r="W14" s="358">
        <v>50823.39</v>
      </c>
      <c r="X14" s="358">
        <v>62662.62</v>
      </c>
      <c r="Y14" s="345">
        <v>52238</v>
      </c>
      <c r="Z14" s="345">
        <v>47640</v>
      </c>
      <c r="AA14" s="345">
        <v>49552.21</v>
      </c>
      <c r="AB14" s="345">
        <v>51621.01</v>
      </c>
      <c r="AC14" s="345">
        <v>51637.41</v>
      </c>
      <c r="AD14" s="345">
        <v>53233</v>
      </c>
      <c r="AE14" s="345">
        <v>54624</v>
      </c>
      <c r="AF14" s="345">
        <v>53370</v>
      </c>
      <c r="AG14" s="345">
        <v>68244</v>
      </c>
      <c r="AH14" s="345">
        <v>59299</v>
      </c>
      <c r="AI14" s="345">
        <v>71165</v>
      </c>
      <c r="AJ14" s="345">
        <v>77737</v>
      </c>
      <c r="AK14" s="345">
        <v>39990</v>
      </c>
      <c r="AL14" s="176">
        <v>67124</v>
      </c>
      <c r="AM14" s="46">
        <v>99883</v>
      </c>
      <c r="AN14" s="46">
        <v>68865</v>
      </c>
      <c r="AO14" s="46">
        <v>54217</v>
      </c>
      <c r="AP14" s="174"/>
    </row>
    <row r="15" spans="1:42" s="336" customFormat="1" ht="21" customHeight="1">
      <c r="A15" s="347" t="s">
        <v>103</v>
      </c>
      <c r="B15" s="344">
        <v>0</v>
      </c>
      <c r="C15" s="344">
        <v>0</v>
      </c>
      <c r="D15" s="344">
        <v>0</v>
      </c>
      <c r="E15" s="344">
        <v>0</v>
      </c>
      <c r="F15" s="344">
        <v>0</v>
      </c>
      <c r="G15" s="344">
        <v>0</v>
      </c>
      <c r="H15" s="344">
        <v>0</v>
      </c>
      <c r="I15" s="345">
        <v>690</v>
      </c>
      <c r="J15" s="344">
        <v>0</v>
      </c>
      <c r="K15" s="345">
        <v>1810.56</v>
      </c>
      <c r="L15" s="344">
        <v>0</v>
      </c>
      <c r="M15" s="344">
        <v>254</v>
      </c>
      <c r="N15" s="344">
        <v>0</v>
      </c>
      <c r="O15" s="345">
        <v>1618</v>
      </c>
      <c r="P15" s="345">
        <v>6828</v>
      </c>
      <c r="Q15" s="345">
        <v>698</v>
      </c>
      <c r="R15" s="344">
        <v>0</v>
      </c>
      <c r="S15" s="344">
        <v>0</v>
      </c>
      <c r="T15" s="344">
        <v>0</v>
      </c>
      <c r="U15" s="344">
        <v>0</v>
      </c>
      <c r="V15" s="344">
        <v>0</v>
      </c>
      <c r="W15" s="344">
        <v>0</v>
      </c>
      <c r="X15" s="344">
        <v>0</v>
      </c>
      <c r="Y15" s="344">
        <v>0</v>
      </c>
      <c r="Z15" s="344">
        <v>0</v>
      </c>
      <c r="AA15" s="344">
        <v>0</v>
      </c>
      <c r="AB15" s="344">
        <v>0</v>
      </c>
      <c r="AC15" s="344">
        <v>0</v>
      </c>
      <c r="AD15" s="344">
        <v>0</v>
      </c>
      <c r="AE15" s="344">
        <v>0</v>
      </c>
      <c r="AF15" s="344">
        <v>0</v>
      </c>
      <c r="AG15" s="344">
        <v>0</v>
      </c>
      <c r="AH15" s="344">
        <v>850</v>
      </c>
      <c r="AI15" s="222">
        <v>0</v>
      </c>
      <c r="AJ15" s="222">
        <v>0</v>
      </c>
      <c r="AK15" s="222">
        <v>0</v>
      </c>
      <c r="AL15" s="181">
        <v>442</v>
      </c>
      <c r="AM15" s="222">
        <v>0</v>
      </c>
      <c r="AN15" s="222">
        <v>0</v>
      </c>
      <c r="AO15" s="222">
        <v>0</v>
      </c>
      <c r="AP15" s="174"/>
    </row>
    <row r="16" spans="1:42" s="336" customFormat="1" ht="21" customHeight="1">
      <c r="A16" s="336" t="s">
        <v>29</v>
      </c>
      <c r="B16" s="358">
        <v>186438</v>
      </c>
      <c r="C16" s="358">
        <v>186260</v>
      </c>
      <c r="D16" s="344">
        <v>0</v>
      </c>
      <c r="E16" s="345">
        <v>201441</v>
      </c>
      <c r="F16" s="358">
        <v>272892.69</v>
      </c>
      <c r="G16" s="358">
        <v>263530.78999999998</v>
      </c>
      <c r="H16" s="358">
        <v>218325</v>
      </c>
      <c r="I16" s="358">
        <v>216335</v>
      </c>
      <c r="J16" s="358">
        <v>300446.11</v>
      </c>
      <c r="K16" s="358">
        <v>239824.54</v>
      </c>
      <c r="L16" s="358">
        <v>247974.38</v>
      </c>
      <c r="M16" s="358">
        <v>271455</v>
      </c>
      <c r="N16" s="358">
        <v>261572</v>
      </c>
      <c r="O16" s="358">
        <v>267485</v>
      </c>
      <c r="P16" s="358">
        <v>260681</v>
      </c>
      <c r="Q16" s="358">
        <f>Q17+Q18+Q19</f>
        <v>241231</v>
      </c>
      <c r="R16" s="358">
        <v>232422</v>
      </c>
      <c r="S16" s="358">
        <v>187939.07</v>
      </c>
      <c r="T16" s="358">
        <v>217872</v>
      </c>
      <c r="U16" s="358">
        <v>221348</v>
      </c>
      <c r="V16" s="358">
        <v>230019</v>
      </c>
      <c r="W16" s="358">
        <f>SUM(W17:W19)</f>
        <v>219643.66999999998</v>
      </c>
      <c r="X16" s="358">
        <f>SUM(X17:X19)</f>
        <v>189691.03999999998</v>
      </c>
      <c r="Y16" s="345">
        <v>208137</v>
      </c>
      <c r="Z16" s="345">
        <v>220282</v>
      </c>
      <c r="AA16" s="345">
        <v>222602.87</v>
      </c>
      <c r="AB16" s="345">
        <v>238261.05</v>
      </c>
      <c r="AC16" s="345">
        <v>227879.78</v>
      </c>
      <c r="AD16" s="345">
        <v>234865</v>
      </c>
      <c r="AE16" s="345">
        <v>245501</v>
      </c>
      <c r="AF16" s="345">
        <v>249833</v>
      </c>
      <c r="AG16" s="345">
        <v>248331</v>
      </c>
      <c r="AH16" s="345">
        <v>206063</v>
      </c>
      <c r="AI16" s="345">
        <v>221434</v>
      </c>
      <c r="AJ16" s="345">
        <v>224494</v>
      </c>
      <c r="AK16" s="345">
        <v>231147</v>
      </c>
      <c r="AL16" s="176">
        <v>245193</v>
      </c>
      <c r="AM16" s="46">
        <v>239071</v>
      </c>
      <c r="AN16" s="46">
        <v>235247</v>
      </c>
      <c r="AO16" s="46">
        <v>248072</v>
      </c>
      <c r="AP16" s="174"/>
    </row>
    <row r="17" spans="1:46" s="336" customFormat="1" ht="21" customHeight="1">
      <c r="A17" s="347" t="s">
        <v>28</v>
      </c>
      <c r="B17" s="345">
        <v>80213</v>
      </c>
      <c r="C17" s="358">
        <v>96697</v>
      </c>
      <c r="D17" s="344">
        <v>0</v>
      </c>
      <c r="E17" s="345">
        <v>99277</v>
      </c>
      <c r="F17" s="358">
        <v>128323.63</v>
      </c>
      <c r="G17" s="358">
        <v>116571.56</v>
      </c>
      <c r="H17" s="358">
        <v>92959</v>
      </c>
      <c r="I17" s="358">
        <v>106789</v>
      </c>
      <c r="J17" s="358">
        <v>180740.83</v>
      </c>
      <c r="K17" s="358">
        <v>153273.67000000001</v>
      </c>
      <c r="L17" s="358">
        <v>129828.43</v>
      </c>
      <c r="M17" s="358">
        <v>151312</v>
      </c>
      <c r="N17" s="358">
        <v>143180</v>
      </c>
      <c r="O17" s="358">
        <v>127289</v>
      </c>
      <c r="P17" s="358">
        <v>135260</v>
      </c>
      <c r="Q17" s="358">
        <v>147991</v>
      </c>
      <c r="R17" s="358">
        <v>130750</v>
      </c>
      <c r="S17" s="358">
        <v>109300.03</v>
      </c>
      <c r="T17" s="358">
        <v>118680</v>
      </c>
      <c r="U17" s="358">
        <v>118922</v>
      </c>
      <c r="V17" s="358">
        <v>135467</v>
      </c>
      <c r="W17" s="358">
        <v>129958.88</v>
      </c>
      <c r="X17" s="358">
        <v>111071</v>
      </c>
      <c r="Y17" s="345">
        <v>116944</v>
      </c>
      <c r="Z17" s="345">
        <v>121745</v>
      </c>
      <c r="AA17" s="345">
        <v>118459.24</v>
      </c>
      <c r="AB17" s="345">
        <v>141802.82999999999</v>
      </c>
      <c r="AC17" s="345">
        <v>141447.18</v>
      </c>
      <c r="AD17" s="345">
        <v>143531</v>
      </c>
      <c r="AE17" s="345">
        <v>133439</v>
      </c>
      <c r="AF17" s="345">
        <v>139492</v>
      </c>
      <c r="AG17" s="345">
        <v>123047</v>
      </c>
      <c r="AH17" s="345">
        <v>114074</v>
      </c>
      <c r="AI17" s="345">
        <v>124759</v>
      </c>
      <c r="AJ17" s="345">
        <v>135093</v>
      </c>
      <c r="AK17" s="345">
        <v>135049</v>
      </c>
      <c r="AL17" s="176">
        <v>120619</v>
      </c>
      <c r="AM17" s="46">
        <v>131867</v>
      </c>
      <c r="AN17" s="46">
        <v>117238</v>
      </c>
      <c r="AO17" s="46">
        <v>135622</v>
      </c>
      <c r="AP17" s="174"/>
    </row>
    <row r="18" spans="1:46" s="336" customFormat="1" ht="21" customHeight="1">
      <c r="A18" s="347" t="s">
        <v>27</v>
      </c>
      <c r="B18" s="345">
        <v>71340</v>
      </c>
      <c r="C18" s="345">
        <v>58874</v>
      </c>
      <c r="D18" s="344">
        <v>0</v>
      </c>
      <c r="E18" s="345">
        <v>72633</v>
      </c>
      <c r="F18" s="345">
        <v>96683.33</v>
      </c>
      <c r="G18" s="358">
        <v>104416.77</v>
      </c>
      <c r="H18" s="358">
        <v>84639</v>
      </c>
      <c r="I18" s="345">
        <v>76371</v>
      </c>
      <c r="J18" s="345">
        <v>70261.41</v>
      </c>
      <c r="K18" s="358">
        <v>46655.94</v>
      </c>
      <c r="L18" s="358">
        <v>75324.899999999994</v>
      </c>
      <c r="M18" s="358">
        <v>89089</v>
      </c>
      <c r="N18" s="358">
        <v>87583</v>
      </c>
      <c r="O18" s="358">
        <v>103639</v>
      </c>
      <c r="P18" s="358">
        <v>82118</v>
      </c>
      <c r="Q18" s="358">
        <v>67518</v>
      </c>
      <c r="R18" s="358">
        <v>75078</v>
      </c>
      <c r="S18" s="358">
        <v>53484.94</v>
      </c>
      <c r="T18" s="358">
        <v>68187</v>
      </c>
      <c r="U18" s="358">
        <v>73866</v>
      </c>
      <c r="V18" s="358">
        <v>70809</v>
      </c>
      <c r="W18" s="358">
        <v>71689.789999999994</v>
      </c>
      <c r="X18" s="358">
        <v>55964.12</v>
      </c>
      <c r="Y18" s="345">
        <v>60105</v>
      </c>
      <c r="Z18" s="345">
        <v>63349</v>
      </c>
      <c r="AA18" s="345">
        <v>68528.009999999995</v>
      </c>
      <c r="AB18" s="345">
        <v>61670.14</v>
      </c>
      <c r="AC18" s="345">
        <v>52590</v>
      </c>
      <c r="AD18" s="345">
        <v>55419</v>
      </c>
      <c r="AE18" s="345">
        <v>74063</v>
      </c>
      <c r="AF18" s="345">
        <v>79298</v>
      </c>
      <c r="AG18" s="345">
        <v>97347</v>
      </c>
      <c r="AH18" s="345">
        <v>65260</v>
      </c>
      <c r="AI18" s="345">
        <v>73441</v>
      </c>
      <c r="AJ18" s="345">
        <v>68780</v>
      </c>
      <c r="AK18" s="345">
        <v>68827</v>
      </c>
      <c r="AL18" s="176">
        <v>79171</v>
      </c>
      <c r="AM18" s="46">
        <v>75253</v>
      </c>
      <c r="AN18" s="46">
        <v>85755</v>
      </c>
      <c r="AO18" s="46">
        <v>75927</v>
      </c>
      <c r="AP18" s="174"/>
    </row>
    <row r="19" spans="1:46" s="336" customFormat="1" ht="21" customHeight="1">
      <c r="A19" s="347" t="s">
        <v>26</v>
      </c>
      <c r="B19" s="345">
        <v>34885</v>
      </c>
      <c r="C19" s="345">
        <v>30689</v>
      </c>
      <c r="D19" s="344">
        <v>0</v>
      </c>
      <c r="E19" s="345">
        <v>29531</v>
      </c>
      <c r="F19" s="345">
        <v>47885.73</v>
      </c>
      <c r="G19" s="358">
        <v>42542.46</v>
      </c>
      <c r="H19" s="358">
        <v>40725</v>
      </c>
      <c r="I19" s="345">
        <v>33175</v>
      </c>
      <c r="J19" s="345">
        <v>49443.87</v>
      </c>
      <c r="K19" s="358">
        <v>39894.93</v>
      </c>
      <c r="L19" s="358">
        <v>42821.05</v>
      </c>
      <c r="M19" s="358">
        <v>31054</v>
      </c>
      <c r="N19" s="358">
        <v>30809</v>
      </c>
      <c r="O19" s="358">
        <v>36557</v>
      </c>
      <c r="P19" s="358">
        <v>43303</v>
      </c>
      <c r="Q19" s="358">
        <v>25722</v>
      </c>
      <c r="R19" s="358">
        <v>26594</v>
      </c>
      <c r="S19" s="358">
        <v>25154.1</v>
      </c>
      <c r="T19" s="358">
        <v>31005</v>
      </c>
      <c r="U19" s="358">
        <v>28560</v>
      </c>
      <c r="V19" s="358">
        <v>23743</v>
      </c>
      <c r="W19" s="358">
        <v>17995</v>
      </c>
      <c r="X19" s="358">
        <v>22655.919999999998</v>
      </c>
      <c r="Y19" s="345">
        <v>31088</v>
      </c>
      <c r="Z19" s="345">
        <v>35188</v>
      </c>
      <c r="AA19" s="345">
        <v>35615.620000000003</v>
      </c>
      <c r="AB19" s="345">
        <v>34788.080000000002</v>
      </c>
      <c r="AC19" s="345">
        <v>33842.6</v>
      </c>
      <c r="AD19" s="345">
        <v>35916</v>
      </c>
      <c r="AE19" s="345">
        <v>37999</v>
      </c>
      <c r="AF19" s="345">
        <v>31043</v>
      </c>
      <c r="AG19" s="345">
        <v>27937</v>
      </c>
      <c r="AH19" s="345">
        <v>26729</v>
      </c>
      <c r="AI19" s="345">
        <v>23234</v>
      </c>
      <c r="AJ19" s="345">
        <v>20621</v>
      </c>
      <c r="AK19" s="345">
        <v>27271</v>
      </c>
      <c r="AL19" s="176">
        <v>45403</v>
      </c>
      <c r="AM19" s="46">
        <v>31951</v>
      </c>
      <c r="AN19" s="46">
        <v>32254</v>
      </c>
      <c r="AO19" s="46">
        <v>36523</v>
      </c>
      <c r="AP19" s="174"/>
    </row>
    <row r="20" spans="1:46" s="336" customFormat="1" ht="21" customHeight="1">
      <c r="A20" s="346" t="s">
        <v>25</v>
      </c>
      <c r="B20" s="344">
        <v>0</v>
      </c>
      <c r="C20" s="344">
        <v>0</v>
      </c>
      <c r="D20" s="344">
        <v>0</v>
      </c>
      <c r="E20" s="344">
        <v>0</v>
      </c>
      <c r="F20" s="344">
        <v>0</v>
      </c>
      <c r="G20" s="344">
        <v>0</v>
      </c>
      <c r="H20" s="344">
        <v>0</v>
      </c>
      <c r="I20" s="344">
        <v>0</v>
      </c>
      <c r="J20" s="344">
        <v>0</v>
      </c>
      <c r="K20" s="344">
        <v>0</v>
      </c>
      <c r="L20" s="344">
        <v>0</v>
      </c>
      <c r="M20" s="344">
        <v>0</v>
      </c>
      <c r="N20" s="344">
        <v>0</v>
      </c>
      <c r="O20" s="344">
        <v>0</v>
      </c>
      <c r="P20" s="344">
        <v>0</v>
      </c>
      <c r="Q20" s="344">
        <v>0</v>
      </c>
      <c r="R20" s="344">
        <v>0</v>
      </c>
      <c r="S20" s="344">
        <v>0</v>
      </c>
      <c r="T20" s="344">
        <v>0</v>
      </c>
      <c r="U20" s="344">
        <v>0</v>
      </c>
      <c r="V20" s="344">
        <v>892</v>
      </c>
      <c r="W20" s="344">
        <v>0</v>
      </c>
      <c r="X20" s="344">
        <v>0</v>
      </c>
      <c r="Y20" s="344">
        <v>0</v>
      </c>
      <c r="Z20" s="344">
        <v>0</v>
      </c>
      <c r="AA20" s="344">
        <v>0</v>
      </c>
      <c r="AB20" s="344">
        <v>0</v>
      </c>
      <c r="AC20" s="344">
        <v>0</v>
      </c>
      <c r="AD20" s="344">
        <v>0</v>
      </c>
      <c r="AE20" s="344">
        <v>0</v>
      </c>
      <c r="AF20" s="344">
        <v>0</v>
      </c>
      <c r="AG20" s="344">
        <v>0</v>
      </c>
      <c r="AH20" s="344">
        <v>0</v>
      </c>
      <c r="AI20" s="344">
        <v>0</v>
      </c>
      <c r="AJ20" s="344" t="s">
        <v>7</v>
      </c>
      <c r="AK20" s="344" t="s">
        <v>7</v>
      </c>
      <c r="AL20" s="222">
        <v>0</v>
      </c>
      <c r="AM20" s="222">
        <v>0</v>
      </c>
      <c r="AN20" s="222">
        <v>0</v>
      </c>
      <c r="AO20" s="222">
        <v>0</v>
      </c>
      <c r="AP20" s="174"/>
    </row>
    <row r="21" spans="1:46" s="336" customFormat="1" ht="21" customHeight="1">
      <c r="A21" s="346" t="s">
        <v>24</v>
      </c>
      <c r="B21" s="345">
        <v>343</v>
      </c>
      <c r="C21" s="344">
        <v>0</v>
      </c>
      <c r="D21" s="344">
        <v>0</v>
      </c>
      <c r="E21" s="344">
        <v>0</v>
      </c>
      <c r="F21" s="345">
        <v>812.98</v>
      </c>
      <c r="G21" s="358">
        <v>741.83</v>
      </c>
      <c r="H21" s="344">
        <v>0</v>
      </c>
      <c r="I21" s="344">
        <v>0</v>
      </c>
      <c r="J21" s="344">
        <v>0</v>
      </c>
      <c r="K21" s="358">
        <v>3192.1</v>
      </c>
      <c r="L21" s="358">
        <v>1276.74</v>
      </c>
      <c r="M21" s="344">
        <v>0</v>
      </c>
      <c r="N21" s="344">
        <v>0</v>
      </c>
      <c r="O21" s="344">
        <v>0</v>
      </c>
      <c r="P21" s="358">
        <v>1286</v>
      </c>
      <c r="Q21" s="344">
        <v>2451</v>
      </c>
      <c r="R21" s="358">
        <v>1041.49</v>
      </c>
      <c r="S21" s="358">
        <v>334.05</v>
      </c>
      <c r="T21" s="358">
        <v>240</v>
      </c>
      <c r="U21" s="358">
        <v>467.77</v>
      </c>
      <c r="V21" s="358">
        <v>3263</v>
      </c>
      <c r="W21" s="358">
        <v>2871.99</v>
      </c>
      <c r="X21" s="358">
        <v>446.75</v>
      </c>
      <c r="Y21" s="344">
        <v>0</v>
      </c>
      <c r="Z21" s="345">
        <v>1194</v>
      </c>
      <c r="AA21" s="344">
        <v>0</v>
      </c>
      <c r="AB21" s="345">
        <v>2687.92</v>
      </c>
      <c r="AC21" s="345">
        <v>727.89</v>
      </c>
      <c r="AD21" s="345">
        <v>574</v>
      </c>
      <c r="AE21" s="344">
        <v>1102</v>
      </c>
      <c r="AF21" s="345">
        <v>222</v>
      </c>
      <c r="AG21" s="345">
        <v>275</v>
      </c>
      <c r="AH21" s="345">
        <v>0</v>
      </c>
      <c r="AI21" s="344">
        <v>0</v>
      </c>
      <c r="AJ21" s="345">
        <v>1491</v>
      </c>
      <c r="AK21" s="345">
        <v>834</v>
      </c>
      <c r="AL21" s="181">
        <v>2317</v>
      </c>
      <c r="AM21" s="46">
        <v>3610</v>
      </c>
      <c r="AN21" s="46">
        <v>1845</v>
      </c>
      <c r="AO21" s="46">
        <v>1365</v>
      </c>
      <c r="AP21" s="174"/>
    </row>
    <row r="22" spans="1:46" s="336" customFormat="1" ht="2.25" customHeight="1">
      <c r="A22" s="346"/>
      <c r="B22" s="357"/>
      <c r="C22" s="357"/>
      <c r="D22" s="345" t="s">
        <v>149</v>
      </c>
      <c r="E22" s="357"/>
      <c r="F22" s="6"/>
      <c r="G22" s="6"/>
      <c r="H22" s="6"/>
      <c r="I22" s="357"/>
      <c r="J22" s="357"/>
      <c r="K22" s="6"/>
      <c r="L22" s="6"/>
      <c r="M22" s="6"/>
      <c r="O22" s="336" t="s">
        <v>20</v>
      </c>
      <c r="P22" s="336" t="s">
        <v>20</v>
      </c>
      <c r="AD22" s="336" t="s">
        <v>20</v>
      </c>
      <c r="AE22" s="336" t="s">
        <v>20</v>
      </c>
      <c r="AF22" s="336" t="s">
        <v>20</v>
      </c>
      <c r="AG22" s="336" t="s">
        <v>20</v>
      </c>
      <c r="AH22" s="336" t="s">
        <v>20</v>
      </c>
      <c r="AI22" s="336" t="s">
        <v>20</v>
      </c>
      <c r="AJ22" s="336" t="s">
        <v>20</v>
      </c>
      <c r="AK22" s="336" t="s">
        <v>20</v>
      </c>
      <c r="AL22" s="633" t="s">
        <v>20</v>
      </c>
      <c r="AM22" s="633" t="s">
        <v>20</v>
      </c>
      <c r="AN22" s="633" t="s">
        <v>20</v>
      </c>
      <c r="AO22" s="633" t="s">
        <v>20</v>
      </c>
      <c r="AP22" s="174"/>
    </row>
    <row r="23" spans="1:46" s="336" customFormat="1" ht="25.5" customHeight="1">
      <c r="A23" s="647" t="s">
        <v>20</v>
      </c>
      <c r="B23" s="647"/>
      <c r="C23" s="647"/>
      <c r="D23" s="647"/>
      <c r="E23" s="647"/>
      <c r="F23" s="647"/>
      <c r="G23" s="647"/>
      <c r="H23" s="647"/>
      <c r="I23" s="647"/>
      <c r="J23" s="647"/>
      <c r="K23" s="647"/>
      <c r="L23" s="647"/>
      <c r="M23" s="6"/>
      <c r="P23" s="356"/>
      <c r="Q23" s="356"/>
      <c r="R23" s="356"/>
      <c r="S23" s="356"/>
      <c r="T23" s="356"/>
      <c r="U23" s="356"/>
      <c r="V23" s="356"/>
      <c r="W23" s="356"/>
      <c r="X23" s="356"/>
      <c r="Y23" s="356"/>
      <c r="AI23" s="336" t="s">
        <v>20</v>
      </c>
      <c r="AP23" s="174"/>
    </row>
    <row r="24" spans="1:46" s="336" customFormat="1" ht="18.75" customHeight="1">
      <c r="A24" s="354" t="s">
        <v>38</v>
      </c>
      <c r="B24" s="353">
        <f>SUM(B26:B30,B34,B38:B39)-0.1</f>
        <v>99.999999999999986</v>
      </c>
      <c r="C24" s="353">
        <v>100</v>
      </c>
      <c r="D24" s="355" t="s">
        <v>149</v>
      </c>
      <c r="E24" s="353">
        <f>SUM(E26:E30,E34,E38:E39)</f>
        <v>100.00000000000001</v>
      </c>
      <c r="F24" s="353">
        <v>100</v>
      </c>
      <c r="G24" s="353">
        <v>100</v>
      </c>
      <c r="H24" s="353">
        <v>100</v>
      </c>
      <c r="I24" s="353">
        <v>100</v>
      </c>
      <c r="J24" s="353">
        <v>100</v>
      </c>
      <c r="K24" s="353">
        <v>100</v>
      </c>
      <c r="L24" s="353">
        <v>100</v>
      </c>
      <c r="M24" s="353">
        <v>100</v>
      </c>
      <c r="N24" s="353">
        <v>100</v>
      </c>
      <c r="O24" s="353">
        <v>100</v>
      </c>
      <c r="P24" s="353">
        <v>100</v>
      </c>
      <c r="Q24" s="353">
        <v>100</v>
      </c>
      <c r="R24" s="353">
        <v>100</v>
      </c>
      <c r="S24" s="353">
        <v>100</v>
      </c>
      <c r="T24" s="353">
        <v>100</v>
      </c>
      <c r="U24" s="353">
        <v>100</v>
      </c>
      <c r="V24" s="353">
        <v>100</v>
      </c>
      <c r="W24" s="353">
        <v>100</v>
      </c>
      <c r="X24" s="353">
        <v>100</v>
      </c>
      <c r="Y24" s="353">
        <v>100</v>
      </c>
      <c r="Z24" s="353">
        <v>100</v>
      </c>
      <c r="AA24" s="353">
        <v>100</v>
      </c>
      <c r="AB24" s="353">
        <v>100</v>
      </c>
      <c r="AC24" s="353">
        <v>100</v>
      </c>
      <c r="AD24" s="353">
        <v>100</v>
      </c>
      <c r="AE24" s="353">
        <v>100</v>
      </c>
      <c r="AF24" s="353">
        <v>100</v>
      </c>
      <c r="AG24" s="353">
        <v>100</v>
      </c>
      <c r="AH24" s="353">
        <v>100</v>
      </c>
      <c r="AI24" s="353">
        <v>100</v>
      </c>
      <c r="AJ24" s="353">
        <v>100</v>
      </c>
      <c r="AK24" s="353">
        <v>100</v>
      </c>
      <c r="AL24" s="183">
        <v>100</v>
      </c>
      <c r="AM24" s="183">
        <v>100</v>
      </c>
      <c r="AN24" s="183">
        <v>100</v>
      </c>
      <c r="AO24" s="184">
        <v>100</v>
      </c>
      <c r="AP24" s="174"/>
    </row>
    <row r="25" spans="1:46" s="336" customFormat="1" ht="2.25" customHeight="1">
      <c r="A25" s="354"/>
      <c r="B25" s="353"/>
      <c r="C25" s="353"/>
      <c r="D25" s="345"/>
      <c r="E25" s="353"/>
      <c r="F25" s="353"/>
      <c r="G25" s="352"/>
      <c r="H25" s="353"/>
      <c r="I25" s="353"/>
      <c r="J25" s="353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1"/>
      <c r="V25" s="352"/>
      <c r="W25" s="352"/>
      <c r="X25" s="352"/>
      <c r="Y25" s="351"/>
      <c r="Z25" s="351"/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P25" s="174"/>
    </row>
    <row r="26" spans="1:46" s="336" customFormat="1" ht="21" customHeight="1">
      <c r="A26" s="350" t="s">
        <v>37</v>
      </c>
      <c r="B26" s="344">
        <f t="shared" ref="B26:B32" si="0">B8*100/$B$6</f>
        <v>3.0547234582208178</v>
      </c>
      <c r="C26" s="344">
        <f t="shared" ref="C26:C32" si="1">C8*100/$C$6</f>
        <v>1.9291145163176979</v>
      </c>
      <c r="D26" s="345" t="s">
        <v>149</v>
      </c>
      <c r="E26" s="344">
        <f t="shared" ref="E26:E39" si="2">E8*100/$E$6</f>
        <v>1.6484714542169518</v>
      </c>
      <c r="F26" s="344">
        <f>F8*100/$F$6</f>
        <v>3.37758526034172</v>
      </c>
      <c r="G26" s="344">
        <f>SUM(G8*100/G6)</f>
        <v>3.0926242329551479</v>
      </c>
      <c r="H26" s="344">
        <f t="shared" ref="H26:H39" si="3">H8*100/$H$6</f>
        <v>2.1209891999882706</v>
      </c>
      <c r="I26" s="344">
        <f t="shared" ref="I26:I33" si="4">I8*100/$I$6</f>
        <v>1.5645935082335654</v>
      </c>
      <c r="J26" s="344">
        <f t="shared" ref="J26:J32" si="5">J8*100/$J$6</f>
        <v>4.9103915713273469</v>
      </c>
      <c r="K26" s="344">
        <f t="shared" ref="K26:AH26" si="6">SUM(K8*100/K6)</f>
        <v>3.8959369037040945</v>
      </c>
      <c r="L26" s="344">
        <f t="shared" si="6"/>
        <v>3.1553679851979597</v>
      </c>
      <c r="M26" s="344">
        <f t="shared" si="6"/>
        <v>3.4277349503519101</v>
      </c>
      <c r="N26" s="344">
        <f t="shared" si="6"/>
        <v>3.852028541652889</v>
      </c>
      <c r="O26" s="344">
        <f t="shared" si="6"/>
        <v>3.2263540639122756</v>
      </c>
      <c r="P26" s="344">
        <f t="shared" si="6"/>
        <v>2.4488701601163148</v>
      </c>
      <c r="Q26" s="344">
        <f t="shared" si="6"/>
        <v>3.1386984759997927</v>
      </c>
      <c r="R26" s="344">
        <f t="shared" si="6"/>
        <v>2.9588325746009509</v>
      </c>
      <c r="S26" s="344">
        <f t="shared" si="6"/>
        <v>1.3398670576349776</v>
      </c>
      <c r="T26" s="344">
        <f t="shared" si="6"/>
        <v>2.5227876282772321</v>
      </c>
      <c r="U26" s="344">
        <f t="shared" si="6"/>
        <v>2.7948314260073159</v>
      </c>
      <c r="V26" s="344">
        <f t="shared" si="6"/>
        <v>3.1072582671898776</v>
      </c>
      <c r="W26" s="344">
        <f t="shared" si="6"/>
        <v>2.6862246700541226</v>
      </c>
      <c r="X26" s="344">
        <f t="shared" si="6"/>
        <v>3.6840757980364378</v>
      </c>
      <c r="Y26" s="344">
        <f t="shared" si="6"/>
        <v>2.7816506341100142</v>
      </c>
      <c r="Z26" s="344">
        <f t="shared" si="6"/>
        <v>3.511491225952478</v>
      </c>
      <c r="AA26" s="344">
        <f t="shared" si="6"/>
        <v>3.1374790648825002</v>
      </c>
      <c r="AB26" s="344">
        <f t="shared" si="6"/>
        <v>3.6289521765980801</v>
      </c>
      <c r="AC26" s="344">
        <f t="shared" si="6"/>
        <v>3.9384865822844501</v>
      </c>
      <c r="AD26" s="344">
        <f t="shared" si="6"/>
        <v>2.5637351366471517</v>
      </c>
      <c r="AE26" s="344">
        <f t="shared" si="6"/>
        <v>2.9778826897669139</v>
      </c>
      <c r="AF26" s="344">
        <f t="shared" si="6"/>
        <v>3.3178487005741593</v>
      </c>
      <c r="AG26" s="344">
        <f t="shared" si="6"/>
        <v>2.6421154544591299</v>
      </c>
      <c r="AH26" s="344">
        <f t="shared" si="6"/>
        <v>1.9332505594088807</v>
      </c>
      <c r="AI26" s="344">
        <f>SUM(AI8*100/AI6)-0.04</f>
        <v>2.5366441160614044</v>
      </c>
      <c r="AJ26" s="344">
        <f>SUM(AJ8*100/AJ6)</f>
        <v>3.0943942126750112</v>
      </c>
      <c r="AK26" s="344">
        <f>SUM(AK8*100/AK6)</f>
        <v>2.304409311752551</v>
      </c>
      <c r="AL26" s="344">
        <f t="shared" ref="AL26:AO26" si="7">SUM(AL8*100/AL6)</f>
        <v>2.481418025637173</v>
      </c>
      <c r="AM26" s="344">
        <f t="shared" si="7"/>
        <v>2.4633961454745767</v>
      </c>
      <c r="AN26" s="344">
        <f t="shared" si="7"/>
        <v>2.042674549801915</v>
      </c>
      <c r="AO26" s="344">
        <f t="shared" si="7"/>
        <v>2.407700980642836</v>
      </c>
      <c r="AQ26" s="185"/>
      <c r="AR26" s="185"/>
      <c r="AS26" s="185"/>
      <c r="AT26" s="184"/>
    </row>
    <row r="27" spans="1:46" s="336" customFormat="1" ht="21" customHeight="1">
      <c r="A27" s="336" t="s">
        <v>36</v>
      </c>
      <c r="B27" s="344">
        <f t="shared" si="0"/>
        <v>31.008114771124642</v>
      </c>
      <c r="C27" s="344">
        <f t="shared" si="1"/>
        <v>31.360593553130691</v>
      </c>
      <c r="D27" s="345" t="s">
        <v>149</v>
      </c>
      <c r="E27" s="344">
        <f t="shared" si="2"/>
        <v>33.544840751958724</v>
      </c>
      <c r="F27" s="344">
        <v>31.7</v>
      </c>
      <c r="G27" s="344">
        <f>SUM(G9*100/G6)</f>
        <v>31.085621628352584</v>
      </c>
      <c r="H27" s="344">
        <f t="shared" si="3"/>
        <v>31.172969754612414</v>
      </c>
      <c r="I27" s="344">
        <f t="shared" si="4"/>
        <v>31.937864753926359</v>
      </c>
      <c r="J27" s="344">
        <f t="shared" si="5"/>
        <v>29.405550991578231</v>
      </c>
      <c r="K27" s="344">
        <f t="shared" ref="K27:AK27" si="8">SUM(K9*100/K6)</f>
        <v>31.15629587859052</v>
      </c>
      <c r="L27" s="344">
        <f t="shared" si="8"/>
        <v>30.887292519939642</v>
      </c>
      <c r="M27" s="344">
        <f t="shared" si="8"/>
        <v>29.898301858574321</v>
      </c>
      <c r="N27" s="344">
        <f t="shared" si="8"/>
        <v>28.819316012834165</v>
      </c>
      <c r="O27" s="344">
        <f t="shared" si="8"/>
        <v>29.935674795255903</v>
      </c>
      <c r="P27" s="344">
        <f t="shared" si="8"/>
        <v>31.786602786024794</v>
      </c>
      <c r="Q27" s="344">
        <f t="shared" si="8"/>
        <v>27.40959062668496</v>
      </c>
      <c r="R27" s="344">
        <f t="shared" si="8"/>
        <v>30.377798514419062</v>
      </c>
      <c r="S27" s="344">
        <f t="shared" si="8"/>
        <v>27.035900696155831</v>
      </c>
      <c r="T27" s="344">
        <f t="shared" si="8"/>
        <v>30.691454001139196</v>
      </c>
      <c r="U27" s="344">
        <f t="shared" si="8"/>
        <v>31.412881037900309</v>
      </c>
      <c r="V27" s="344">
        <f t="shared" si="8"/>
        <v>33.414714024787223</v>
      </c>
      <c r="W27" s="344">
        <f t="shared" si="8"/>
        <v>34.078743772053834</v>
      </c>
      <c r="X27" s="344">
        <f t="shared" si="8"/>
        <v>32.68675903667981</v>
      </c>
      <c r="Y27" s="344">
        <f t="shared" si="8"/>
        <v>32.426139684214938</v>
      </c>
      <c r="Z27" s="344">
        <f t="shared" si="8"/>
        <v>31.28736120342182</v>
      </c>
      <c r="AA27" s="344">
        <f t="shared" si="8"/>
        <v>31.761687861396847</v>
      </c>
      <c r="AB27" s="344">
        <f t="shared" si="8"/>
        <v>31.057654674759174</v>
      </c>
      <c r="AC27" s="344">
        <f t="shared" si="8"/>
        <v>30.205293110968768</v>
      </c>
      <c r="AD27" s="344">
        <f t="shared" si="8"/>
        <v>30.380864982112449</v>
      </c>
      <c r="AE27" s="344">
        <f t="shared" si="8"/>
        <v>30.71641652020659</v>
      </c>
      <c r="AF27" s="344">
        <f t="shared" si="8"/>
        <v>30.577088294734409</v>
      </c>
      <c r="AG27" s="344">
        <f t="shared" si="8"/>
        <v>31.52433013447726</v>
      </c>
      <c r="AH27" s="344">
        <f t="shared" si="8"/>
        <v>30.975450584651991</v>
      </c>
      <c r="AI27" s="344">
        <f t="shared" si="8"/>
        <v>30.825297409425701</v>
      </c>
      <c r="AJ27" s="344">
        <f t="shared" si="8"/>
        <v>31.912826756805465</v>
      </c>
      <c r="AK27" s="344">
        <f t="shared" si="8"/>
        <v>33.197562569835945</v>
      </c>
      <c r="AL27" s="344">
        <f t="shared" ref="AL27:AO27" si="9">SUM(AL9*100/AL6)</f>
        <v>29.449380340671155</v>
      </c>
      <c r="AM27" s="344">
        <f t="shared" si="9"/>
        <v>30.85443523914681</v>
      </c>
      <c r="AN27" s="344">
        <f t="shared" si="9"/>
        <v>31.678189970827983</v>
      </c>
      <c r="AO27" s="344">
        <f t="shared" si="9"/>
        <v>30.28357551095948</v>
      </c>
      <c r="AQ27" s="185"/>
      <c r="AR27" s="185"/>
      <c r="AS27" s="185"/>
      <c r="AT27" s="184"/>
    </row>
    <row r="28" spans="1:46" s="336" customFormat="1" ht="21" customHeight="1">
      <c r="A28" s="349" t="s">
        <v>35</v>
      </c>
      <c r="B28" s="344">
        <f t="shared" si="0"/>
        <v>20.846885283538686</v>
      </c>
      <c r="C28" s="344">
        <f t="shared" si="1"/>
        <v>21.325869358153835</v>
      </c>
      <c r="D28" s="345" t="s">
        <v>149</v>
      </c>
      <c r="E28" s="344">
        <f t="shared" si="2"/>
        <v>22.295690587265945</v>
      </c>
      <c r="F28" s="344">
        <f t="shared" ref="F28:F39" si="10">F10*100/$F$6</f>
        <v>19.863420652054959</v>
      </c>
      <c r="G28" s="344">
        <f>SUM(G10*100/G6)</f>
        <v>19.266924615411686</v>
      </c>
      <c r="H28" s="344">
        <f t="shared" si="3"/>
        <v>23.022282116042437</v>
      </c>
      <c r="I28" s="344">
        <f t="shared" si="4"/>
        <v>23.853881072602828</v>
      </c>
      <c r="J28" s="344">
        <f t="shared" si="5"/>
        <v>18.390632387984983</v>
      </c>
      <c r="K28" s="344">
        <f t="shared" ref="K28:AK28" si="11">SUM(K10*100/K6)</f>
        <v>18.817511932066928</v>
      </c>
      <c r="L28" s="344">
        <f t="shared" si="11"/>
        <v>18.750822734784794</v>
      </c>
      <c r="M28" s="344">
        <f t="shared" si="11"/>
        <v>18.77536222031878</v>
      </c>
      <c r="N28" s="344">
        <f t="shared" si="11"/>
        <v>19.796815174782278</v>
      </c>
      <c r="O28" s="344">
        <f t="shared" si="11"/>
        <v>18.474731022458766</v>
      </c>
      <c r="P28" s="344">
        <f t="shared" si="11"/>
        <v>16.49826533390199</v>
      </c>
      <c r="Q28" s="344">
        <f t="shared" si="11"/>
        <v>21.387012037610372</v>
      </c>
      <c r="R28" s="344">
        <f t="shared" si="11"/>
        <v>20.997241319652453</v>
      </c>
      <c r="S28" s="344">
        <f t="shared" si="11"/>
        <v>23.929421029530179</v>
      </c>
      <c r="T28" s="344">
        <f t="shared" si="11"/>
        <v>21.929265774115077</v>
      </c>
      <c r="U28" s="344">
        <f t="shared" si="11"/>
        <v>21.335847704310599</v>
      </c>
      <c r="V28" s="344">
        <f t="shared" si="11"/>
        <v>18.54267712297241</v>
      </c>
      <c r="W28" s="344">
        <f t="shared" si="11"/>
        <v>17.141722680916185</v>
      </c>
      <c r="X28" s="344">
        <f t="shared" si="11"/>
        <v>19.523873222403758</v>
      </c>
      <c r="Y28" s="344">
        <f t="shared" si="11"/>
        <v>20.292457506121632</v>
      </c>
      <c r="Z28" s="344">
        <f t="shared" si="11"/>
        <v>19.479632000922312</v>
      </c>
      <c r="AA28" s="344">
        <f t="shared" si="11"/>
        <v>18.356960794301614</v>
      </c>
      <c r="AB28" s="344">
        <f t="shared" si="11"/>
        <v>19.435435162276235</v>
      </c>
      <c r="AC28" s="344">
        <f t="shared" si="11"/>
        <v>19.877404441265814</v>
      </c>
      <c r="AD28" s="344">
        <f t="shared" si="11"/>
        <v>20.737830821551434</v>
      </c>
      <c r="AE28" s="344">
        <f t="shared" si="11"/>
        <v>19.394304847767312</v>
      </c>
      <c r="AF28" s="344">
        <f t="shared" si="11"/>
        <v>19.602379317337334</v>
      </c>
      <c r="AG28" s="344">
        <f t="shared" si="11"/>
        <v>19.300379535805291</v>
      </c>
      <c r="AH28" s="344">
        <f t="shared" si="11"/>
        <v>20.359890456636151</v>
      </c>
      <c r="AI28" s="344">
        <f t="shared" si="11"/>
        <v>19.625380697261914</v>
      </c>
      <c r="AJ28" s="344">
        <f t="shared" si="11"/>
        <v>19.890999258122918</v>
      </c>
      <c r="AK28" s="344">
        <f t="shared" si="11"/>
        <v>17.528389578780317</v>
      </c>
      <c r="AL28" s="344">
        <f t="shared" ref="AL28:AO28" si="12">SUM(AL10*100/AL6)</f>
        <v>19.316228225087276</v>
      </c>
      <c r="AM28" s="344">
        <f t="shared" si="12"/>
        <v>18.058697787559929</v>
      </c>
      <c r="AN28" s="344">
        <f t="shared" si="12"/>
        <v>18.301982021307069</v>
      </c>
      <c r="AO28" s="344">
        <f t="shared" si="12"/>
        <v>20.16987743790926</v>
      </c>
      <c r="AQ28" s="185"/>
      <c r="AR28" s="185"/>
      <c r="AS28" s="185"/>
      <c r="AT28" s="184"/>
    </row>
    <row r="29" spans="1:46" s="336" customFormat="1" ht="21" customHeight="1">
      <c r="A29" s="349" t="s">
        <v>34</v>
      </c>
      <c r="B29" s="344">
        <f t="shared" si="0"/>
        <v>15.391416764149602</v>
      </c>
      <c r="C29" s="344">
        <f t="shared" si="1"/>
        <v>19.140617950303294</v>
      </c>
      <c r="D29" s="345" t="s">
        <v>149</v>
      </c>
      <c r="E29" s="344">
        <f t="shared" si="2"/>
        <v>16.754281980018177</v>
      </c>
      <c r="F29" s="344">
        <f t="shared" si="10"/>
        <v>18.662819734760678</v>
      </c>
      <c r="G29" s="344">
        <f>SUM(G11*100/G6)</f>
        <v>19.549032444062856</v>
      </c>
      <c r="H29" s="344">
        <f t="shared" si="3"/>
        <v>15.043265068827605</v>
      </c>
      <c r="I29" s="344">
        <f t="shared" si="4"/>
        <v>15.20057276975896</v>
      </c>
      <c r="J29" s="344">
        <f t="shared" si="5"/>
        <v>18.341012019768371</v>
      </c>
      <c r="K29" s="344">
        <f t="shared" ref="K29:AI29" si="13">SUM(K11*100/K6)</f>
        <v>19.291431763066022</v>
      </c>
      <c r="L29" s="344">
        <f t="shared" si="13"/>
        <v>20.353506502838254</v>
      </c>
      <c r="M29" s="344">
        <f t="shared" si="13"/>
        <v>19.250995907601528</v>
      </c>
      <c r="N29" s="344">
        <f t="shared" si="13"/>
        <v>20.515464622808238</v>
      </c>
      <c r="O29" s="344">
        <f t="shared" si="13"/>
        <v>20.344979468238858</v>
      </c>
      <c r="P29" s="344">
        <f t="shared" si="13"/>
        <v>20.861305216301869</v>
      </c>
      <c r="Q29" s="344">
        <f t="shared" si="13"/>
        <v>21.527128040203564</v>
      </c>
      <c r="R29" s="344">
        <f t="shared" si="13"/>
        <v>18.759473797508189</v>
      </c>
      <c r="S29" s="344">
        <f t="shared" si="13"/>
        <v>17.408249141098977</v>
      </c>
      <c r="T29" s="344">
        <f t="shared" si="13"/>
        <v>19.067495599126122</v>
      </c>
      <c r="U29" s="344">
        <f t="shared" si="13"/>
        <v>17.418319340463761</v>
      </c>
      <c r="V29" s="344">
        <f t="shared" si="13"/>
        <v>17.994680819486248</v>
      </c>
      <c r="W29" s="344">
        <f t="shared" si="13"/>
        <v>19.59593643653017</v>
      </c>
      <c r="X29" s="344">
        <f t="shared" si="13"/>
        <v>19.916531336535186</v>
      </c>
      <c r="Y29" s="344">
        <f t="shared" si="13"/>
        <v>18.41643877503212</v>
      </c>
      <c r="Z29" s="344">
        <f t="shared" si="13"/>
        <v>18.830268234533637</v>
      </c>
      <c r="AA29" s="344">
        <f t="shared" si="13"/>
        <v>19.958316784562815</v>
      </c>
      <c r="AB29" s="344">
        <f t="shared" si="13"/>
        <v>18.334543537861833</v>
      </c>
      <c r="AC29" s="344">
        <f t="shared" si="13"/>
        <v>18.665979145463048</v>
      </c>
      <c r="AD29" s="344">
        <f t="shared" si="13"/>
        <v>19.576587673538693</v>
      </c>
      <c r="AE29" s="344">
        <f t="shared" si="13"/>
        <v>17.950147195442703</v>
      </c>
      <c r="AF29" s="344">
        <f t="shared" si="13"/>
        <v>18.110407847985446</v>
      </c>
      <c r="AG29" s="344">
        <f t="shared" si="13"/>
        <v>19.578056428173557</v>
      </c>
      <c r="AH29" s="344">
        <f t="shared" si="13"/>
        <v>19.329570348540841</v>
      </c>
      <c r="AI29" s="344">
        <f t="shared" si="13"/>
        <v>17.533018201618148</v>
      </c>
      <c r="AJ29" s="344">
        <f>SUM(AJ11*100/AJ6)-0.04</f>
        <v>18.019212438138247</v>
      </c>
      <c r="AK29" s="344">
        <f>SUM(AK11*100/AK6)</f>
        <v>19.369691064562218</v>
      </c>
      <c r="AL29" s="344">
        <f t="shared" ref="AL29:AO29" si="14">SUM(AL11*100/AL6)</f>
        <v>19.390136576779803</v>
      </c>
      <c r="AM29" s="344">
        <f t="shared" si="14"/>
        <v>18.138596196172774</v>
      </c>
      <c r="AN29" s="344">
        <f t="shared" si="14"/>
        <v>19.798338929346038</v>
      </c>
      <c r="AO29" s="344">
        <f t="shared" si="14"/>
        <v>18.113717554407778</v>
      </c>
      <c r="AQ29" s="185"/>
      <c r="AR29" s="185"/>
      <c r="AS29" s="185"/>
      <c r="AT29" s="184"/>
    </row>
    <row r="30" spans="1:46" s="336" customFormat="1" ht="21" customHeight="1">
      <c r="A30" s="336" t="s">
        <v>33</v>
      </c>
      <c r="B30" s="344">
        <f t="shared" si="0"/>
        <v>16.936270758399022</v>
      </c>
      <c r="C30" s="344">
        <f t="shared" si="1"/>
        <v>13.793894022692713</v>
      </c>
      <c r="D30" s="345" t="s">
        <v>149</v>
      </c>
      <c r="E30" s="344">
        <f t="shared" si="2"/>
        <v>12.799918698820941</v>
      </c>
      <c r="F30" s="344">
        <f t="shared" si="10"/>
        <v>13.966545711409561</v>
      </c>
      <c r="G30" s="344">
        <f>SUM(G12*100/G6)</f>
        <v>15.082617740623455</v>
      </c>
      <c r="H30" s="344">
        <f t="shared" si="3"/>
        <v>14.72293654244082</v>
      </c>
      <c r="I30" s="344">
        <f t="shared" si="4"/>
        <v>13.892109570403889</v>
      </c>
      <c r="J30" s="344">
        <f t="shared" si="5"/>
        <v>15.486986390085159</v>
      </c>
      <c r="K30" s="344">
        <f t="shared" ref="K30:AK30" si="15">SUM(K12*100/K6)</f>
        <v>15.9714354836618</v>
      </c>
      <c r="L30" s="344">
        <f t="shared" si="15"/>
        <v>15.659366691815764</v>
      </c>
      <c r="M30" s="344">
        <f t="shared" si="15"/>
        <v>16.345257032535248</v>
      </c>
      <c r="N30" s="344">
        <f t="shared" si="15"/>
        <v>15.086530282748445</v>
      </c>
      <c r="O30" s="344">
        <f t="shared" si="15"/>
        <v>15.745773210066298</v>
      </c>
      <c r="P30" s="344">
        <f t="shared" si="15"/>
        <v>16.378351403823931</v>
      </c>
      <c r="Q30" s="344">
        <f t="shared" si="15"/>
        <v>15.459177689095229</v>
      </c>
      <c r="R30" s="344">
        <f t="shared" si="15"/>
        <v>15.300061795632942</v>
      </c>
      <c r="S30" s="344">
        <f t="shared" si="15"/>
        <v>16.812890472458591</v>
      </c>
      <c r="T30" s="344">
        <f t="shared" si="15"/>
        <v>14.976455138847509</v>
      </c>
      <c r="U30" s="344">
        <f t="shared" si="15"/>
        <v>16.052550517189665</v>
      </c>
      <c r="V30" s="344">
        <f t="shared" si="15"/>
        <v>15.355720196857172</v>
      </c>
      <c r="W30" s="344">
        <f t="shared" si="15"/>
        <v>15.502084011738658</v>
      </c>
      <c r="X30" s="344">
        <f t="shared" si="15"/>
        <v>14.803471526375802</v>
      </c>
      <c r="Y30" s="344">
        <f t="shared" si="15"/>
        <v>15.818350845438921</v>
      </c>
      <c r="Z30" s="344">
        <f t="shared" si="15"/>
        <v>15.979374078364115</v>
      </c>
      <c r="AA30" s="344">
        <f t="shared" si="15"/>
        <v>15.830005123351707</v>
      </c>
      <c r="AB30" s="344">
        <f t="shared" si="15"/>
        <v>15.696278326062927</v>
      </c>
      <c r="AC30" s="344">
        <f t="shared" si="15"/>
        <v>16.083547825540229</v>
      </c>
      <c r="AD30" s="344">
        <f t="shared" si="15"/>
        <v>15.186997296010757</v>
      </c>
      <c r="AE30" s="344">
        <f t="shared" si="15"/>
        <v>16.871710776275183</v>
      </c>
      <c r="AF30" s="344">
        <f t="shared" si="15"/>
        <v>16.144248072829367</v>
      </c>
      <c r="AG30" s="344">
        <f t="shared" si="15"/>
        <v>14.786575964429165</v>
      </c>
      <c r="AH30" s="344">
        <f t="shared" si="15"/>
        <v>17.321079661585756</v>
      </c>
      <c r="AI30" s="344">
        <f t="shared" si="15"/>
        <v>18.616444362112443</v>
      </c>
      <c r="AJ30" s="344">
        <f t="shared" si="15"/>
        <v>16.005497411732989</v>
      </c>
      <c r="AK30" s="344">
        <f t="shared" si="15"/>
        <v>16.275796892535261</v>
      </c>
      <c r="AL30" s="344">
        <f t="shared" ref="AL30:AO30" si="16">SUM(AL12*100/AL6)</f>
        <v>17.288212325278707</v>
      </c>
      <c r="AM30" s="344">
        <f t="shared" si="16"/>
        <v>18.654596595908558</v>
      </c>
      <c r="AN30" s="344">
        <f t="shared" si="16"/>
        <v>16.628293544156534</v>
      </c>
      <c r="AO30" s="344">
        <f t="shared" si="16"/>
        <v>16.876700052843184</v>
      </c>
      <c r="AQ30" s="185"/>
      <c r="AR30" s="185"/>
      <c r="AS30" s="185"/>
      <c r="AT30" s="184"/>
    </row>
    <row r="31" spans="1:46" s="336" customFormat="1" ht="21" customHeight="1">
      <c r="A31" s="346" t="s">
        <v>32</v>
      </c>
      <c r="B31" s="344">
        <f t="shared" si="0"/>
        <v>12.91544129705146</v>
      </c>
      <c r="C31" s="344">
        <f t="shared" si="1"/>
        <v>11.558444596694684</v>
      </c>
      <c r="D31" s="345" t="s">
        <v>149</v>
      </c>
      <c r="E31" s="344">
        <f t="shared" si="2"/>
        <v>10.624147350668579</v>
      </c>
      <c r="F31" s="344">
        <f t="shared" si="10"/>
        <v>11.126506476321923</v>
      </c>
      <c r="G31" s="344">
        <f>SUM(G13*100/G6)</f>
        <v>12.322700015926291</v>
      </c>
      <c r="H31" s="344">
        <f t="shared" si="3"/>
        <v>12.978436949783962</v>
      </c>
      <c r="I31" s="344">
        <f t="shared" si="4"/>
        <v>11.954626913538952</v>
      </c>
      <c r="J31" s="344">
        <f t="shared" si="5"/>
        <v>12.554247165590809</v>
      </c>
      <c r="K31" s="344">
        <f t="shared" ref="K31:AK31" si="17">SUM(K13*100/K6)</f>
        <v>13.659305670644098</v>
      </c>
      <c r="L31" s="344">
        <f t="shared" si="17"/>
        <v>12.838254922037795</v>
      </c>
      <c r="M31" s="344">
        <f t="shared" si="17"/>
        <v>13.099436672059749</v>
      </c>
      <c r="N31" s="344">
        <f t="shared" si="17"/>
        <v>12.213255130359826</v>
      </c>
      <c r="O31" s="344">
        <f t="shared" si="17"/>
        <v>12.790530155307287</v>
      </c>
      <c r="P31" s="344">
        <f t="shared" si="17"/>
        <v>13.540633239204878</v>
      </c>
      <c r="Q31" s="344">
        <f t="shared" si="17"/>
        <v>13.410674457152782</v>
      </c>
      <c r="R31" s="344">
        <f t="shared" si="17"/>
        <v>13.075468724598789</v>
      </c>
      <c r="S31" s="344">
        <f t="shared" si="17"/>
        <v>13.305673224887496</v>
      </c>
      <c r="T31" s="344">
        <f t="shared" si="17"/>
        <v>12.204908455378783</v>
      </c>
      <c r="U31" s="344">
        <f t="shared" si="17"/>
        <v>13.396242331516602</v>
      </c>
      <c r="V31" s="344">
        <f t="shared" si="17"/>
        <v>12.908808111750284</v>
      </c>
      <c r="W31" s="344">
        <f t="shared" si="17"/>
        <v>12.990725591861805</v>
      </c>
      <c r="X31" s="344">
        <f t="shared" si="17"/>
        <v>11.710411123890005</v>
      </c>
      <c r="Y31" s="344">
        <f t="shared" si="17"/>
        <v>13.242061603485817</v>
      </c>
      <c r="Z31" s="344">
        <f t="shared" si="17"/>
        <v>13.632204895453912</v>
      </c>
      <c r="AA31" s="344">
        <f t="shared" si="17"/>
        <v>13.391259689951095</v>
      </c>
      <c r="AB31" s="344">
        <f t="shared" si="17"/>
        <v>13.158142624504869</v>
      </c>
      <c r="AC31" s="344">
        <f t="shared" si="17"/>
        <v>13.547100032615916</v>
      </c>
      <c r="AD31" s="344">
        <f t="shared" si="17"/>
        <v>12.574629612362775</v>
      </c>
      <c r="AE31" s="344">
        <f t="shared" si="17"/>
        <v>14.193807741426264</v>
      </c>
      <c r="AF31" s="344">
        <f t="shared" si="17"/>
        <v>13.530114214677354</v>
      </c>
      <c r="AG31" s="344">
        <f t="shared" si="17"/>
        <v>11.446230143385632</v>
      </c>
      <c r="AH31" s="344">
        <f t="shared" si="17"/>
        <v>14.378544920508659</v>
      </c>
      <c r="AI31" s="344">
        <f t="shared" si="17"/>
        <v>15.138053009970591</v>
      </c>
      <c r="AJ31" s="344">
        <f t="shared" si="17"/>
        <v>12.208835223679115</v>
      </c>
      <c r="AK31" s="344">
        <f t="shared" si="17"/>
        <v>14.323685375663091</v>
      </c>
      <c r="AL31" s="344">
        <f t="shared" ref="AL31:AO31" si="18">SUM(AL13*100/AL6)</f>
        <v>13.992046192963731</v>
      </c>
      <c r="AM31" s="344">
        <f t="shared" si="18"/>
        <v>13.78547350409851</v>
      </c>
      <c r="AN31" s="344">
        <f t="shared" si="18"/>
        <v>13.273365382929011</v>
      </c>
      <c r="AO31" s="344">
        <f t="shared" si="18"/>
        <v>14.236148145983552</v>
      </c>
      <c r="AQ31" s="185"/>
      <c r="AR31" s="185"/>
      <c r="AS31" s="185"/>
      <c r="AT31" s="184"/>
    </row>
    <row r="32" spans="1:46" s="336" customFormat="1" ht="21" customHeight="1">
      <c r="A32" s="346" t="s">
        <v>31</v>
      </c>
      <c r="B32" s="344">
        <f t="shared" si="0"/>
        <v>4.0208294613475601</v>
      </c>
      <c r="C32" s="344">
        <f t="shared" si="1"/>
        <v>2.235449425998028</v>
      </c>
      <c r="D32" s="345" t="s">
        <v>149</v>
      </c>
      <c r="E32" s="344">
        <f t="shared" si="2"/>
        <v>2.17577134815236</v>
      </c>
      <c r="F32" s="344">
        <f t="shared" si="10"/>
        <v>2.8400392350876369</v>
      </c>
      <c r="G32" s="344">
        <f>SUM(G14*100/G6)</f>
        <v>2.7599177246971638</v>
      </c>
      <c r="H32" s="344">
        <f t="shared" si="3"/>
        <v>1.7306027531041588</v>
      </c>
      <c r="I32" s="344">
        <f t="shared" si="4"/>
        <v>1.8943244805828923</v>
      </c>
      <c r="J32" s="344">
        <f t="shared" si="5"/>
        <v>2.9327392244943509</v>
      </c>
      <c r="K32" s="344">
        <f t="shared" ref="K32:AK32" si="19">SUM(K14*100/K$6)</f>
        <v>2.2311639248886839</v>
      </c>
      <c r="L32" s="344">
        <f t="shared" si="19"/>
        <v>2.8211117697779695</v>
      </c>
      <c r="M32" s="344">
        <f t="shared" si="19"/>
        <v>3.2343090735226805</v>
      </c>
      <c r="N32" s="344">
        <f t="shared" si="19"/>
        <v>2.8732751523886191</v>
      </c>
      <c r="O32" s="344">
        <f t="shared" si="19"/>
        <v>2.8810075474295154</v>
      </c>
      <c r="P32" s="344">
        <f t="shared" si="19"/>
        <v>2.5242525005405767</v>
      </c>
      <c r="Q32" s="344">
        <f t="shared" si="19"/>
        <v>2.0167702761312709</v>
      </c>
      <c r="R32" s="344">
        <f t="shared" si="19"/>
        <v>2.2245930710341546</v>
      </c>
      <c r="S32" s="344">
        <f t="shared" si="19"/>
        <v>3.5072172475710954</v>
      </c>
      <c r="T32" s="344">
        <f t="shared" si="19"/>
        <v>2.7715466834687263</v>
      </c>
      <c r="U32" s="344">
        <f t="shared" si="19"/>
        <v>2.6563081856730646</v>
      </c>
      <c r="V32" s="344">
        <f t="shared" si="19"/>
        <v>2.4469120851068884</v>
      </c>
      <c r="W32" s="344">
        <f t="shared" si="19"/>
        <v>2.5113584198768519</v>
      </c>
      <c r="X32" s="344">
        <f t="shared" si="19"/>
        <v>3.0930604024857966</v>
      </c>
      <c r="Y32" s="344">
        <f t="shared" si="19"/>
        <v>2.5762892419531034</v>
      </c>
      <c r="Z32" s="344">
        <f t="shared" si="19"/>
        <v>2.3471691829102039</v>
      </c>
      <c r="AA32" s="344">
        <f t="shared" si="19"/>
        <v>2.4387454334006113</v>
      </c>
      <c r="AB32" s="344">
        <f t="shared" si="19"/>
        <v>2.5381357015580566</v>
      </c>
      <c r="AC32" s="344">
        <f t="shared" si="19"/>
        <v>2.5364477929243114</v>
      </c>
      <c r="AD32" s="344">
        <f t="shared" si="19"/>
        <v>2.6123676836479808</v>
      </c>
      <c r="AE32" s="344">
        <f t="shared" si="19"/>
        <v>2.6779030348489195</v>
      </c>
      <c r="AF32" s="344">
        <f t="shared" si="19"/>
        <v>2.6141338581520124</v>
      </c>
      <c r="AG32" s="344">
        <f t="shared" si="19"/>
        <v>3.3403458210435324</v>
      </c>
      <c r="AH32" s="344">
        <f t="shared" si="19"/>
        <v>2.9009520958142421</v>
      </c>
      <c r="AI32" s="344">
        <f t="shared" si="19"/>
        <v>3.4783913521418515</v>
      </c>
      <c r="AJ32" s="344">
        <f t="shared" si="19"/>
        <v>3.7966621880538742</v>
      </c>
      <c r="AK32" s="344">
        <f t="shared" si="19"/>
        <v>1.9521115168721697</v>
      </c>
      <c r="AL32" s="344">
        <f t="shared" ref="AL32:AO32" si="20">SUM(AL14*100/AL$6)</f>
        <v>3.2746034316891692</v>
      </c>
      <c r="AM32" s="344">
        <f t="shared" si="20"/>
        <v>4.8691230918100477</v>
      </c>
      <c r="AN32" s="344">
        <f t="shared" si="20"/>
        <v>3.3549281612275244</v>
      </c>
      <c r="AO32" s="344">
        <f t="shared" si="20"/>
        <v>2.6405519068596295</v>
      </c>
      <c r="AQ32" s="185"/>
      <c r="AR32" s="185"/>
      <c r="AS32" s="185"/>
      <c r="AT32" s="184"/>
    </row>
    <row r="33" spans="1:46" s="336" customFormat="1" ht="21" customHeight="1">
      <c r="A33" s="347" t="s">
        <v>30</v>
      </c>
      <c r="B33" s="345" t="s">
        <v>149</v>
      </c>
      <c r="C33" s="345" t="s">
        <v>149</v>
      </c>
      <c r="D33" s="345" t="s">
        <v>149</v>
      </c>
      <c r="E33" s="344">
        <f t="shared" si="2"/>
        <v>0</v>
      </c>
      <c r="F33" s="344">
        <f t="shared" si="10"/>
        <v>0</v>
      </c>
      <c r="G33" s="345">
        <f>SUM(G15*100/G6)</f>
        <v>0</v>
      </c>
      <c r="H33" s="345">
        <f t="shared" si="3"/>
        <v>0</v>
      </c>
      <c r="I33" s="344">
        <f t="shared" si="4"/>
        <v>4.3220815144573627E-2</v>
      </c>
      <c r="J33" s="348">
        <f>0*100/$I$6</f>
        <v>0</v>
      </c>
      <c r="K33" s="344">
        <f t="shared" ref="K33:AG33" si="21">SUM(K15*100/K$6)</f>
        <v>8.0965888129018809E-2</v>
      </c>
      <c r="L33" s="344">
        <f t="shared" si="21"/>
        <v>0</v>
      </c>
      <c r="M33" s="344">
        <f t="shared" si="21"/>
        <v>1.1511286952817319E-2</v>
      </c>
      <c r="N33" s="344">
        <f t="shared" si="21"/>
        <v>0</v>
      </c>
      <c r="O33" s="344">
        <f t="shared" si="21"/>
        <v>7.4235507329494618E-2</v>
      </c>
      <c r="P33" s="344">
        <f t="shared" si="21"/>
        <v>0.31346566407847842</v>
      </c>
      <c r="Q33" s="344">
        <f t="shared" si="21"/>
        <v>3.1732955811177091E-2</v>
      </c>
      <c r="R33" s="344">
        <f t="shared" si="21"/>
        <v>0</v>
      </c>
      <c r="S33" s="344">
        <f t="shared" si="21"/>
        <v>0</v>
      </c>
      <c r="T33" s="344">
        <f t="shared" si="21"/>
        <v>0</v>
      </c>
      <c r="U33" s="344">
        <f t="shared" si="21"/>
        <v>0</v>
      </c>
      <c r="V33" s="344">
        <f t="shared" si="21"/>
        <v>0</v>
      </c>
      <c r="W33" s="344">
        <f t="shared" si="21"/>
        <v>0</v>
      </c>
      <c r="X33" s="344">
        <f t="shared" si="21"/>
        <v>0</v>
      </c>
      <c r="Y33" s="344">
        <f t="shared" si="21"/>
        <v>0</v>
      </c>
      <c r="Z33" s="344">
        <f t="shared" si="21"/>
        <v>0</v>
      </c>
      <c r="AA33" s="344">
        <f t="shared" si="21"/>
        <v>0</v>
      </c>
      <c r="AB33" s="344">
        <f t="shared" si="21"/>
        <v>0</v>
      </c>
      <c r="AC33" s="344">
        <f t="shared" si="21"/>
        <v>0</v>
      </c>
      <c r="AD33" s="344">
        <f t="shared" si="21"/>
        <v>0</v>
      </c>
      <c r="AE33" s="344">
        <f t="shared" si="21"/>
        <v>0</v>
      </c>
      <c r="AF33" s="344">
        <f t="shared" si="21"/>
        <v>0</v>
      </c>
      <c r="AG33" s="344">
        <f t="shared" si="21"/>
        <v>0</v>
      </c>
      <c r="AH33" s="344">
        <v>0</v>
      </c>
      <c r="AI33" s="344">
        <v>0</v>
      </c>
      <c r="AJ33" s="344">
        <v>0</v>
      </c>
      <c r="AK33" s="344">
        <v>0</v>
      </c>
      <c r="AL33" s="344">
        <v>0</v>
      </c>
      <c r="AM33" s="344">
        <v>0</v>
      </c>
      <c r="AN33" s="344">
        <v>0</v>
      </c>
      <c r="AO33" s="344">
        <v>0</v>
      </c>
      <c r="AQ33" s="185"/>
      <c r="AR33" s="185"/>
      <c r="AS33" s="185"/>
      <c r="AT33" s="184"/>
    </row>
    <row r="34" spans="1:46" s="336" customFormat="1" ht="21" customHeight="1">
      <c r="A34" s="336" t="s">
        <v>29</v>
      </c>
      <c r="B34" s="344">
        <f>B16*100/$B$6+0.1</f>
        <v>12.839152062447386</v>
      </c>
      <c r="C34" s="344">
        <f>C16*100/$C$6+0.03</f>
        <v>12.479910599401768</v>
      </c>
      <c r="D34" s="345" t="s">
        <v>149</v>
      </c>
      <c r="E34" s="344">
        <f t="shared" si="2"/>
        <v>12.956796527719264</v>
      </c>
      <c r="F34" s="344">
        <f t="shared" si="10"/>
        <v>12.340904342540947</v>
      </c>
      <c r="G34" s="344">
        <f>SUM(G16*100/G6)</f>
        <v>11.889710218226261</v>
      </c>
      <c r="H34" s="344">
        <f t="shared" si="3"/>
        <v>13.917557318088457</v>
      </c>
      <c r="I34" s="344">
        <v>13.5</v>
      </c>
      <c r="J34" s="344">
        <f t="shared" ref="J34:J39" si="22">J16*100/$J$6</f>
        <v>13.465426191074833</v>
      </c>
      <c r="K34" s="344">
        <f t="shared" ref="K34:AK34" si="23">K16*100/K$6</f>
        <v>10.724641479008373</v>
      </c>
      <c r="L34" s="344">
        <f t="shared" si="23"/>
        <v>11.136307214198462</v>
      </c>
      <c r="M34" s="344">
        <f t="shared" si="23"/>
        <v>12.30234803061821</v>
      </c>
      <c r="N34" s="344">
        <f t="shared" si="23"/>
        <v>11.929845365173984</v>
      </c>
      <c r="O34" s="344">
        <f t="shared" si="23"/>
        <v>12.272487440067904</v>
      </c>
      <c r="P34" s="344">
        <f t="shared" si="23"/>
        <v>11.967566311898336</v>
      </c>
      <c r="Q34" s="344">
        <f t="shared" si="23"/>
        <v>10.967009546255102</v>
      </c>
      <c r="R34" s="344">
        <f t="shared" si="23"/>
        <v>11.554838777033103</v>
      </c>
      <c r="S34" s="344">
        <f t="shared" si="23"/>
        <v>13.449765482061652</v>
      </c>
      <c r="T34" s="344">
        <f t="shared" si="23"/>
        <v>10.80064425521747</v>
      </c>
      <c r="U34" s="344">
        <f t="shared" si="23"/>
        <v>10.962403361282027</v>
      </c>
      <c r="V34" s="344">
        <f t="shared" si="23"/>
        <v>11.379395299411684</v>
      </c>
      <c r="W34" s="344">
        <f t="shared" si="23"/>
        <v>10.853348822798965</v>
      </c>
      <c r="X34" s="344">
        <f t="shared" si="23"/>
        <v>9.3632510822297128</v>
      </c>
      <c r="Y34" s="344">
        <f t="shared" si="23"/>
        <v>10.264962555082374</v>
      </c>
      <c r="Z34" s="344">
        <f t="shared" si="23"/>
        <v>10.853046220609269</v>
      </c>
      <c r="AA34" s="344">
        <f t="shared" si="23"/>
        <v>10.955550371504518</v>
      </c>
      <c r="AB34" s="344">
        <f t="shared" si="23"/>
        <v>11.714975691016296</v>
      </c>
      <c r="AC34" s="344">
        <f t="shared" si="23"/>
        <v>11.193535172137365</v>
      </c>
      <c r="AD34" s="344">
        <f t="shared" si="23"/>
        <v>11.525815490766686</v>
      </c>
      <c r="AE34" s="344">
        <f t="shared" si="23"/>
        <v>12.03551319856555</v>
      </c>
      <c r="AF34" s="344">
        <f t="shared" si="23"/>
        <v>12.237153910131006</v>
      </c>
      <c r="AG34" s="344">
        <f t="shared" si="23"/>
        <v>12.155082030443138</v>
      </c>
      <c r="AH34" s="344">
        <f t="shared" si="23"/>
        <v>10.080758389176379</v>
      </c>
      <c r="AI34" s="344">
        <f t="shared" si="23"/>
        <v>10.823215213520392</v>
      </c>
      <c r="AJ34" s="344">
        <f t="shared" si="23"/>
        <v>10.964249729793618</v>
      </c>
      <c r="AK34" s="344">
        <f t="shared" si="23"/>
        <v>11.283438879481155</v>
      </c>
      <c r="AL34" s="344">
        <f t="shared" ref="AL34:AO34" si="24">AL16*100/AL$6</f>
        <v>11.961591073627353</v>
      </c>
      <c r="AM34" s="344">
        <f t="shared" si="24"/>
        <v>11.654296794070261</v>
      </c>
      <c r="AN34" s="344">
        <f t="shared" si="24"/>
        <v>11.460637263403635</v>
      </c>
      <c r="AO34" s="344">
        <f t="shared" si="24"/>
        <v>12.081948330569416</v>
      </c>
      <c r="AQ34" s="185"/>
      <c r="AR34" s="185"/>
      <c r="AS34" s="185"/>
      <c r="AT34" s="184"/>
    </row>
    <row r="35" spans="1:46" s="336" customFormat="1" ht="21" customHeight="1">
      <c r="A35" s="347" t="s">
        <v>28</v>
      </c>
      <c r="B35" s="344">
        <f>B17*100/$B$6</f>
        <v>5.4808869671692051</v>
      </c>
      <c r="C35" s="344">
        <f>C17*100/$C$6</f>
        <v>6.4633791755092496</v>
      </c>
      <c r="D35" s="345" t="s">
        <v>149</v>
      </c>
      <c r="E35" s="344">
        <f t="shared" si="2"/>
        <v>6.3855515455264094</v>
      </c>
      <c r="F35" s="344">
        <f t="shared" si="10"/>
        <v>5.8031222555562687</v>
      </c>
      <c r="G35" s="344">
        <f>SUM(G17*100/G6)</f>
        <v>5.2593553416911014</v>
      </c>
      <c r="H35" s="344">
        <f t="shared" si="3"/>
        <v>5.9258546237590055</v>
      </c>
      <c r="I35" s="344">
        <f>I17*100/$I$6</f>
        <v>6.6891414905418447</v>
      </c>
      <c r="J35" s="344">
        <f t="shared" si="22"/>
        <v>8.1004620298748549</v>
      </c>
      <c r="K35" s="344">
        <f t="shared" ref="K35:AK35" si="25">SUM(K17*100/K6)</f>
        <v>6.8541991529383992</v>
      </c>
      <c r="L35" s="344">
        <f t="shared" si="25"/>
        <v>5.8304784615937342</v>
      </c>
      <c r="M35" s="344">
        <f t="shared" si="25"/>
        <v>6.8574639819082455</v>
      </c>
      <c r="N35" s="344">
        <f t="shared" si="25"/>
        <v>6.5301915319132435</v>
      </c>
      <c r="O35" s="344">
        <f t="shared" si="25"/>
        <v>5.8401504897800001</v>
      </c>
      <c r="P35" s="344">
        <f t="shared" si="25"/>
        <v>6.2096317696624181</v>
      </c>
      <c r="Q35" s="344">
        <f t="shared" si="25"/>
        <v>6.7280685722806721</v>
      </c>
      <c r="R35" s="344">
        <f t="shared" si="25"/>
        <v>6.50022446281797</v>
      </c>
      <c r="S35" s="344">
        <f t="shared" si="25"/>
        <v>7.8220019428759704</v>
      </c>
      <c r="T35" s="344">
        <f t="shared" si="25"/>
        <v>5.8833648206708959</v>
      </c>
      <c r="U35" s="344">
        <f t="shared" si="25"/>
        <v>5.8896892338326134</v>
      </c>
      <c r="V35" s="344">
        <f t="shared" si="25"/>
        <v>6.7017617806590009</v>
      </c>
      <c r="W35" s="344">
        <f t="shared" si="25"/>
        <v>6.4217150317160154</v>
      </c>
      <c r="X35" s="344">
        <f t="shared" si="25"/>
        <v>5.4825239028387243</v>
      </c>
      <c r="Y35" s="344">
        <f t="shared" si="25"/>
        <v>5.767479021229061</v>
      </c>
      <c r="Z35" s="344">
        <f t="shared" si="25"/>
        <v>5.9982391304240723</v>
      </c>
      <c r="AA35" s="344">
        <f t="shared" si="25"/>
        <v>5.8300513860856462</v>
      </c>
      <c r="AB35" s="344">
        <f t="shared" si="25"/>
        <v>6.9722546189035777</v>
      </c>
      <c r="AC35" s="344">
        <f t="shared" si="25"/>
        <v>6.947935373334329</v>
      </c>
      <c r="AD35" s="344">
        <f t="shared" si="25"/>
        <v>7.0436711438708759</v>
      </c>
      <c r="AE35" s="344">
        <f t="shared" si="25"/>
        <v>6.5417527655829844</v>
      </c>
      <c r="AF35" s="344">
        <f t="shared" si="25"/>
        <v>6.8325044058710986</v>
      </c>
      <c r="AG35" s="344">
        <f t="shared" si="25"/>
        <v>6.0227936850410817</v>
      </c>
      <c r="AH35" s="344">
        <f t="shared" si="25"/>
        <v>5.5805866773118238</v>
      </c>
      <c r="AI35" s="344">
        <f t="shared" si="25"/>
        <v>6.0979502101013869</v>
      </c>
      <c r="AJ35" s="344">
        <f t="shared" si="25"/>
        <v>6.5979197161038119</v>
      </c>
      <c r="AK35" s="344">
        <f t="shared" si="25"/>
        <v>6.5924158100042423</v>
      </c>
      <c r="AL35" s="344">
        <f t="shared" ref="AL35:AO35" si="26">SUM(AL17*100/AL6)</f>
        <v>5.8843244044889449</v>
      </c>
      <c r="AM35" s="344">
        <f t="shared" si="26"/>
        <v>6.4282876440206591</v>
      </c>
      <c r="AN35" s="344">
        <f t="shared" si="26"/>
        <v>5.7115380493137655</v>
      </c>
      <c r="AO35" s="344">
        <f t="shared" si="26"/>
        <v>6.6052516869638058</v>
      </c>
      <c r="AQ35" s="185"/>
      <c r="AR35" s="185"/>
      <c r="AS35" s="185"/>
      <c r="AT35" s="184"/>
    </row>
    <row r="36" spans="1:46" s="336" customFormat="1" ht="21" customHeight="1">
      <c r="A36" s="347" t="s">
        <v>27</v>
      </c>
      <c r="B36" s="344">
        <f>B18*100/$B$6</f>
        <v>4.8746023242847301</v>
      </c>
      <c r="C36" s="344">
        <f>C18*100/$C$6</f>
        <v>3.9352305198603013</v>
      </c>
      <c r="D36" s="345" t="s">
        <v>149</v>
      </c>
      <c r="E36" s="344">
        <f t="shared" si="2"/>
        <v>4.6717947299598057</v>
      </c>
      <c r="F36" s="344">
        <f t="shared" si="10"/>
        <v>4.3722670880202745</v>
      </c>
      <c r="G36" s="344">
        <f>SUM(G18*100/G6)</f>
        <v>4.7109680702705798</v>
      </c>
      <c r="H36" s="344">
        <f t="shared" si="3"/>
        <v>5.3954798298210873</v>
      </c>
      <c r="I36" s="344">
        <f>I18*100/$I$6</f>
        <v>4.7837925701539596</v>
      </c>
      <c r="J36" s="344">
        <f t="shared" si="22"/>
        <v>3.1489834580845368</v>
      </c>
      <c r="K36" s="344">
        <f t="shared" ref="K36:AK36" si="27">SUM(K18*100/K6)</f>
        <v>2.0863929494710001</v>
      </c>
      <c r="L36" s="344">
        <f t="shared" si="27"/>
        <v>3.3827737658978223</v>
      </c>
      <c r="M36" s="344">
        <f t="shared" si="27"/>
        <v>4.037515918659615</v>
      </c>
      <c r="N36" s="344">
        <f t="shared" si="27"/>
        <v>3.9945087647685265</v>
      </c>
      <c r="O36" s="344">
        <f t="shared" si="27"/>
        <v>4.7550641187401066</v>
      </c>
      <c r="P36" s="344">
        <f t="shared" si="27"/>
        <v>3.7699433806087423</v>
      </c>
      <c r="Q36" s="344">
        <f t="shared" si="27"/>
        <v>3.069549728451368</v>
      </c>
      <c r="R36" s="344">
        <f t="shared" si="27"/>
        <v>3.7324960016783755</v>
      </c>
      <c r="S36" s="344">
        <f t="shared" si="27"/>
        <v>3.827622962176723</v>
      </c>
      <c r="T36" s="344">
        <f t="shared" si="27"/>
        <v>3.3802578111483519</v>
      </c>
      <c r="U36" s="344">
        <f t="shared" si="27"/>
        <v>3.6582615911797634</v>
      </c>
      <c r="V36" s="344">
        <f t="shared" si="27"/>
        <v>3.5030306268440516</v>
      </c>
      <c r="W36" s="344">
        <f t="shared" si="27"/>
        <v>3.5424389781103409</v>
      </c>
      <c r="X36" s="344">
        <f t="shared" si="27"/>
        <v>2.7624188636217797</v>
      </c>
      <c r="Y36" s="344">
        <f t="shared" si="27"/>
        <v>2.9642762909680935</v>
      </c>
      <c r="Z36" s="344">
        <f t="shared" si="27"/>
        <v>3.1211339330012282</v>
      </c>
      <c r="AA36" s="344">
        <f t="shared" si="27"/>
        <v>3.3726522277721092</v>
      </c>
      <c r="AB36" s="344">
        <f t="shared" si="27"/>
        <v>3.0322379212278792</v>
      </c>
      <c r="AC36" s="344">
        <f t="shared" si="27"/>
        <v>2.5832393497251225</v>
      </c>
      <c r="AD36" s="344">
        <f t="shared" si="27"/>
        <v>2.71964391749643</v>
      </c>
      <c r="AE36" s="344">
        <f t="shared" si="27"/>
        <v>3.6308862856988782</v>
      </c>
      <c r="AF36" s="344">
        <f t="shared" si="27"/>
        <v>3.8841219165024974</v>
      </c>
      <c r="AG36" s="344">
        <f t="shared" si="27"/>
        <v>4.7648532419132055</v>
      </c>
      <c r="AH36" s="344">
        <f t="shared" si="27"/>
        <v>3.1925687410046955</v>
      </c>
      <c r="AI36" s="344">
        <f t="shared" si="27"/>
        <v>3.5896373117775551</v>
      </c>
      <c r="AJ36" s="344">
        <f t="shared" si="27"/>
        <v>3.3592037934875987</v>
      </c>
      <c r="AK36" s="344">
        <f t="shared" si="27"/>
        <v>3.3597894316519334</v>
      </c>
      <c r="AL36" s="344">
        <f t="shared" ref="AL36:AO36" si="28">SUM(AL18*100/AL6)</f>
        <v>3.8623089847187777</v>
      </c>
      <c r="AM36" s="344">
        <f t="shared" si="28"/>
        <v>3.6684532906298521</v>
      </c>
      <c r="AN36" s="344">
        <f t="shared" si="28"/>
        <v>4.1777661288908199</v>
      </c>
      <c r="AO36" s="344">
        <f t="shared" si="28"/>
        <v>3.6979025883418686</v>
      </c>
      <c r="AQ36" s="185"/>
      <c r="AR36" s="185"/>
      <c r="AS36" s="185"/>
      <c r="AT36" s="184"/>
    </row>
    <row r="37" spans="1:46" s="336" customFormat="1" ht="21" customHeight="1">
      <c r="A37" s="347" t="s">
        <v>26</v>
      </c>
      <c r="B37" s="344">
        <f>B19*100/$B$6</f>
        <v>2.3836627709934515</v>
      </c>
      <c r="C37" s="344">
        <f>C19*100/$C$6</f>
        <v>2.0513009040322174</v>
      </c>
      <c r="D37" s="345" t="s">
        <v>149</v>
      </c>
      <c r="E37" s="344">
        <f t="shared" si="2"/>
        <v>1.8994502522330488</v>
      </c>
      <c r="F37" s="344">
        <f t="shared" si="10"/>
        <v>2.1655149989644036</v>
      </c>
      <c r="G37" s="344">
        <f>SUM(G19*100/G$6)</f>
        <v>1.9193868062645811</v>
      </c>
      <c r="H37" s="344">
        <f t="shared" si="3"/>
        <v>2.5960953705675136</v>
      </c>
      <c r="I37" s="344">
        <f>I19*100/$I$6</f>
        <v>2.0780442643785944</v>
      </c>
      <c r="J37" s="344">
        <f t="shared" si="22"/>
        <v>2.215980703115441</v>
      </c>
      <c r="K37" s="344">
        <f t="shared" ref="K37:AK37" si="29">SUM(K19*100/K6)</f>
        <v>1.7840493765989729</v>
      </c>
      <c r="L37" s="344">
        <f t="shared" si="29"/>
        <v>1.9230549867069053</v>
      </c>
      <c r="M37" s="344">
        <f t="shared" si="29"/>
        <v>1.4073681300503504</v>
      </c>
      <c r="N37" s="344">
        <f t="shared" si="29"/>
        <v>1.4051450684922135</v>
      </c>
      <c r="O37" s="344">
        <f t="shared" si="29"/>
        <v>1.6772728315477965</v>
      </c>
      <c r="P37" s="344">
        <f t="shared" si="29"/>
        <v>1.987991161627175</v>
      </c>
      <c r="Q37" s="344">
        <f t="shared" si="29"/>
        <v>1.169391245523062</v>
      </c>
      <c r="R37" s="344">
        <f t="shared" si="29"/>
        <v>1.3221183125367579</v>
      </c>
      <c r="S37" s="344">
        <f t="shared" si="29"/>
        <v>1.8001405770089582</v>
      </c>
      <c r="T37" s="344">
        <f t="shared" si="29"/>
        <v>1.5370216233982232</v>
      </c>
      <c r="U37" s="344">
        <f t="shared" si="29"/>
        <v>1.414452536269651</v>
      </c>
      <c r="V37" s="344">
        <f t="shared" si="29"/>
        <v>1.174602891908632</v>
      </c>
      <c r="W37" s="344">
        <f t="shared" si="29"/>
        <v>0.88919481297260861</v>
      </c>
      <c r="X37" s="344">
        <f t="shared" si="29"/>
        <v>1.11830831576921</v>
      </c>
      <c r="Y37" s="344">
        <f t="shared" si="29"/>
        <v>1.533207242885219</v>
      </c>
      <c r="Z37" s="344">
        <f t="shared" si="29"/>
        <v>1.7336731571839685</v>
      </c>
      <c r="AA37" s="344">
        <f t="shared" si="29"/>
        <v>1.7528467576467626</v>
      </c>
      <c r="AB37" s="344">
        <f t="shared" si="29"/>
        <v>1.710483150884839</v>
      </c>
      <c r="AC37" s="344">
        <f t="shared" si="29"/>
        <v>1.6623604490779127</v>
      </c>
      <c r="AD37" s="344">
        <f t="shared" si="29"/>
        <v>1.7625495036143159</v>
      </c>
      <c r="AE37" s="344">
        <f t="shared" si="29"/>
        <v>1.8628741472836865</v>
      </c>
      <c r="AF37" s="344">
        <f t="shared" si="29"/>
        <v>1.5205275877574091</v>
      </c>
      <c r="AG37" s="344">
        <f t="shared" si="29"/>
        <v>1.3674351034888512</v>
      </c>
      <c r="AH37" s="344">
        <f t="shared" si="29"/>
        <v>1.3076029708598607</v>
      </c>
      <c r="AI37" s="344">
        <f t="shared" si="29"/>
        <v>1.1356276916414498</v>
      </c>
      <c r="AJ37" s="344">
        <f t="shared" si="29"/>
        <v>1.0071262202022067</v>
      </c>
      <c r="AK37" s="344">
        <f t="shared" si="29"/>
        <v>1.3312336378249796</v>
      </c>
      <c r="AL37" s="344">
        <f t="shared" ref="AL37:AO37" si="30">SUM(AL19*100/AL6)</f>
        <v>2.2149576844196317</v>
      </c>
      <c r="AM37" s="344">
        <f t="shared" si="30"/>
        <v>1.5575558594197494</v>
      </c>
      <c r="AN37" s="344">
        <f t="shared" si="30"/>
        <v>1.5713330851990499</v>
      </c>
      <c r="AO37" s="344">
        <f t="shared" si="30"/>
        <v>1.7787940552637411</v>
      </c>
      <c r="AQ37" s="185"/>
      <c r="AR37" s="185"/>
      <c r="AS37" s="185"/>
      <c r="AT37" s="184"/>
    </row>
    <row r="38" spans="1:46" s="336" customFormat="1" ht="21" customHeight="1">
      <c r="A38" s="346" t="s">
        <v>25</v>
      </c>
      <c r="B38" s="344">
        <f>B20*100/$B$6</f>
        <v>0</v>
      </c>
      <c r="C38" s="345" t="s">
        <v>149</v>
      </c>
      <c r="D38" s="345" t="s">
        <v>149</v>
      </c>
      <c r="E38" s="344">
        <f t="shared" si="2"/>
        <v>0</v>
      </c>
      <c r="F38" s="344">
        <f t="shared" si="10"/>
        <v>0</v>
      </c>
      <c r="G38" s="344">
        <f>SUM(G20*100/G$6)</f>
        <v>0</v>
      </c>
      <c r="H38" s="345">
        <f t="shared" si="3"/>
        <v>0</v>
      </c>
      <c r="I38" s="345">
        <f>I20*100/$I$6</f>
        <v>0</v>
      </c>
      <c r="J38" s="345">
        <f t="shared" si="22"/>
        <v>0</v>
      </c>
      <c r="K38" s="345">
        <f t="shared" ref="K38:AI38" si="31">SUM(K20*100/K6)</f>
        <v>0</v>
      </c>
      <c r="L38" s="345">
        <f t="shared" si="31"/>
        <v>0</v>
      </c>
      <c r="M38" s="345">
        <f t="shared" si="31"/>
        <v>0</v>
      </c>
      <c r="N38" s="345">
        <f t="shared" si="31"/>
        <v>0</v>
      </c>
      <c r="O38" s="345">
        <f t="shared" si="31"/>
        <v>0</v>
      </c>
      <c r="P38" s="345">
        <f t="shared" si="31"/>
        <v>0</v>
      </c>
      <c r="Q38" s="345">
        <f t="shared" si="31"/>
        <v>0</v>
      </c>
      <c r="R38" s="345">
        <f t="shared" si="31"/>
        <v>0</v>
      </c>
      <c r="S38" s="345">
        <f t="shared" si="31"/>
        <v>0</v>
      </c>
      <c r="T38" s="345">
        <f t="shared" si="31"/>
        <v>0</v>
      </c>
      <c r="U38" s="345">
        <f t="shared" si="31"/>
        <v>0</v>
      </c>
      <c r="V38" s="345">
        <f t="shared" si="31"/>
        <v>4.4128618101440413E-2</v>
      </c>
      <c r="W38" s="345">
        <f t="shared" si="31"/>
        <v>0</v>
      </c>
      <c r="X38" s="345">
        <f t="shared" si="31"/>
        <v>0</v>
      </c>
      <c r="Y38" s="345">
        <f t="shared" si="31"/>
        <v>0</v>
      </c>
      <c r="Z38" s="345">
        <f t="shared" si="31"/>
        <v>0</v>
      </c>
      <c r="AA38" s="345">
        <f t="shared" si="31"/>
        <v>0</v>
      </c>
      <c r="AB38" s="345">
        <f t="shared" si="31"/>
        <v>0</v>
      </c>
      <c r="AC38" s="345">
        <f t="shared" si="31"/>
        <v>0</v>
      </c>
      <c r="AD38" s="345">
        <f t="shared" si="31"/>
        <v>0</v>
      </c>
      <c r="AE38" s="345">
        <f t="shared" si="31"/>
        <v>0</v>
      </c>
      <c r="AF38" s="345">
        <f t="shared" si="31"/>
        <v>0</v>
      </c>
      <c r="AG38" s="345">
        <f t="shared" si="31"/>
        <v>0</v>
      </c>
      <c r="AH38" s="345">
        <f t="shared" si="31"/>
        <v>0</v>
      </c>
      <c r="AI38" s="345">
        <f t="shared" si="31"/>
        <v>0</v>
      </c>
      <c r="AJ38" s="345"/>
      <c r="AK38" s="345"/>
      <c r="AL38" s="345"/>
      <c r="AM38" s="345"/>
      <c r="AN38" s="345"/>
      <c r="AO38" s="345"/>
      <c r="AQ38" s="187"/>
      <c r="AR38" s="185"/>
      <c r="AS38" s="185"/>
      <c r="AT38" s="184"/>
    </row>
    <row r="39" spans="1:46" s="336" customFormat="1" ht="21" customHeight="1">
      <c r="A39" s="346" t="s">
        <v>24</v>
      </c>
      <c r="B39" s="344">
        <f>B21*100/$B$6</f>
        <v>2.343690211984388E-2</v>
      </c>
      <c r="C39" s="345" t="s">
        <v>149</v>
      </c>
      <c r="D39" s="345" t="s">
        <v>149</v>
      </c>
      <c r="E39" s="344">
        <f t="shared" si="2"/>
        <v>0</v>
      </c>
      <c r="F39" s="344">
        <f t="shared" si="10"/>
        <v>3.676503175075499E-2</v>
      </c>
      <c r="G39" s="344">
        <f>SUM(G21*100/G$6)</f>
        <v>3.3469120368010086E-2</v>
      </c>
      <c r="H39" s="344">
        <f t="shared" si="3"/>
        <v>0</v>
      </c>
      <c r="I39" s="344">
        <f>I21*100/$I$6</f>
        <v>0</v>
      </c>
      <c r="J39" s="344">
        <f t="shared" si="22"/>
        <v>0</v>
      </c>
      <c r="K39" s="344">
        <f t="shared" ref="K39:AI39" si="32">SUM(K21*100/K6)</f>
        <v>0.14274655990226282</v>
      </c>
      <c r="L39" s="344">
        <f t="shared" si="32"/>
        <v>5.7337249407199829E-2</v>
      </c>
      <c r="M39" s="344">
        <f t="shared" si="32"/>
        <v>0</v>
      </c>
      <c r="N39" s="344">
        <f t="shared" si="32"/>
        <v>0</v>
      </c>
      <c r="O39" s="344">
        <f t="shared" si="32"/>
        <v>0</v>
      </c>
      <c r="P39" s="344">
        <f t="shared" si="32"/>
        <v>5.9038787932765562E-2</v>
      </c>
      <c r="Q39" s="344">
        <f t="shared" si="32"/>
        <v>0.11142904683838833</v>
      </c>
      <c r="R39" s="344">
        <f t="shared" si="32"/>
        <v>5.177758145912266E-2</v>
      </c>
      <c r="S39" s="344">
        <f t="shared" si="32"/>
        <v>2.390612105978121E-2</v>
      </c>
      <c r="T39" s="344">
        <f t="shared" si="32"/>
        <v>1.1897603277393117E-2</v>
      </c>
      <c r="U39" s="344">
        <f t="shared" si="32"/>
        <v>2.3166612846318439E-2</v>
      </c>
      <c r="V39" s="344">
        <f t="shared" si="32"/>
        <v>0.16142565119394628</v>
      </c>
      <c r="W39" s="344">
        <f t="shared" si="32"/>
        <v>0.14191489918917491</v>
      </c>
      <c r="X39" s="344">
        <f t="shared" si="32"/>
        <v>2.2051818688885488E-2</v>
      </c>
      <c r="Y39" s="344">
        <f t="shared" si="32"/>
        <v>0</v>
      </c>
      <c r="Z39" s="344">
        <f t="shared" si="32"/>
        <v>5.8827036196364056E-2</v>
      </c>
      <c r="AA39" s="344">
        <f t="shared" si="32"/>
        <v>0</v>
      </c>
      <c r="AB39" s="344">
        <f t="shared" si="32"/>
        <v>0.13216141479858551</v>
      </c>
      <c r="AC39" s="344">
        <f t="shared" si="32"/>
        <v>3.5754213543856612E-2</v>
      </c>
      <c r="AD39" s="344">
        <f t="shared" si="32"/>
        <v>2.8168599372831532E-2</v>
      </c>
      <c r="AE39" s="344">
        <f t="shared" si="32"/>
        <v>5.4024771975752582E-2</v>
      </c>
      <c r="AF39" s="344">
        <f t="shared" si="32"/>
        <v>1.0873856408277063E-2</v>
      </c>
      <c r="AG39" s="344">
        <f t="shared" si="32"/>
        <v>1.346045221245782E-2</v>
      </c>
      <c r="AH39" s="344">
        <f t="shared" si="32"/>
        <v>0</v>
      </c>
      <c r="AI39" s="344">
        <f t="shared" si="32"/>
        <v>0</v>
      </c>
      <c r="AJ39" s="344">
        <f>SUM(AJ21*100/AJ6)</f>
        <v>7.2820192731753566E-2</v>
      </c>
      <c r="AK39" s="344">
        <f>SUM(AK21*100/AK6)</f>
        <v>4.0711703052547871E-2</v>
      </c>
      <c r="AL39" s="344">
        <f t="shared" ref="AL39:AO39" si="33">SUM(AL21*100/AL6)</f>
        <v>0.11303343291853592</v>
      </c>
      <c r="AM39" s="344">
        <f t="shared" si="33"/>
        <v>0.17598124166709322</v>
      </c>
      <c r="AN39" s="344">
        <f t="shared" si="33"/>
        <v>8.9883721156825414E-2</v>
      </c>
      <c r="AO39" s="344">
        <f t="shared" si="33"/>
        <v>6.6480132668044978E-2</v>
      </c>
      <c r="AQ39" s="185"/>
      <c r="AR39" s="185"/>
      <c r="AS39" s="185"/>
      <c r="AT39" s="184"/>
    </row>
    <row r="40" spans="1:46" ht="8.25" customHeight="1">
      <c r="A40" s="343"/>
      <c r="B40" s="343"/>
      <c r="C40" s="342"/>
      <c r="D40" s="342"/>
      <c r="E40" s="342"/>
      <c r="F40" s="342"/>
      <c r="G40" s="342"/>
      <c r="H40" s="342"/>
      <c r="I40" s="342"/>
      <c r="J40" s="342"/>
      <c r="K40" s="342"/>
      <c r="L40" s="341"/>
      <c r="M40" s="341"/>
      <c r="N40" s="342"/>
      <c r="O40" s="341"/>
      <c r="P40" s="341"/>
      <c r="Q40" s="342"/>
      <c r="R40" s="342"/>
      <c r="S40" s="341"/>
      <c r="T40" s="341"/>
      <c r="U40" s="340"/>
      <c r="V40" s="342"/>
      <c r="W40" s="341"/>
      <c r="X40" s="341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  <c r="AJ40" s="340"/>
      <c r="AK40" s="340"/>
      <c r="AL40" s="340"/>
      <c r="AM40" s="340"/>
      <c r="AN40" s="340"/>
      <c r="AO40" s="340"/>
    </row>
    <row r="41" spans="1:46" ht="26.25" customHeight="1">
      <c r="A41" s="339" t="s">
        <v>23</v>
      </c>
      <c r="U41" s="27"/>
      <c r="Y41" s="27"/>
      <c r="AG41" s="336"/>
      <c r="AQ41" s="634"/>
      <c r="AR41" s="634"/>
      <c r="AS41" s="634"/>
      <c r="AT41" s="634"/>
    </row>
    <row r="42" spans="1:46" ht="26.25" customHeight="1">
      <c r="U42" s="338"/>
      <c r="Y42" s="338"/>
    </row>
    <row r="43" spans="1:46" ht="26.25" customHeight="1">
      <c r="U43" s="338"/>
      <c r="Y43" s="338"/>
    </row>
    <row r="44" spans="1:46" ht="26.25" customHeight="1">
      <c r="U44" s="338"/>
      <c r="Y44" s="338"/>
    </row>
    <row r="45" spans="1:46" ht="26.25" customHeight="1">
      <c r="U45" s="338"/>
      <c r="Y45" s="338"/>
    </row>
    <row r="46" spans="1:46" ht="26.25" customHeight="1">
      <c r="U46" s="338"/>
      <c r="Y46" s="338"/>
    </row>
    <row r="47" spans="1:46" ht="26.25" customHeight="1">
      <c r="U47" s="338"/>
      <c r="Y47" s="338"/>
    </row>
    <row r="48" spans="1:46" ht="26.25" customHeight="1">
      <c r="U48" s="338"/>
      <c r="Y48" s="338"/>
    </row>
    <row r="49" spans="21:25" s="335" customFormat="1" ht="26.25" customHeight="1">
      <c r="U49" s="338"/>
      <c r="V49" s="336"/>
      <c r="W49" s="336"/>
      <c r="X49" s="336"/>
      <c r="Y49" s="338"/>
    </row>
    <row r="50" spans="21:25" s="335" customFormat="1" ht="26.25" customHeight="1">
      <c r="U50" s="338"/>
      <c r="V50" s="336"/>
      <c r="W50" s="336"/>
      <c r="X50" s="336"/>
      <c r="Y50" s="338"/>
    </row>
    <row r="51" spans="21:25" s="335" customFormat="1" ht="26.25" customHeight="1">
      <c r="U51" s="338"/>
      <c r="V51" s="336"/>
      <c r="W51" s="336"/>
      <c r="X51" s="336"/>
      <c r="Y51" s="338"/>
    </row>
    <row r="52" spans="21:25" s="335" customFormat="1" ht="26.25" customHeight="1">
      <c r="U52" s="338"/>
      <c r="V52" s="336"/>
      <c r="W52" s="336"/>
      <c r="X52" s="336"/>
      <c r="Y52" s="338"/>
    </row>
    <row r="53" spans="21:25" s="335" customFormat="1" ht="26.25" customHeight="1">
      <c r="U53" s="338"/>
      <c r="V53" s="336"/>
      <c r="W53" s="336"/>
      <c r="X53" s="336"/>
      <c r="Y53" s="338"/>
    </row>
    <row r="54" spans="21:25" s="335" customFormat="1" ht="26.25" customHeight="1">
      <c r="U54" s="338"/>
      <c r="V54" s="336"/>
      <c r="W54" s="336"/>
      <c r="X54" s="336"/>
      <c r="Y54" s="338"/>
    </row>
    <row r="55" spans="21:25" s="335" customFormat="1" ht="26.25" customHeight="1">
      <c r="U55" s="338"/>
      <c r="V55" s="336"/>
      <c r="W55" s="336"/>
      <c r="X55" s="336"/>
      <c r="Y55" s="338"/>
    </row>
    <row r="56" spans="21:25" s="335" customFormat="1" ht="26.25" customHeight="1">
      <c r="U56" s="338"/>
      <c r="V56" s="336"/>
      <c r="W56" s="336"/>
      <c r="X56" s="336"/>
      <c r="Y56" s="338"/>
    </row>
    <row r="57" spans="21:25" s="335" customFormat="1" ht="26.25" customHeight="1">
      <c r="U57" s="338"/>
      <c r="V57" s="336"/>
      <c r="W57" s="336"/>
      <c r="X57" s="336"/>
      <c r="Y57" s="338"/>
    </row>
    <row r="58" spans="21:25" s="335" customFormat="1" ht="26.25" customHeight="1">
      <c r="U58" s="338"/>
      <c r="V58" s="336"/>
      <c r="W58" s="336"/>
      <c r="X58" s="336"/>
      <c r="Y58" s="338"/>
    </row>
    <row r="59" spans="21:25" s="335" customFormat="1" ht="26.25" customHeight="1">
      <c r="U59" s="338"/>
      <c r="V59" s="336"/>
      <c r="W59" s="336"/>
      <c r="X59" s="336"/>
      <c r="Y59" s="338"/>
    </row>
    <row r="60" spans="21:25" s="335" customFormat="1" ht="26.25" customHeight="1">
      <c r="U60" s="338"/>
      <c r="V60" s="336"/>
      <c r="W60" s="336"/>
      <c r="X60" s="336"/>
      <c r="Y60" s="338"/>
    </row>
    <row r="61" spans="21:25" s="335" customFormat="1" ht="26.25" customHeight="1">
      <c r="U61" s="338"/>
      <c r="V61" s="336"/>
      <c r="W61" s="336"/>
      <c r="X61" s="336"/>
      <c r="Y61" s="338"/>
    </row>
    <row r="62" spans="21:25" s="335" customFormat="1" ht="26.25" customHeight="1">
      <c r="U62" s="338"/>
      <c r="V62" s="336"/>
      <c r="W62" s="336"/>
      <c r="X62" s="336"/>
      <c r="Y62" s="338"/>
    </row>
    <row r="63" spans="21:25" s="335" customFormat="1" ht="26.25" customHeight="1">
      <c r="U63" s="338"/>
      <c r="V63" s="336"/>
      <c r="W63" s="336"/>
      <c r="X63" s="336"/>
      <c r="Y63" s="338"/>
    </row>
    <row r="64" spans="21:25" s="335" customFormat="1" ht="26.25" customHeight="1">
      <c r="U64" s="338"/>
      <c r="V64" s="336"/>
      <c r="W64" s="336"/>
      <c r="X64" s="336"/>
      <c r="Y64" s="338"/>
    </row>
    <row r="65" spans="21:25" s="335" customFormat="1" ht="26.25" customHeight="1">
      <c r="U65" s="338"/>
      <c r="V65" s="336"/>
      <c r="W65" s="336"/>
      <c r="X65" s="336"/>
      <c r="Y65" s="338"/>
    </row>
    <row r="66" spans="21:25" s="335" customFormat="1" ht="26.25" customHeight="1">
      <c r="U66" s="338"/>
      <c r="V66" s="336"/>
      <c r="W66" s="336"/>
      <c r="X66" s="336"/>
      <c r="Y66" s="338"/>
    </row>
    <row r="67" spans="21:25" s="335" customFormat="1" ht="26.25" customHeight="1">
      <c r="U67" s="338"/>
      <c r="V67" s="336"/>
      <c r="W67" s="336"/>
      <c r="X67" s="336"/>
      <c r="Y67" s="338"/>
    </row>
    <row r="68" spans="21:25" s="335" customFormat="1" ht="26.25" customHeight="1">
      <c r="U68" s="338"/>
      <c r="V68" s="336"/>
      <c r="W68" s="336"/>
      <c r="X68" s="336"/>
      <c r="Y68" s="338"/>
    </row>
    <row r="69" spans="21:25" s="335" customFormat="1" ht="26.25" customHeight="1">
      <c r="U69" s="338"/>
      <c r="V69" s="336"/>
      <c r="W69" s="336"/>
      <c r="X69" s="336"/>
      <c r="Y69" s="338"/>
    </row>
    <row r="70" spans="21:25" s="335" customFormat="1" ht="26.25" customHeight="1">
      <c r="U70" s="338"/>
      <c r="V70" s="336"/>
      <c r="W70" s="336"/>
      <c r="X70" s="336"/>
      <c r="Y70" s="338"/>
    </row>
    <row r="71" spans="21:25" s="335" customFormat="1" ht="26.25" customHeight="1">
      <c r="U71" s="338"/>
      <c r="V71" s="336"/>
      <c r="W71" s="336"/>
      <c r="X71" s="336"/>
      <c r="Y71" s="338"/>
    </row>
    <row r="72" spans="21:25" s="335" customFormat="1" ht="26.25" customHeight="1">
      <c r="U72" s="338"/>
      <c r="V72" s="336"/>
      <c r="W72" s="336"/>
      <c r="X72" s="336"/>
      <c r="Y72" s="338"/>
    </row>
    <row r="73" spans="21:25" s="335" customFormat="1" ht="26.25" customHeight="1">
      <c r="U73" s="338"/>
      <c r="V73" s="336"/>
      <c r="W73" s="336"/>
      <c r="X73" s="336"/>
      <c r="Y73" s="338"/>
    </row>
    <row r="74" spans="21:25" s="335" customFormat="1" ht="26.25" customHeight="1">
      <c r="U74" s="338"/>
      <c r="V74" s="336"/>
      <c r="W74" s="336"/>
      <c r="X74" s="336"/>
      <c r="Y74" s="338"/>
    </row>
    <row r="75" spans="21:25" s="335" customFormat="1" ht="26.25" customHeight="1">
      <c r="U75" s="338"/>
      <c r="V75" s="336"/>
      <c r="W75" s="336"/>
      <c r="X75" s="336"/>
      <c r="Y75" s="338"/>
    </row>
    <row r="76" spans="21:25" s="335" customFormat="1" ht="26.25" customHeight="1">
      <c r="U76" s="338"/>
      <c r="V76" s="336"/>
      <c r="W76" s="336"/>
      <c r="X76" s="336"/>
      <c r="Y76" s="338"/>
    </row>
    <row r="77" spans="21:25" s="335" customFormat="1" ht="26.25" customHeight="1">
      <c r="U77" s="338"/>
      <c r="V77" s="336"/>
      <c r="W77" s="336"/>
      <c r="X77" s="336"/>
      <c r="Y77" s="338"/>
    </row>
    <row r="78" spans="21:25" s="335" customFormat="1" ht="26.25" customHeight="1">
      <c r="U78" s="338"/>
      <c r="V78" s="336"/>
      <c r="W78" s="336"/>
      <c r="X78" s="336"/>
      <c r="Y78" s="338"/>
    </row>
    <row r="79" spans="21:25" s="335" customFormat="1" ht="26.25" customHeight="1">
      <c r="U79" s="338"/>
      <c r="V79" s="336"/>
      <c r="W79" s="336"/>
      <c r="X79" s="336"/>
      <c r="Y79" s="338"/>
    </row>
    <row r="80" spans="21:25" s="335" customFormat="1" ht="26.25" customHeight="1">
      <c r="U80" s="338"/>
      <c r="V80" s="336"/>
      <c r="W80" s="336"/>
      <c r="X80" s="336"/>
      <c r="Y80" s="338"/>
    </row>
    <row r="81" spans="21:25" s="335" customFormat="1" ht="26.25" customHeight="1">
      <c r="U81" s="338"/>
      <c r="V81" s="336"/>
      <c r="W81" s="336"/>
      <c r="X81" s="336"/>
      <c r="Y81" s="338"/>
    </row>
    <row r="82" spans="21:25" s="335" customFormat="1" ht="26.25" customHeight="1">
      <c r="U82" s="338"/>
      <c r="V82" s="336"/>
      <c r="W82" s="336"/>
      <c r="X82" s="336"/>
      <c r="Y82" s="338"/>
    </row>
    <row r="83" spans="21:25" s="335" customFormat="1" ht="26.25" customHeight="1">
      <c r="U83" s="338"/>
      <c r="V83" s="336"/>
      <c r="W83" s="336"/>
      <c r="X83" s="336"/>
      <c r="Y83" s="338"/>
    </row>
    <row r="84" spans="21:25" s="335" customFormat="1" ht="26.25" customHeight="1">
      <c r="U84" s="338"/>
      <c r="V84" s="336"/>
      <c r="W84" s="336"/>
      <c r="X84" s="336"/>
      <c r="Y84" s="338"/>
    </row>
    <row r="85" spans="21:25" s="335" customFormat="1" ht="26.25" customHeight="1">
      <c r="U85" s="338"/>
      <c r="V85" s="336"/>
      <c r="W85" s="336"/>
      <c r="X85" s="336"/>
      <c r="Y85" s="338"/>
    </row>
    <row r="86" spans="21:25" s="335" customFormat="1" ht="26.25" customHeight="1">
      <c r="U86" s="338"/>
      <c r="V86" s="336"/>
      <c r="W86" s="336"/>
      <c r="X86" s="336"/>
      <c r="Y86" s="338"/>
    </row>
    <row r="87" spans="21:25" s="335" customFormat="1" ht="26.25" customHeight="1">
      <c r="U87" s="338"/>
      <c r="V87" s="336"/>
      <c r="W87" s="336"/>
      <c r="X87" s="336"/>
      <c r="Y87" s="338"/>
    </row>
    <row r="88" spans="21:25" s="335" customFormat="1" ht="26.25" customHeight="1">
      <c r="U88" s="338"/>
      <c r="V88" s="336"/>
      <c r="W88" s="336"/>
      <c r="X88" s="336"/>
      <c r="Y88" s="338"/>
    </row>
    <row r="89" spans="21:25" s="335" customFormat="1" ht="26.25" customHeight="1">
      <c r="U89" s="338"/>
      <c r="V89" s="336"/>
      <c r="W89" s="336"/>
      <c r="X89" s="336"/>
      <c r="Y89" s="338"/>
    </row>
    <row r="90" spans="21:25" s="335" customFormat="1" ht="26.25" customHeight="1">
      <c r="U90" s="338"/>
      <c r="V90" s="336"/>
      <c r="W90" s="336"/>
      <c r="X90" s="336"/>
      <c r="Y90" s="338"/>
    </row>
    <row r="91" spans="21:25" s="335" customFormat="1" ht="26.25" customHeight="1">
      <c r="U91" s="338"/>
      <c r="V91" s="336"/>
      <c r="W91" s="336"/>
      <c r="X91" s="336"/>
      <c r="Y91" s="338"/>
    </row>
    <row r="92" spans="21:25" s="335" customFormat="1" ht="26.25" customHeight="1">
      <c r="U92" s="338"/>
      <c r="V92" s="336"/>
      <c r="W92" s="336"/>
      <c r="X92" s="336"/>
      <c r="Y92" s="338"/>
    </row>
    <row r="93" spans="21:25" s="335" customFormat="1" ht="26.25" customHeight="1">
      <c r="U93" s="338"/>
      <c r="V93" s="336"/>
      <c r="W93" s="336"/>
      <c r="X93" s="336"/>
      <c r="Y93" s="338"/>
    </row>
    <row r="94" spans="21:25" s="335" customFormat="1" ht="26.25" customHeight="1">
      <c r="U94" s="338"/>
      <c r="V94" s="336"/>
      <c r="W94" s="336"/>
      <c r="X94" s="336"/>
      <c r="Y94" s="338"/>
    </row>
    <row r="95" spans="21:25" s="335" customFormat="1" ht="26.25" customHeight="1">
      <c r="U95" s="338"/>
      <c r="V95" s="336"/>
      <c r="W95" s="336"/>
      <c r="X95" s="336"/>
      <c r="Y95" s="338"/>
    </row>
    <row r="96" spans="21:25" s="335" customFormat="1" ht="26.25" customHeight="1">
      <c r="U96" s="338"/>
      <c r="V96" s="336"/>
      <c r="W96" s="336"/>
      <c r="X96" s="336"/>
      <c r="Y96" s="338"/>
    </row>
    <row r="97" spans="21:25" s="335" customFormat="1" ht="26.25" customHeight="1">
      <c r="U97" s="338"/>
      <c r="V97" s="336"/>
      <c r="W97" s="336"/>
      <c r="X97" s="336"/>
      <c r="Y97" s="338"/>
    </row>
    <row r="98" spans="21:25" s="335" customFormat="1" ht="26.25" customHeight="1">
      <c r="U98" s="338"/>
      <c r="V98" s="336"/>
      <c r="W98" s="336"/>
      <c r="X98" s="336"/>
      <c r="Y98" s="338"/>
    </row>
    <row r="99" spans="21:25" s="335" customFormat="1" ht="26.25" customHeight="1">
      <c r="U99" s="338"/>
      <c r="V99" s="336"/>
      <c r="W99" s="336"/>
      <c r="X99" s="336"/>
      <c r="Y99" s="338"/>
    </row>
    <row r="100" spans="21:25" s="335" customFormat="1" ht="26.25" customHeight="1">
      <c r="U100" s="338"/>
      <c r="V100" s="336"/>
      <c r="W100" s="336"/>
      <c r="X100" s="336"/>
      <c r="Y100" s="338"/>
    </row>
    <row r="101" spans="21:25" s="335" customFormat="1" ht="26.25" customHeight="1">
      <c r="U101" s="338"/>
      <c r="V101" s="336"/>
      <c r="W101" s="336"/>
      <c r="X101" s="336"/>
      <c r="Y101" s="338"/>
    </row>
    <row r="102" spans="21:25" s="335" customFormat="1" ht="26.25" customHeight="1">
      <c r="U102" s="338"/>
      <c r="V102" s="336"/>
      <c r="W102" s="336"/>
      <c r="X102" s="336"/>
      <c r="Y102" s="338"/>
    </row>
    <row r="103" spans="21:25" s="335" customFormat="1" ht="26.25" customHeight="1">
      <c r="U103" s="338"/>
      <c r="V103" s="336"/>
      <c r="W103" s="336"/>
      <c r="X103" s="336"/>
      <c r="Y103" s="338"/>
    </row>
    <row r="104" spans="21:25" s="335" customFormat="1" ht="26.25" customHeight="1">
      <c r="U104" s="338"/>
      <c r="V104" s="336"/>
      <c r="W104" s="336"/>
      <c r="X104" s="336"/>
      <c r="Y104" s="338"/>
    </row>
    <row r="105" spans="21:25" s="335" customFormat="1" ht="26.25" customHeight="1">
      <c r="U105" s="338"/>
      <c r="V105" s="336"/>
      <c r="W105" s="336"/>
      <c r="X105" s="336"/>
      <c r="Y105" s="338"/>
    </row>
    <row r="106" spans="21:25" s="335" customFormat="1" ht="26.25" customHeight="1">
      <c r="U106" s="338"/>
      <c r="V106" s="336"/>
      <c r="W106" s="336"/>
      <c r="X106" s="336"/>
      <c r="Y106" s="338"/>
    </row>
    <row r="107" spans="21:25" s="335" customFormat="1" ht="26.25" customHeight="1">
      <c r="U107" s="338"/>
      <c r="V107" s="336"/>
      <c r="W107" s="336"/>
      <c r="X107" s="336"/>
      <c r="Y107" s="338"/>
    </row>
    <row r="108" spans="21:25" s="335" customFormat="1" ht="26.25" customHeight="1">
      <c r="U108" s="338"/>
      <c r="V108" s="336"/>
      <c r="W108" s="336"/>
      <c r="X108" s="336"/>
      <c r="Y108" s="338"/>
    </row>
    <row r="109" spans="21:25" s="335" customFormat="1" ht="26.25" customHeight="1">
      <c r="U109" s="338"/>
      <c r="V109" s="336"/>
      <c r="W109" s="336"/>
      <c r="X109" s="336"/>
      <c r="Y109" s="338"/>
    </row>
    <row r="110" spans="21:25" s="335" customFormat="1" ht="26.25" customHeight="1">
      <c r="U110" s="338"/>
      <c r="V110" s="336"/>
      <c r="W110" s="336"/>
      <c r="X110" s="336"/>
      <c r="Y110" s="338"/>
    </row>
    <row r="111" spans="21:25" s="335" customFormat="1" ht="26.25" customHeight="1">
      <c r="U111" s="338"/>
      <c r="V111" s="336"/>
      <c r="W111" s="336"/>
      <c r="X111" s="336"/>
      <c r="Y111" s="338"/>
    </row>
    <row r="112" spans="21:25" s="335" customFormat="1" ht="26.25" customHeight="1">
      <c r="U112" s="338"/>
      <c r="V112" s="336"/>
      <c r="W112" s="336"/>
      <c r="X112" s="336"/>
      <c r="Y112" s="338"/>
    </row>
    <row r="113" spans="21:25" s="335" customFormat="1" ht="26.25" customHeight="1">
      <c r="U113" s="338"/>
      <c r="V113" s="336"/>
      <c r="W113" s="336"/>
      <c r="X113" s="336"/>
      <c r="Y113" s="338"/>
    </row>
    <row r="114" spans="21:25" s="335" customFormat="1" ht="26.25" customHeight="1">
      <c r="U114" s="338"/>
      <c r="V114" s="336"/>
      <c r="W114" s="336"/>
      <c r="X114" s="336"/>
      <c r="Y114" s="338"/>
    </row>
    <row r="115" spans="21:25" s="335" customFormat="1" ht="26.25" customHeight="1">
      <c r="U115" s="338"/>
      <c r="V115" s="336"/>
      <c r="W115" s="336"/>
      <c r="X115" s="336"/>
      <c r="Y115" s="338"/>
    </row>
    <row r="116" spans="21:25" s="335" customFormat="1" ht="26.25" customHeight="1">
      <c r="U116" s="338"/>
      <c r="V116" s="336"/>
      <c r="W116" s="336"/>
      <c r="X116" s="336"/>
      <c r="Y116" s="338"/>
    </row>
    <row r="117" spans="21:25" s="335" customFormat="1" ht="26.25" customHeight="1">
      <c r="U117" s="338"/>
      <c r="V117" s="336"/>
      <c r="W117" s="336"/>
      <c r="X117" s="336"/>
      <c r="Y117" s="338"/>
    </row>
    <row r="118" spans="21:25" s="335" customFormat="1" ht="26.25" customHeight="1">
      <c r="U118" s="338"/>
      <c r="V118" s="336"/>
      <c r="W118" s="336"/>
      <c r="X118" s="336"/>
      <c r="Y118" s="338"/>
    </row>
    <row r="119" spans="21:25" s="335" customFormat="1" ht="26.25" customHeight="1">
      <c r="U119" s="338"/>
      <c r="V119" s="336"/>
      <c r="W119" s="336"/>
      <c r="X119" s="336"/>
      <c r="Y119" s="338"/>
    </row>
    <row r="120" spans="21:25" s="335" customFormat="1" ht="26.25" customHeight="1">
      <c r="U120" s="338"/>
      <c r="V120" s="336"/>
      <c r="W120" s="336"/>
      <c r="X120" s="336"/>
      <c r="Y120" s="338"/>
    </row>
    <row r="121" spans="21:25" s="335" customFormat="1" ht="26.25" customHeight="1">
      <c r="U121" s="338"/>
      <c r="V121" s="336"/>
      <c r="W121" s="336"/>
      <c r="X121" s="336"/>
      <c r="Y121" s="338"/>
    </row>
    <row r="122" spans="21:25" s="335" customFormat="1" ht="26.25" customHeight="1">
      <c r="U122" s="338"/>
      <c r="V122" s="336"/>
      <c r="W122" s="336"/>
      <c r="X122" s="336"/>
      <c r="Y122" s="338"/>
    </row>
    <row r="123" spans="21:25" s="335" customFormat="1" ht="26.25" customHeight="1">
      <c r="U123" s="338"/>
      <c r="V123" s="336"/>
      <c r="W123" s="336"/>
      <c r="X123" s="336"/>
      <c r="Y123" s="338"/>
    </row>
    <row r="124" spans="21:25" s="335" customFormat="1" ht="26.25" customHeight="1">
      <c r="U124" s="338"/>
      <c r="V124" s="336"/>
      <c r="W124" s="336"/>
      <c r="X124" s="336"/>
      <c r="Y124" s="338"/>
    </row>
    <row r="125" spans="21:25" s="335" customFormat="1" ht="26.25" customHeight="1">
      <c r="U125" s="338"/>
      <c r="V125" s="336"/>
      <c r="W125" s="336"/>
      <c r="X125" s="336"/>
      <c r="Y125" s="338"/>
    </row>
    <row r="126" spans="21:25" s="335" customFormat="1" ht="26.25" customHeight="1">
      <c r="U126" s="338"/>
      <c r="V126" s="336"/>
      <c r="W126" s="336"/>
      <c r="X126" s="336"/>
      <c r="Y126" s="338"/>
    </row>
    <row r="127" spans="21:25" s="335" customFormat="1" ht="26.25" customHeight="1">
      <c r="U127" s="338"/>
      <c r="V127" s="336"/>
      <c r="W127" s="336"/>
      <c r="X127" s="336"/>
      <c r="Y127" s="338"/>
    </row>
    <row r="128" spans="21:25" s="335" customFormat="1" ht="26.25" customHeight="1">
      <c r="U128" s="338"/>
      <c r="V128" s="336"/>
      <c r="W128" s="336"/>
      <c r="X128" s="336"/>
      <c r="Y128" s="338"/>
    </row>
    <row r="129" spans="21:25" s="335" customFormat="1" ht="26.25" customHeight="1">
      <c r="U129" s="338"/>
      <c r="V129" s="336"/>
      <c r="W129" s="336"/>
      <c r="X129" s="336"/>
      <c r="Y129" s="338"/>
    </row>
    <row r="130" spans="21:25" s="335" customFormat="1" ht="26.25" customHeight="1">
      <c r="U130" s="338"/>
      <c r="V130" s="336"/>
      <c r="W130" s="336"/>
      <c r="X130" s="336"/>
      <c r="Y130" s="338"/>
    </row>
    <row r="131" spans="21:25" s="335" customFormat="1" ht="26.25" customHeight="1">
      <c r="U131" s="338"/>
      <c r="V131" s="336"/>
      <c r="W131" s="336"/>
      <c r="X131" s="336"/>
      <c r="Y131" s="338"/>
    </row>
    <row r="132" spans="21:25" s="335" customFormat="1" ht="26.25" customHeight="1">
      <c r="U132" s="338"/>
      <c r="V132" s="336"/>
      <c r="W132" s="336"/>
      <c r="X132" s="336"/>
      <c r="Y132" s="338"/>
    </row>
    <row r="133" spans="21:25" s="335" customFormat="1" ht="26.25" customHeight="1">
      <c r="U133" s="338"/>
      <c r="V133" s="336"/>
      <c r="W133" s="336"/>
      <c r="X133" s="336"/>
      <c r="Y133" s="338"/>
    </row>
    <row r="134" spans="21:25" s="335" customFormat="1" ht="26.25" customHeight="1">
      <c r="U134" s="338"/>
      <c r="V134" s="336"/>
      <c r="W134" s="336"/>
      <c r="X134" s="336"/>
      <c r="Y134" s="338"/>
    </row>
    <row r="135" spans="21:25" s="335" customFormat="1" ht="26.25" customHeight="1">
      <c r="U135" s="338"/>
      <c r="V135" s="336"/>
      <c r="W135" s="336"/>
      <c r="X135" s="336"/>
      <c r="Y135" s="338"/>
    </row>
    <row r="136" spans="21:25" s="335" customFormat="1" ht="26.25" customHeight="1">
      <c r="U136" s="338"/>
      <c r="V136" s="336"/>
      <c r="W136" s="336"/>
      <c r="X136" s="336"/>
      <c r="Y136" s="338"/>
    </row>
    <row r="137" spans="21:25" s="335" customFormat="1" ht="26.25" customHeight="1">
      <c r="U137" s="338"/>
      <c r="V137" s="336"/>
      <c r="W137" s="336"/>
      <c r="X137" s="336"/>
      <c r="Y137" s="338"/>
    </row>
    <row r="138" spans="21:25" s="335" customFormat="1" ht="26.25" customHeight="1">
      <c r="U138" s="338"/>
      <c r="V138" s="336"/>
      <c r="W138" s="336"/>
      <c r="X138" s="336"/>
      <c r="Y138" s="338"/>
    </row>
    <row r="139" spans="21:25" s="335" customFormat="1" ht="26.25" customHeight="1">
      <c r="U139" s="338"/>
      <c r="V139" s="336"/>
      <c r="W139" s="336"/>
      <c r="X139" s="336"/>
      <c r="Y139" s="338"/>
    </row>
    <row r="140" spans="21:25" s="335" customFormat="1" ht="26.25" customHeight="1">
      <c r="U140" s="338"/>
      <c r="V140" s="336"/>
      <c r="W140" s="336"/>
      <c r="X140" s="336"/>
      <c r="Y140" s="338"/>
    </row>
    <row r="141" spans="21:25" s="335" customFormat="1" ht="26.25" customHeight="1">
      <c r="U141" s="338"/>
      <c r="V141" s="336"/>
      <c r="W141" s="336"/>
      <c r="X141" s="336"/>
      <c r="Y141" s="338"/>
    </row>
    <row r="142" spans="21:25" s="335" customFormat="1" ht="26.25" customHeight="1">
      <c r="U142" s="338"/>
      <c r="V142" s="336"/>
      <c r="W142" s="336"/>
      <c r="X142" s="336"/>
      <c r="Y142" s="338"/>
    </row>
    <row r="143" spans="21:25" s="335" customFormat="1" ht="26.25" customHeight="1">
      <c r="U143" s="338"/>
      <c r="V143" s="336"/>
      <c r="W143" s="336"/>
      <c r="X143" s="336"/>
      <c r="Y143" s="338"/>
    </row>
    <row r="144" spans="21:25" s="335" customFormat="1" ht="26.25" customHeight="1">
      <c r="U144" s="338"/>
      <c r="V144" s="336"/>
      <c r="W144" s="336"/>
      <c r="X144" s="336"/>
      <c r="Y144" s="338"/>
    </row>
    <row r="145" spans="21:25" s="335" customFormat="1" ht="26.25" customHeight="1">
      <c r="U145" s="338"/>
      <c r="V145" s="336"/>
      <c r="W145" s="336"/>
      <c r="X145" s="336"/>
      <c r="Y145" s="338"/>
    </row>
    <row r="146" spans="21:25" s="335" customFormat="1" ht="26.25" customHeight="1">
      <c r="U146" s="338"/>
      <c r="V146" s="336"/>
      <c r="W146" s="336"/>
      <c r="X146" s="336"/>
      <c r="Y146" s="338"/>
    </row>
    <row r="147" spans="21:25" s="335" customFormat="1" ht="26.25" customHeight="1">
      <c r="U147" s="338"/>
      <c r="V147" s="336"/>
      <c r="W147" s="336"/>
      <c r="X147" s="336"/>
      <c r="Y147" s="338"/>
    </row>
    <row r="148" spans="21:25" s="335" customFormat="1" ht="26.25" customHeight="1">
      <c r="U148" s="338"/>
      <c r="V148" s="336"/>
      <c r="W148" s="336"/>
      <c r="X148" s="336"/>
      <c r="Y148" s="338"/>
    </row>
    <row r="149" spans="21:25" s="335" customFormat="1" ht="26.25" customHeight="1">
      <c r="U149" s="338"/>
      <c r="V149" s="336"/>
      <c r="W149" s="336"/>
      <c r="X149" s="336"/>
      <c r="Y149" s="338"/>
    </row>
    <row r="150" spans="21:25" s="335" customFormat="1" ht="26.25" customHeight="1">
      <c r="U150" s="338"/>
      <c r="V150" s="336"/>
      <c r="W150" s="336"/>
      <c r="X150" s="336"/>
      <c r="Y150" s="338"/>
    </row>
    <row r="151" spans="21:25" s="335" customFormat="1" ht="26.25" customHeight="1">
      <c r="U151" s="338"/>
      <c r="V151" s="336"/>
      <c r="W151" s="336"/>
      <c r="X151" s="336"/>
      <c r="Y151" s="338"/>
    </row>
    <row r="152" spans="21:25" s="335" customFormat="1" ht="26.25" customHeight="1">
      <c r="U152" s="338"/>
      <c r="V152" s="336"/>
      <c r="W152" s="336"/>
      <c r="X152" s="336"/>
      <c r="Y152" s="338"/>
    </row>
    <row r="153" spans="21:25" s="335" customFormat="1" ht="26.25" customHeight="1">
      <c r="U153" s="338"/>
      <c r="V153" s="336"/>
      <c r="W153" s="336"/>
      <c r="X153" s="336"/>
      <c r="Y153" s="338"/>
    </row>
    <row r="154" spans="21:25" s="335" customFormat="1" ht="26.25" customHeight="1">
      <c r="U154" s="338"/>
      <c r="V154" s="336"/>
      <c r="W154" s="336"/>
      <c r="X154" s="336"/>
      <c r="Y154" s="338"/>
    </row>
    <row r="155" spans="21:25" s="335" customFormat="1" ht="26.25" customHeight="1">
      <c r="U155" s="338"/>
      <c r="V155" s="336"/>
      <c r="W155" s="336"/>
      <c r="X155" s="336"/>
      <c r="Y155" s="338"/>
    </row>
    <row r="156" spans="21:25" s="335" customFormat="1" ht="26.25" customHeight="1">
      <c r="U156" s="338"/>
      <c r="V156" s="336"/>
      <c r="W156" s="336"/>
      <c r="X156" s="336"/>
      <c r="Y156" s="338"/>
    </row>
    <row r="157" spans="21:25" s="335" customFormat="1" ht="26.25" customHeight="1">
      <c r="U157" s="338"/>
      <c r="V157" s="336"/>
      <c r="W157" s="336"/>
      <c r="X157" s="336"/>
      <c r="Y157" s="338"/>
    </row>
    <row r="158" spans="21:25" s="335" customFormat="1" ht="26.25" customHeight="1">
      <c r="U158" s="338"/>
      <c r="V158" s="336"/>
      <c r="W158" s="336"/>
      <c r="X158" s="336"/>
      <c r="Y158" s="338"/>
    </row>
    <row r="159" spans="21:25" s="335" customFormat="1" ht="26.25" customHeight="1">
      <c r="U159" s="338"/>
      <c r="V159" s="336"/>
      <c r="W159" s="336"/>
      <c r="X159" s="336"/>
      <c r="Y159" s="338"/>
    </row>
    <row r="160" spans="21:25" s="335" customFormat="1" ht="26.25" customHeight="1">
      <c r="U160" s="338"/>
      <c r="V160" s="336"/>
      <c r="W160" s="336"/>
      <c r="X160" s="336"/>
      <c r="Y160" s="338"/>
    </row>
    <row r="161" spans="21:25" s="335" customFormat="1" ht="26.25" customHeight="1">
      <c r="U161" s="338"/>
      <c r="V161" s="336"/>
      <c r="W161" s="336"/>
      <c r="X161" s="336"/>
      <c r="Y161" s="338"/>
    </row>
    <row r="162" spans="21:25" s="335" customFormat="1" ht="26.25" customHeight="1">
      <c r="U162" s="338"/>
      <c r="V162" s="336"/>
      <c r="W162" s="336"/>
      <c r="X162" s="336"/>
      <c r="Y162" s="338"/>
    </row>
    <row r="163" spans="21:25" s="335" customFormat="1" ht="26.25" customHeight="1">
      <c r="U163" s="338"/>
      <c r="V163" s="336"/>
      <c r="W163" s="336"/>
      <c r="X163" s="336"/>
      <c r="Y163" s="338"/>
    </row>
    <row r="164" spans="21:25" s="335" customFormat="1" ht="26.25" customHeight="1">
      <c r="U164" s="338"/>
      <c r="V164" s="336"/>
      <c r="W164" s="336"/>
      <c r="X164" s="336"/>
      <c r="Y164" s="338"/>
    </row>
    <row r="165" spans="21:25" s="335" customFormat="1" ht="26.25" customHeight="1">
      <c r="U165" s="338"/>
      <c r="V165" s="336"/>
      <c r="W165" s="336"/>
      <c r="X165" s="336"/>
      <c r="Y165" s="338"/>
    </row>
    <row r="166" spans="21:25" s="335" customFormat="1" ht="26.25" customHeight="1">
      <c r="U166" s="338"/>
      <c r="V166" s="336"/>
      <c r="W166" s="336"/>
      <c r="X166" s="336"/>
      <c r="Y166" s="338"/>
    </row>
    <row r="167" spans="21:25" s="335" customFormat="1" ht="26.25" customHeight="1">
      <c r="U167" s="338"/>
      <c r="V167" s="336"/>
      <c r="W167" s="336"/>
      <c r="X167" s="336"/>
      <c r="Y167" s="338"/>
    </row>
    <row r="168" spans="21:25" s="335" customFormat="1" ht="26.25" customHeight="1">
      <c r="U168" s="338"/>
      <c r="V168" s="336"/>
      <c r="W168" s="336"/>
      <c r="X168" s="336"/>
      <c r="Y168" s="338"/>
    </row>
    <row r="169" spans="21:25" s="335" customFormat="1" ht="26.25" customHeight="1">
      <c r="U169" s="338"/>
      <c r="V169" s="336"/>
      <c r="W169" s="336"/>
      <c r="X169" s="336"/>
      <c r="Y169" s="338"/>
    </row>
    <row r="170" spans="21:25" s="335" customFormat="1" ht="26.25" customHeight="1">
      <c r="U170" s="338"/>
      <c r="V170" s="336"/>
      <c r="W170" s="336"/>
      <c r="X170" s="336"/>
      <c r="Y170" s="338"/>
    </row>
    <row r="171" spans="21:25" s="335" customFormat="1" ht="26.25" customHeight="1">
      <c r="U171" s="338"/>
      <c r="V171" s="336"/>
      <c r="W171" s="336"/>
      <c r="X171" s="336"/>
      <c r="Y171" s="338"/>
    </row>
    <row r="172" spans="21:25" s="335" customFormat="1" ht="26.25" customHeight="1">
      <c r="U172" s="338"/>
      <c r="V172" s="336"/>
      <c r="W172" s="336"/>
      <c r="X172" s="336"/>
      <c r="Y172" s="338"/>
    </row>
    <row r="173" spans="21:25" s="335" customFormat="1" ht="26.25" customHeight="1">
      <c r="U173" s="338"/>
      <c r="V173" s="336"/>
      <c r="W173" s="336"/>
      <c r="X173" s="336"/>
      <c r="Y173" s="338"/>
    </row>
    <row r="174" spans="21:25" s="335" customFormat="1" ht="26.25" customHeight="1">
      <c r="U174" s="338"/>
      <c r="V174" s="336"/>
      <c r="W174" s="336"/>
      <c r="X174" s="336"/>
      <c r="Y174" s="338"/>
    </row>
    <row r="175" spans="21:25" s="335" customFormat="1" ht="26.25" customHeight="1">
      <c r="U175" s="338"/>
      <c r="V175" s="336"/>
      <c r="W175" s="336"/>
      <c r="X175" s="336"/>
      <c r="Y175" s="338"/>
    </row>
    <row r="176" spans="21:25" s="335" customFormat="1" ht="26.25" customHeight="1">
      <c r="U176" s="338"/>
      <c r="V176" s="336"/>
      <c r="W176" s="336"/>
      <c r="X176" s="336"/>
      <c r="Y176" s="338"/>
    </row>
    <row r="177" spans="21:25" s="335" customFormat="1" ht="26.25" customHeight="1">
      <c r="U177" s="338"/>
      <c r="V177" s="336"/>
      <c r="W177" s="336"/>
      <c r="X177" s="336"/>
      <c r="Y177" s="338"/>
    </row>
    <row r="178" spans="21:25" s="335" customFormat="1" ht="26.25" customHeight="1">
      <c r="U178" s="338"/>
      <c r="V178" s="336"/>
      <c r="W178" s="336"/>
      <c r="X178" s="336"/>
      <c r="Y178" s="338"/>
    </row>
    <row r="179" spans="21:25" s="335" customFormat="1" ht="26.25" customHeight="1">
      <c r="U179" s="338"/>
      <c r="V179" s="336"/>
      <c r="W179" s="336"/>
      <c r="X179" s="336"/>
      <c r="Y179" s="338"/>
    </row>
    <row r="180" spans="21:25" s="335" customFormat="1" ht="26.25" customHeight="1">
      <c r="U180" s="338"/>
      <c r="V180" s="336"/>
      <c r="W180" s="336"/>
      <c r="X180" s="336"/>
      <c r="Y180" s="338"/>
    </row>
    <row r="181" spans="21:25" s="335" customFormat="1" ht="26.25" customHeight="1">
      <c r="U181" s="338"/>
      <c r="V181" s="336"/>
      <c r="W181" s="336"/>
      <c r="X181" s="336"/>
      <c r="Y181" s="338"/>
    </row>
    <row r="182" spans="21:25" s="335" customFormat="1" ht="26.25" customHeight="1">
      <c r="U182" s="338"/>
      <c r="V182" s="336"/>
      <c r="W182" s="336"/>
      <c r="X182" s="336"/>
      <c r="Y182" s="338"/>
    </row>
    <row r="183" spans="21:25" s="335" customFormat="1" ht="26.25" customHeight="1">
      <c r="U183" s="338"/>
      <c r="V183" s="336"/>
      <c r="W183" s="336"/>
      <c r="X183" s="336"/>
      <c r="Y183" s="338"/>
    </row>
    <row r="184" spans="21:25" s="335" customFormat="1" ht="26.25" customHeight="1">
      <c r="U184" s="338"/>
      <c r="V184" s="336"/>
      <c r="W184" s="336"/>
      <c r="X184" s="336"/>
      <c r="Y184" s="338"/>
    </row>
    <row r="185" spans="21:25" s="335" customFormat="1" ht="26.25" customHeight="1">
      <c r="U185" s="338"/>
      <c r="V185" s="336"/>
      <c r="W185" s="336"/>
      <c r="X185" s="336"/>
      <c r="Y185" s="338"/>
    </row>
    <row r="186" spans="21:25" s="335" customFormat="1" ht="26.25" customHeight="1">
      <c r="U186" s="338"/>
      <c r="V186" s="336"/>
      <c r="W186" s="336"/>
      <c r="X186" s="336"/>
      <c r="Y186" s="338"/>
    </row>
    <row r="187" spans="21:25" s="335" customFormat="1" ht="26.25" customHeight="1">
      <c r="U187" s="338"/>
      <c r="V187" s="336"/>
      <c r="W187" s="336"/>
      <c r="X187" s="336"/>
      <c r="Y187" s="338"/>
    </row>
    <row r="188" spans="21:25" s="335" customFormat="1" ht="26.25" customHeight="1">
      <c r="U188" s="338"/>
      <c r="V188" s="336"/>
      <c r="W188" s="336"/>
      <c r="X188" s="336"/>
      <c r="Y188" s="338"/>
    </row>
    <row r="189" spans="21:25" s="335" customFormat="1" ht="26.25" customHeight="1">
      <c r="U189" s="338"/>
      <c r="V189" s="336"/>
      <c r="W189" s="336"/>
      <c r="X189" s="336"/>
      <c r="Y189" s="338"/>
    </row>
    <row r="190" spans="21:25" s="335" customFormat="1" ht="26.25" customHeight="1">
      <c r="U190" s="338"/>
      <c r="V190" s="336"/>
      <c r="W190" s="336"/>
      <c r="X190" s="336"/>
      <c r="Y190" s="338"/>
    </row>
    <row r="191" spans="21:25" s="335" customFormat="1" ht="26.25" customHeight="1">
      <c r="U191" s="338"/>
      <c r="V191" s="336"/>
      <c r="W191" s="336"/>
      <c r="X191" s="336"/>
      <c r="Y191" s="338"/>
    </row>
    <row r="192" spans="21:25" s="335" customFormat="1" ht="26.25" customHeight="1">
      <c r="U192" s="338"/>
      <c r="V192" s="336"/>
      <c r="W192" s="336"/>
      <c r="X192" s="336"/>
      <c r="Y192" s="338"/>
    </row>
    <row r="193" spans="21:25" s="335" customFormat="1" ht="26.25" customHeight="1">
      <c r="U193" s="338"/>
      <c r="V193" s="336"/>
      <c r="W193" s="336"/>
      <c r="X193" s="336"/>
      <c r="Y193" s="338"/>
    </row>
    <row r="194" spans="21:25" s="335" customFormat="1" ht="26.25" customHeight="1">
      <c r="U194" s="338"/>
      <c r="V194" s="336"/>
      <c r="W194" s="336"/>
      <c r="X194" s="336"/>
      <c r="Y194" s="338"/>
    </row>
    <row r="195" spans="21:25" s="335" customFormat="1" ht="26.25" customHeight="1">
      <c r="U195" s="338"/>
      <c r="V195" s="336"/>
      <c r="W195" s="336"/>
      <c r="X195" s="336"/>
      <c r="Y195" s="338"/>
    </row>
    <row r="196" spans="21:25" s="335" customFormat="1" ht="26.25" customHeight="1">
      <c r="U196" s="338"/>
      <c r="V196" s="336"/>
      <c r="W196" s="336"/>
      <c r="X196" s="336"/>
      <c r="Y196" s="338"/>
    </row>
    <row r="197" spans="21:25" s="335" customFormat="1" ht="26.25" customHeight="1">
      <c r="U197" s="338"/>
      <c r="V197" s="336"/>
      <c r="W197" s="336"/>
      <c r="X197" s="336"/>
      <c r="Y197" s="338"/>
    </row>
    <row r="198" spans="21:25" s="335" customFormat="1" ht="26.25" customHeight="1">
      <c r="U198" s="338"/>
      <c r="V198" s="336"/>
      <c r="W198" s="336"/>
      <c r="X198" s="336"/>
      <c r="Y198" s="338"/>
    </row>
    <row r="199" spans="21:25" s="335" customFormat="1" ht="26.25" customHeight="1">
      <c r="U199" s="338"/>
      <c r="V199" s="336"/>
      <c r="W199" s="336"/>
      <c r="X199" s="336"/>
      <c r="Y199" s="338"/>
    </row>
    <row r="200" spans="21:25" s="335" customFormat="1" ht="26.25" customHeight="1">
      <c r="U200" s="338"/>
      <c r="V200" s="336"/>
      <c r="W200" s="336"/>
      <c r="X200" s="336"/>
      <c r="Y200" s="338"/>
    </row>
    <row r="201" spans="21:25" s="335" customFormat="1" ht="26.25" customHeight="1">
      <c r="U201" s="338"/>
      <c r="V201" s="336"/>
      <c r="W201" s="336"/>
      <c r="X201" s="336"/>
      <c r="Y201" s="338"/>
    </row>
    <row r="202" spans="21:25" s="335" customFormat="1" ht="26.25" customHeight="1">
      <c r="U202" s="338"/>
      <c r="V202" s="336"/>
      <c r="W202" s="336"/>
      <c r="X202" s="336"/>
      <c r="Y202" s="338"/>
    </row>
    <row r="203" spans="21:25" s="335" customFormat="1" ht="26.25" customHeight="1">
      <c r="U203" s="338"/>
      <c r="V203" s="336"/>
      <c r="W203" s="336"/>
      <c r="X203" s="336"/>
      <c r="Y203" s="338"/>
    </row>
    <row r="204" spans="21:25" s="335" customFormat="1" ht="26.25" customHeight="1">
      <c r="U204" s="338"/>
      <c r="V204" s="336"/>
      <c r="W204" s="336"/>
      <c r="X204" s="336"/>
      <c r="Y204" s="338"/>
    </row>
    <row r="205" spans="21:25" s="335" customFormat="1" ht="26.25" customHeight="1">
      <c r="U205" s="338"/>
      <c r="V205" s="336"/>
      <c r="W205" s="336"/>
      <c r="X205" s="336"/>
      <c r="Y205" s="338"/>
    </row>
    <row r="206" spans="21:25" s="335" customFormat="1" ht="26.25" customHeight="1">
      <c r="U206" s="338"/>
      <c r="V206" s="336"/>
      <c r="W206" s="336"/>
      <c r="X206" s="336"/>
      <c r="Y206" s="338"/>
    </row>
    <row r="207" spans="21:25" s="335" customFormat="1" ht="26.25" customHeight="1">
      <c r="U207" s="338"/>
      <c r="V207" s="336"/>
      <c r="W207" s="336"/>
      <c r="X207" s="336"/>
      <c r="Y207" s="338"/>
    </row>
    <row r="208" spans="21:25" s="335" customFormat="1" ht="26.25" customHeight="1">
      <c r="U208" s="338"/>
      <c r="V208" s="336"/>
      <c r="W208" s="336"/>
      <c r="X208" s="336"/>
      <c r="Y208" s="338"/>
    </row>
    <row r="209" spans="21:25" s="335" customFormat="1" ht="26.25" customHeight="1">
      <c r="U209" s="338"/>
      <c r="V209" s="336"/>
      <c r="W209" s="336"/>
      <c r="X209" s="336"/>
      <c r="Y209" s="338"/>
    </row>
    <row r="210" spans="21:25" s="335" customFormat="1" ht="26.25" customHeight="1">
      <c r="U210" s="338"/>
      <c r="V210" s="336"/>
      <c r="W210" s="336"/>
      <c r="X210" s="336"/>
      <c r="Y210" s="338"/>
    </row>
    <row r="211" spans="21:25" s="335" customFormat="1" ht="26.25" customHeight="1">
      <c r="U211" s="338"/>
      <c r="V211" s="336"/>
      <c r="W211" s="336"/>
      <c r="X211" s="336"/>
      <c r="Y211" s="338"/>
    </row>
    <row r="212" spans="21:25" s="335" customFormat="1" ht="26.25" customHeight="1">
      <c r="U212" s="338"/>
      <c r="V212" s="336"/>
      <c r="W212" s="336"/>
      <c r="X212" s="336"/>
      <c r="Y212" s="338"/>
    </row>
    <row r="213" spans="21:25" s="335" customFormat="1" ht="26.25" customHeight="1">
      <c r="U213" s="338"/>
      <c r="V213" s="336"/>
      <c r="W213" s="336"/>
      <c r="X213" s="336"/>
      <c r="Y213" s="338"/>
    </row>
    <row r="214" spans="21:25" s="335" customFormat="1" ht="26.25" customHeight="1">
      <c r="U214" s="338"/>
      <c r="V214" s="336"/>
      <c r="W214" s="336"/>
      <c r="X214" s="336"/>
      <c r="Y214" s="338"/>
    </row>
    <row r="215" spans="21:25" s="335" customFormat="1" ht="26.25" customHeight="1">
      <c r="U215" s="338"/>
      <c r="V215" s="336"/>
      <c r="W215" s="336"/>
      <c r="X215" s="336"/>
      <c r="Y215" s="338"/>
    </row>
    <row r="216" spans="21:25" s="335" customFormat="1" ht="26.25" customHeight="1">
      <c r="U216" s="338"/>
      <c r="V216" s="336"/>
      <c r="W216" s="336"/>
      <c r="X216" s="336"/>
      <c r="Y216" s="338"/>
    </row>
    <row r="217" spans="21:25" s="335" customFormat="1" ht="26.25" customHeight="1">
      <c r="U217" s="338"/>
      <c r="V217" s="336"/>
      <c r="W217" s="336"/>
      <c r="X217" s="336"/>
      <c r="Y217" s="338"/>
    </row>
    <row r="218" spans="21:25" s="335" customFormat="1" ht="26.25" customHeight="1">
      <c r="U218" s="338"/>
      <c r="V218" s="336"/>
      <c r="W218" s="336"/>
      <c r="X218" s="336"/>
      <c r="Y218" s="338"/>
    </row>
    <row r="219" spans="21:25" s="335" customFormat="1" ht="26.25" customHeight="1">
      <c r="U219" s="338"/>
      <c r="V219" s="336"/>
      <c r="W219" s="336"/>
      <c r="X219" s="336"/>
      <c r="Y219" s="338"/>
    </row>
    <row r="220" spans="21:25" s="335" customFormat="1" ht="26.25" customHeight="1">
      <c r="U220" s="338"/>
      <c r="V220" s="336"/>
      <c r="W220" s="336"/>
      <c r="X220" s="336"/>
      <c r="Y220" s="338"/>
    </row>
    <row r="221" spans="21:25" s="335" customFormat="1" ht="26.25" customHeight="1">
      <c r="U221" s="338"/>
      <c r="V221" s="336"/>
      <c r="W221" s="336"/>
      <c r="X221" s="336"/>
      <c r="Y221" s="338"/>
    </row>
    <row r="222" spans="21:25" s="335" customFormat="1" ht="26.25" customHeight="1">
      <c r="U222" s="338"/>
      <c r="V222" s="336"/>
      <c r="W222" s="336"/>
      <c r="X222" s="336"/>
      <c r="Y222" s="338"/>
    </row>
    <row r="223" spans="21:25" s="335" customFormat="1" ht="26.25" customHeight="1">
      <c r="U223" s="338"/>
      <c r="V223" s="336"/>
      <c r="W223" s="336"/>
      <c r="X223" s="336"/>
      <c r="Y223" s="338"/>
    </row>
    <row r="224" spans="21:25" s="335" customFormat="1" ht="26.25" customHeight="1">
      <c r="U224" s="338"/>
      <c r="V224" s="336"/>
      <c r="W224" s="336"/>
      <c r="X224" s="336"/>
      <c r="Y224" s="338"/>
    </row>
    <row r="225" spans="21:25" s="335" customFormat="1" ht="26.25" customHeight="1">
      <c r="U225" s="338"/>
      <c r="V225" s="336"/>
      <c r="W225" s="336"/>
      <c r="X225" s="336"/>
      <c r="Y225" s="338"/>
    </row>
    <row r="226" spans="21:25" s="335" customFormat="1" ht="26.25" customHeight="1">
      <c r="U226" s="338"/>
      <c r="V226" s="336"/>
      <c r="W226" s="336"/>
      <c r="X226" s="336"/>
      <c r="Y226" s="338"/>
    </row>
    <row r="227" spans="21:25" s="335" customFormat="1" ht="26.25" customHeight="1">
      <c r="U227" s="338"/>
      <c r="V227" s="336"/>
      <c r="W227" s="336"/>
      <c r="X227" s="336"/>
      <c r="Y227" s="338"/>
    </row>
    <row r="228" spans="21:25" s="335" customFormat="1" ht="26.25" customHeight="1">
      <c r="U228" s="338"/>
      <c r="V228" s="336"/>
      <c r="W228" s="336"/>
      <c r="X228" s="336"/>
      <c r="Y228" s="338"/>
    </row>
    <row r="229" spans="21:25" s="335" customFormat="1" ht="26.25" customHeight="1">
      <c r="U229" s="338"/>
      <c r="V229" s="336"/>
      <c r="W229" s="336"/>
      <c r="X229" s="336"/>
      <c r="Y229" s="338"/>
    </row>
    <row r="230" spans="21:25" s="335" customFormat="1" ht="26.25" customHeight="1">
      <c r="U230" s="338"/>
      <c r="V230" s="336"/>
      <c r="W230" s="336"/>
      <c r="X230" s="336"/>
      <c r="Y230" s="338"/>
    </row>
    <row r="231" spans="21:25" s="335" customFormat="1" ht="26.25" customHeight="1">
      <c r="U231" s="338"/>
      <c r="V231" s="336"/>
      <c r="W231" s="336"/>
      <c r="X231" s="336"/>
      <c r="Y231" s="338"/>
    </row>
    <row r="232" spans="21:25" s="335" customFormat="1" ht="26.25" customHeight="1">
      <c r="U232" s="338"/>
      <c r="V232" s="336"/>
      <c r="W232" s="336"/>
      <c r="X232" s="336"/>
      <c r="Y232" s="338"/>
    </row>
    <row r="233" spans="21:25" s="335" customFormat="1" ht="26.25" customHeight="1">
      <c r="U233" s="338"/>
      <c r="V233" s="336"/>
      <c r="W233" s="336"/>
      <c r="X233" s="336"/>
      <c r="Y233" s="338"/>
    </row>
    <row r="234" spans="21:25" s="335" customFormat="1" ht="26.25" customHeight="1">
      <c r="U234" s="338"/>
      <c r="V234" s="336"/>
      <c r="W234" s="336"/>
      <c r="X234" s="336"/>
      <c r="Y234" s="338"/>
    </row>
    <row r="235" spans="21:25" s="335" customFormat="1" ht="26.25" customHeight="1">
      <c r="U235" s="338"/>
      <c r="V235" s="336"/>
      <c r="W235" s="336"/>
      <c r="X235" s="336"/>
      <c r="Y235" s="338"/>
    </row>
    <row r="236" spans="21:25" s="335" customFormat="1" ht="26.25" customHeight="1">
      <c r="U236" s="338"/>
      <c r="V236" s="336"/>
      <c r="W236" s="336"/>
      <c r="X236" s="336"/>
      <c r="Y236" s="338"/>
    </row>
    <row r="237" spans="21:25" s="335" customFormat="1" ht="26.25" customHeight="1">
      <c r="U237" s="338"/>
      <c r="V237" s="336"/>
      <c r="W237" s="336"/>
      <c r="X237" s="336"/>
      <c r="Y237" s="338"/>
    </row>
    <row r="238" spans="21:25" s="335" customFormat="1" ht="26.25" customHeight="1">
      <c r="U238" s="338"/>
      <c r="V238" s="336"/>
      <c r="W238" s="336"/>
      <c r="X238" s="336"/>
      <c r="Y238" s="338"/>
    </row>
    <row r="239" spans="21:25" s="335" customFormat="1" ht="26.25" customHeight="1">
      <c r="U239" s="338"/>
      <c r="V239" s="336"/>
      <c r="W239" s="336"/>
      <c r="X239" s="336"/>
      <c r="Y239" s="338"/>
    </row>
    <row r="240" spans="21:25" s="335" customFormat="1" ht="26.25" customHeight="1">
      <c r="U240" s="338"/>
      <c r="V240" s="336"/>
      <c r="W240" s="336"/>
      <c r="X240" s="336"/>
      <c r="Y240" s="338"/>
    </row>
    <row r="241" spans="21:25" s="335" customFormat="1" ht="26.25" customHeight="1">
      <c r="U241" s="338"/>
      <c r="V241" s="336"/>
      <c r="W241" s="336"/>
      <c r="X241" s="336"/>
      <c r="Y241" s="338"/>
    </row>
    <row r="242" spans="21:25" s="335" customFormat="1" ht="26.25" customHeight="1">
      <c r="U242" s="338"/>
      <c r="V242" s="336"/>
      <c r="W242" s="336"/>
      <c r="X242" s="336"/>
      <c r="Y242" s="338"/>
    </row>
    <row r="243" spans="21:25" s="335" customFormat="1" ht="26.25" customHeight="1">
      <c r="U243" s="338"/>
      <c r="V243" s="336"/>
      <c r="W243" s="336"/>
      <c r="X243" s="336"/>
      <c r="Y243" s="338"/>
    </row>
    <row r="244" spans="21:25" s="335" customFormat="1" ht="26.25" customHeight="1">
      <c r="U244" s="338"/>
      <c r="V244" s="336"/>
      <c r="W244" s="336"/>
      <c r="X244" s="336"/>
      <c r="Y244" s="338"/>
    </row>
    <row r="245" spans="21:25" s="335" customFormat="1" ht="26.25" customHeight="1">
      <c r="U245" s="338"/>
      <c r="V245" s="336"/>
      <c r="W245" s="336"/>
      <c r="X245" s="336"/>
      <c r="Y245" s="338"/>
    </row>
    <row r="246" spans="21:25" s="335" customFormat="1" ht="26.25" customHeight="1">
      <c r="U246" s="338"/>
      <c r="V246" s="336"/>
      <c r="W246" s="336"/>
      <c r="X246" s="336"/>
      <c r="Y246" s="338"/>
    </row>
    <row r="247" spans="21:25" s="335" customFormat="1" ht="26.25" customHeight="1">
      <c r="U247" s="338"/>
      <c r="V247" s="336"/>
      <c r="W247" s="336"/>
      <c r="X247" s="336"/>
      <c r="Y247" s="338"/>
    </row>
    <row r="248" spans="21:25" s="335" customFormat="1" ht="26.25" customHeight="1">
      <c r="U248" s="338"/>
      <c r="V248" s="336"/>
      <c r="W248" s="336"/>
      <c r="X248" s="336"/>
      <c r="Y248" s="338"/>
    </row>
    <row r="249" spans="21:25" s="335" customFormat="1" ht="26.25" customHeight="1">
      <c r="U249" s="338"/>
      <c r="V249" s="336"/>
      <c r="W249" s="336"/>
      <c r="X249" s="336"/>
      <c r="Y249" s="338"/>
    </row>
    <row r="250" spans="21:25" s="335" customFormat="1" ht="26.25" customHeight="1">
      <c r="U250" s="338"/>
      <c r="V250" s="336"/>
      <c r="W250" s="336"/>
      <c r="X250" s="336"/>
      <c r="Y250" s="338"/>
    </row>
    <row r="251" spans="21:25" s="335" customFormat="1" ht="26.25" customHeight="1">
      <c r="U251" s="338"/>
      <c r="V251" s="336"/>
      <c r="W251" s="336"/>
      <c r="X251" s="336"/>
      <c r="Y251" s="338"/>
    </row>
    <row r="252" spans="21:25" s="335" customFormat="1" ht="26.25" customHeight="1">
      <c r="U252" s="338"/>
      <c r="V252" s="336"/>
      <c r="W252" s="336"/>
      <c r="X252" s="336"/>
      <c r="Y252" s="338"/>
    </row>
    <row r="253" spans="21:25" s="335" customFormat="1" ht="26.25" customHeight="1">
      <c r="U253" s="338"/>
      <c r="V253" s="336"/>
      <c r="W253" s="336"/>
      <c r="X253" s="336"/>
      <c r="Y253" s="338"/>
    </row>
    <row r="254" spans="21:25" s="335" customFormat="1" ht="26.25" customHeight="1">
      <c r="U254" s="338"/>
      <c r="V254" s="336"/>
      <c r="W254" s="336"/>
      <c r="X254" s="336"/>
      <c r="Y254" s="338"/>
    </row>
    <row r="255" spans="21:25" s="335" customFormat="1" ht="26.25" customHeight="1">
      <c r="U255" s="338"/>
      <c r="V255" s="336"/>
      <c r="W255" s="336"/>
      <c r="X255" s="336"/>
      <c r="Y255" s="338"/>
    </row>
    <row r="256" spans="21:25" s="335" customFormat="1" ht="26.25" customHeight="1">
      <c r="U256" s="338"/>
      <c r="V256" s="336"/>
      <c r="W256" s="336"/>
      <c r="X256" s="336"/>
      <c r="Y256" s="338"/>
    </row>
    <row r="257" spans="21:25" s="335" customFormat="1" ht="26.25" customHeight="1">
      <c r="U257" s="338"/>
      <c r="V257" s="336"/>
      <c r="W257" s="336"/>
      <c r="X257" s="336"/>
      <c r="Y257" s="338"/>
    </row>
    <row r="258" spans="21:25" s="335" customFormat="1" ht="26.25" customHeight="1">
      <c r="U258" s="338"/>
      <c r="V258" s="336"/>
      <c r="W258" s="336"/>
      <c r="X258" s="336"/>
      <c r="Y258" s="338"/>
    </row>
    <row r="259" spans="21:25" s="335" customFormat="1" ht="26.25" customHeight="1">
      <c r="U259" s="338"/>
      <c r="V259" s="336"/>
      <c r="W259" s="336"/>
      <c r="X259" s="336"/>
      <c r="Y259" s="338"/>
    </row>
    <row r="260" spans="21:25" s="335" customFormat="1" ht="26.25" customHeight="1">
      <c r="U260" s="338"/>
      <c r="V260" s="336"/>
      <c r="W260" s="336"/>
      <c r="X260" s="336"/>
      <c r="Y260" s="338"/>
    </row>
    <row r="261" spans="21:25" s="335" customFormat="1" ht="26.25" customHeight="1">
      <c r="U261" s="338"/>
      <c r="V261" s="336"/>
      <c r="W261" s="336"/>
      <c r="X261" s="336"/>
      <c r="Y261" s="338"/>
    </row>
    <row r="262" spans="21:25" s="335" customFormat="1" ht="26.25" customHeight="1">
      <c r="U262" s="338"/>
      <c r="V262" s="336"/>
      <c r="W262" s="336"/>
      <c r="X262" s="336"/>
      <c r="Y262" s="338"/>
    </row>
    <row r="263" spans="21:25" s="335" customFormat="1" ht="26.25" customHeight="1">
      <c r="U263" s="338"/>
      <c r="V263" s="336"/>
      <c r="W263" s="336"/>
      <c r="X263" s="336"/>
      <c r="Y263" s="338"/>
    </row>
    <row r="264" spans="21:25" s="335" customFormat="1" ht="26.25" customHeight="1">
      <c r="U264" s="338"/>
      <c r="V264" s="336"/>
      <c r="W264" s="336"/>
      <c r="X264" s="336"/>
      <c r="Y264" s="338"/>
    </row>
    <row r="265" spans="21:25" s="335" customFormat="1" ht="26.25" customHeight="1">
      <c r="U265" s="338"/>
      <c r="V265" s="336"/>
      <c r="W265" s="336"/>
      <c r="X265" s="336"/>
      <c r="Y265" s="338"/>
    </row>
    <row r="266" spans="21:25" s="335" customFormat="1" ht="26.25" customHeight="1">
      <c r="U266" s="338"/>
      <c r="V266" s="336"/>
      <c r="W266" s="336"/>
      <c r="X266" s="336"/>
      <c r="Y266" s="338"/>
    </row>
    <row r="267" spans="21:25" s="335" customFormat="1" ht="26.25" customHeight="1">
      <c r="U267" s="338"/>
      <c r="V267" s="336"/>
      <c r="W267" s="336"/>
      <c r="X267" s="336"/>
      <c r="Y267" s="338"/>
    </row>
    <row r="268" spans="21:25" s="335" customFormat="1" ht="26.25" customHeight="1">
      <c r="U268" s="338"/>
      <c r="V268" s="336"/>
      <c r="W268" s="336"/>
      <c r="X268" s="336"/>
      <c r="Y268" s="338"/>
    </row>
    <row r="269" spans="21:25" s="335" customFormat="1" ht="26.25" customHeight="1">
      <c r="U269" s="338"/>
      <c r="V269" s="336"/>
      <c r="W269" s="336"/>
      <c r="X269" s="336"/>
      <c r="Y269" s="338"/>
    </row>
    <row r="270" spans="21:25" s="335" customFormat="1" ht="26.25" customHeight="1">
      <c r="U270" s="338"/>
      <c r="V270" s="336"/>
      <c r="W270" s="336"/>
      <c r="X270" s="336"/>
      <c r="Y270" s="338"/>
    </row>
    <row r="271" spans="21:25" s="335" customFormat="1" ht="26.25" customHeight="1">
      <c r="U271" s="338"/>
      <c r="V271" s="336"/>
      <c r="W271" s="336"/>
      <c r="X271" s="336"/>
      <c r="Y271" s="338"/>
    </row>
    <row r="272" spans="21:25" s="335" customFormat="1" ht="26.25" customHeight="1">
      <c r="U272" s="338"/>
      <c r="V272" s="336"/>
      <c r="W272" s="336"/>
      <c r="X272" s="336"/>
      <c r="Y272" s="338"/>
    </row>
    <row r="273" spans="21:25" s="335" customFormat="1" ht="26.25" customHeight="1">
      <c r="U273" s="338"/>
      <c r="V273" s="336"/>
      <c r="W273" s="336"/>
      <c r="X273" s="336"/>
      <c r="Y273" s="338"/>
    </row>
    <row r="274" spans="21:25" s="335" customFormat="1" ht="26.25" customHeight="1">
      <c r="U274" s="338"/>
      <c r="V274" s="336"/>
      <c r="W274" s="336"/>
      <c r="X274" s="336"/>
      <c r="Y274" s="338"/>
    </row>
    <row r="275" spans="21:25" s="335" customFormat="1" ht="26.25" customHeight="1">
      <c r="U275" s="338"/>
      <c r="V275" s="336"/>
      <c r="W275" s="336"/>
      <c r="X275" s="336"/>
      <c r="Y275" s="338"/>
    </row>
    <row r="276" spans="21:25" s="335" customFormat="1" ht="26.25" customHeight="1">
      <c r="U276" s="338"/>
      <c r="V276" s="336"/>
      <c r="W276" s="336"/>
      <c r="X276" s="336"/>
      <c r="Y276" s="338"/>
    </row>
    <row r="277" spans="21:25" s="335" customFormat="1" ht="26.25" customHeight="1">
      <c r="U277" s="338"/>
      <c r="V277" s="336"/>
      <c r="W277" s="336"/>
      <c r="X277" s="336"/>
      <c r="Y277" s="338"/>
    </row>
    <row r="278" spans="21:25" s="335" customFormat="1" ht="26.25" customHeight="1">
      <c r="U278" s="338"/>
      <c r="V278" s="336"/>
      <c r="W278" s="336"/>
      <c r="X278" s="336"/>
      <c r="Y278" s="338"/>
    </row>
    <row r="279" spans="21:25" s="335" customFormat="1" ht="26.25" customHeight="1">
      <c r="U279" s="338"/>
      <c r="V279" s="336"/>
      <c r="W279" s="336"/>
      <c r="X279" s="336"/>
      <c r="Y279" s="338"/>
    </row>
    <row r="280" spans="21:25" s="335" customFormat="1" ht="26.25" customHeight="1">
      <c r="U280" s="338"/>
      <c r="V280" s="336"/>
      <c r="W280" s="336"/>
      <c r="X280" s="336"/>
      <c r="Y280" s="338"/>
    </row>
    <row r="281" spans="21:25" s="335" customFormat="1" ht="26.25" customHeight="1">
      <c r="U281" s="338"/>
      <c r="V281" s="336"/>
      <c r="W281" s="336"/>
      <c r="X281" s="336"/>
      <c r="Y281" s="338"/>
    </row>
    <row r="282" spans="21:25" s="335" customFormat="1" ht="26.25" customHeight="1">
      <c r="U282" s="338"/>
      <c r="V282" s="336"/>
      <c r="W282" s="336"/>
      <c r="X282" s="336"/>
      <c r="Y282" s="338"/>
    </row>
    <row r="283" spans="21:25" s="335" customFormat="1" ht="26.25" customHeight="1">
      <c r="U283" s="338"/>
      <c r="V283" s="336"/>
      <c r="W283" s="336"/>
      <c r="X283" s="336"/>
      <c r="Y283" s="338"/>
    </row>
    <row r="284" spans="21:25" s="335" customFormat="1" ht="26.25" customHeight="1">
      <c r="U284" s="338"/>
      <c r="V284" s="336"/>
      <c r="W284" s="336"/>
      <c r="X284" s="336"/>
      <c r="Y284" s="338"/>
    </row>
    <row r="285" spans="21:25" s="335" customFormat="1" ht="26.25" customHeight="1">
      <c r="U285" s="338"/>
      <c r="V285" s="336"/>
      <c r="W285" s="336"/>
      <c r="X285" s="336"/>
      <c r="Y285" s="338"/>
    </row>
    <row r="286" spans="21:25" s="335" customFormat="1" ht="26.25" customHeight="1">
      <c r="U286" s="338"/>
      <c r="V286" s="336"/>
      <c r="W286" s="336"/>
      <c r="X286" s="336"/>
      <c r="Y286" s="338"/>
    </row>
    <row r="287" spans="21:25" s="335" customFormat="1" ht="26.25" customHeight="1">
      <c r="U287" s="338"/>
      <c r="V287" s="336"/>
      <c r="W287" s="336"/>
      <c r="X287" s="336"/>
      <c r="Y287" s="338"/>
    </row>
    <row r="288" spans="21:25" s="335" customFormat="1" ht="26.25" customHeight="1">
      <c r="U288" s="338"/>
      <c r="V288" s="336"/>
      <c r="W288" s="336"/>
      <c r="X288" s="336"/>
      <c r="Y288" s="338"/>
    </row>
    <row r="289" spans="21:25" s="335" customFormat="1" ht="26.25" customHeight="1">
      <c r="U289" s="338"/>
      <c r="V289" s="336"/>
      <c r="W289" s="336"/>
      <c r="X289" s="336"/>
      <c r="Y289" s="338"/>
    </row>
    <row r="290" spans="21:25" s="335" customFormat="1" ht="26.25" customHeight="1">
      <c r="U290" s="338"/>
      <c r="V290" s="336"/>
      <c r="W290" s="336"/>
      <c r="X290" s="336"/>
      <c r="Y290" s="338"/>
    </row>
    <row r="291" spans="21:25" s="335" customFormat="1" ht="26.25" customHeight="1">
      <c r="U291" s="338"/>
      <c r="V291" s="336"/>
      <c r="W291" s="336"/>
      <c r="X291" s="336"/>
      <c r="Y291" s="338"/>
    </row>
    <row r="292" spans="21:25" s="335" customFormat="1" ht="26.25" customHeight="1">
      <c r="U292" s="338"/>
      <c r="V292" s="336"/>
      <c r="W292" s="336"/>
      <c r="X292" s="336"/>
      <c r="Y292" s="338"/>
    </row>
    <row r="293" spans="21:25" s="335" customFormat="1" ht="26.25" customHeight="1">
      <c r="U293" s="338"/>
      <c r="V293" s="336"/>
      <c r="W293" s="336"/>
      <c r="X293" s="336"/>
      <c r="Y293" s="338"/>
    </row>
    <row r="294" spans="21:25" s="335" customFormat="1" ht="26.25" customHeight="1">
      <c r="U294" s="338"/>
      <c r="V294" s="336"/>
      <c r="W294" s="336"/>
      <c r="X294" s="336"/>
      <c r="Y294" s="338"/>
    </row>
    <row r="295" spans="21:25" s="335" customFormat="1" ht="26.25" customHeight="1">
      <c r="U295" s="338"/>
      <c r="V295" s="336"/>
      <c r="W295" s="336"/>
      <c r="X295" s="336"/>
      <c r="Y295" s="338"/>
    </row>
    <row r="296" spans="21:25" s="335" customFormat="1" ht="26.25" customHeight="1">
      <c r="U296" s="338"/>
      <c r="V296" s="336"/>
      <c r="W296" s="336"/>
      <c r="X296" s="336"/>
      <c r="Y296" s="338"/>
    </row>
    <row r="297" spans="21:25" s="335" customFormat="1" ht="26.25" customHeight="1">
      <c r="U297" s="338"/>
      <c r="V297" s="336"/>
      <c r="W297" s="336"/>
      <c r="X297" s="336"/>
      <c r="Y297" s="338"/>
    </row>
    <row r="298" spans="21:25" s="335" customFormat="1" ht="26.25" customHeight="1">
      <c r="U298" s="338"/>
      <c r="V298" s="336"/>
      <c r="W298" s="336"/>
      <c r="X298" s="336"/>
      <c r="Y298" s="338"/>
    </row>
    <row r="299" spans="21:25" s="335" customFormat="1" ht="26.25" customHeight="1">
      <c r="U299" s="338"/>
      <c r="V299" s="336"/>
      <c r="W299" s="336"/>
      <c r="X299" s="336"/>
      <c r="Y299" s="338"/>
    </row>
    <row r="300" spans="21:25" s="335" customFormat="1" ht="26.25" customHeight="1">
      <c r="U300" s="338"/>
      <c r="V300" s="336"/>
      <c r="W300" s="336"/>
      <c r="X300" s="336"/>
      <c r="Y300" s="338"/>
    </row>
    <row r="301" spans="21:25" s="335" customFormat="1" ht="26.25" customHeight="1">
      <c r="U301" s="338"/>
      <c r="V301" s="336"/>
      <c r="W301" s="336"/>
      <c r="X301" s="336"/>
      <c r="Y301" s="338"/>
    </row>
    <row r="302" spans="21:25" s="335" customFormat="1" ht="26.25" customHeight="1">
      <c r="U302" s="338"/>
      <c r="V302" s="336"/>
      <c r="W302" s="336"/>
      <c r="X302" s="336"/>
      <c r="Y302" s="338"/>
    </row>
    <row r="303" spans="21:25" s="335" customFormat="1" ht="26.25" customHeight="1">
      <c r="U303" s="338"/>
      <c r="V303" s="336"/>
      <c r="W303" s="336"/>
      <c r="X303" s="336"/>
      <c r="Y303" s="338"/>
    </row>
    <row r="304" spans="21:25" s="335" customFormat="1" ht="26.25" customHeight="1">
      <c r="U304" s="338"/>
      <c r="V304" s="336"/>
      <c r="W304" s="336"/>
      <c r="X304" s="336"/>
      <c r="Y304" s="338"/>
    </row>
    <row r="305" spans="21:25" s="335" customFormat="1" ht="26.25" customHeight="1">
      <c r="U305" s="338"/>
      <c r="V305" s="336"/>
      <c r="W305" s="336"/>
      <c r="X305" s="336"/>
      <c r="Y305" s="338"/>
    </row>
    <row r="306" spans="21:25" s="335" customFormat="1" ht="26.25" customHeight="1">
      <c r="U306" s="338"/>
      <c r="V306" s="336"/>
      <c r="W306" s="336"/>
      <c r="X306" s="336"/>
      <c r="Y306" s="338"/>
    </row>
    <row r="307" spans="21:25" s="335" customFormat="1" ht="26.25" customHeight="1">
      <c r="U307" s="338"/>
      <c r="V307" s="336"/>
      <c r="W307" s="336"/>
      <c r="X307" s="336"/>
      <c r="Y307" s="338"/>
    </row>
    <row r="308" spans="21:25" s="335" customFormat="1" ht="26.25" customHeight="1">
      <c r="U308" s="338"/>
      <c r="V308" s="336"/>
      <c r="W308" s="336"/>
      <c r="X308" s="336"/>
      <c r="Y308" s="338"/>
    </row>
    <row r="309" spans="21:25" s="335" customFormat="1" ht="26.25" customHeight="1">
      <c r="U309" s="338"/>
      <c r="V309" s="336"/>
      <c r="W309" s="336"/>
      <c r="X309" s="336"/>
      <c r="Y309" s="338"/>
    </row>
    <row r="310" spans="21:25" s="335" customFormat="1" ht="26.25" customHeight="1">
      <c r="U310" s="338"/>
      <c r="V310" s="336"/>
      <c r="W310" s="336"/>
      <c r="X310" s="336"/>
      <c r="Y310" s="338"/>
    </row>
    <row r="311" spans="21:25" s="335" customFormat="1" ht="26.25" customHeight="1">
      <c r="U311" s="338"/>
      <c r="V311" s="336"/>
      <c r="W311" s="336"/>
      <c r="X311" s="336"/>
      <c r="Y311" s="338"/>
    </row>
    <row r="312" spans="21:25" s="335" customFormat="1" ht="26.25" customHeight="1">
      <c r="U312" s="338"/>
      <c r="V312" s="336"/>
      <c r="W312" s="336"/>
      <c r="X312" s="336"/>
      <c r="Y312" s="338"/>
    </row>
    <row r="313" spans="21:25" s="335" customFormat="1" ht="26.25" customHeight="1">
      <c r="U313" s="338"/>
      <c r="V313" s="336"/>
      <c r="W313" s="336"/>
      <c r="X313" s="336"/>
      <c r="Y313" s="338"/>
    </row>
    <row r="314" spans="21:25" s="335" customFormat="1" ht="26.25" customHeight="1">
      <c r="U314" s="338"/>
      <c r="V314" s="336"/>
      <c r="W314" s="336"/>
      <c r="X314" s="336"/>
      <c r="Y314" s="338"/>
    </row>
    <row r="315" spans="21:25" s="335" customFormat="1" ht="26.25" customHeight="1">
      <c r="U315" s="338"/>
      <c r="V315" s="336"/>
      <c r="W315" s="336"/>
      <c r="X315" s="336"/>
      <c r="Y315" s="338"/>
    </row>
    <row r="316" spans="21:25" s="335" customFormat="1" ht="26.25" customHeight="1">
      <c r="U316" s="338"/>
      <c r="V316" s="336"/>
      <c r="W316" s="336"/>
      <c r="X316" s="336"/>
      <c r="Y316" s="338"/>
    </row>
    <row r="317" spans="21:25" s="335" customFormat="1" ht="26.25" customHeight="1">
      <c r="U317" s="338"/>
      <c r="V317" s="336"/>
      <c r="W317" s="336"/>
      <c r="X317" s="336"/>
      <c r="Y317" s="338"/>
    </row>
    <row r="318" spans="21:25" s="335" customFormat="1" ht="26.25" customHeight="1">
      <c r="U318" s="338"/>
      <c r="V318" s="336"/>
      <c r="W318" s="336"/>
      <c r="X318" s="336"/>
      <c r="Y318" s="338"/>
    </row>
    <row r="319" spans="21:25" s="335" customFormat="1" ht="26.25" customHeight="1">
      <c r="U319" s="338"/>
      <c r="V319" s="336"/>
      <c r="W319" s="336"/>
      <c r="X319" s="336"/>
      <c r="Y319" s="338"/>
    </row>
    <row r="320" spans="21:25" s="335" customFormat="1" ht="26.25" customHeight="1">
      <c r="U320" s="338"/>
      <c r="V320" s="336"/>
      <c r="W320" s="336"/>
      <c r="X320" s="336"/>
      <c r="Y320" s="338"/>
    </row>
    <row r="321" spans="21:25" s="335" customFormat="1" ht="26.25" customHeight="1">
      <c r="U321" s="338"/>
      <c r="V321" s="336"/>
      <c r="W321" s="336"/>
      <c r="X321" s="336"/>
      <c r="Y321" s="338"/>
    </row>
    <row r="322" spans="21:25" s="335" customFormat="1" ht="26.25" customHeight="1">
      <c r="U322" s="338"/>
      <c r="V322" s="336"/>
      <c r="W322" s="336"/>
      <c r="X322" s="336"/>
      <c r="Y322" s="338"/>
    </row>
    <row r="323" spans="21:25" s="335" customFormat="1" ht="26.25" customHeight="1">
      <c r="U323" s="338"/>
      <c r="V323" s="336"/>
      <c r="W323" s="336"/>
      <c r="X323" s="336"/>
      <c r="Y323" s="338"/>
    </row>
    <row r="324" spans="21:25" s="335" customFormat="1" ht="26.25" customHeight="1">
      <c r="U324" s="338"/>
      <c r="V324" s="336"/>
      <c r="W324" s="336"/>
      <c r="X324" s="336"/>
      <c r="Y324" s="338"/>
    </row>
    <row r="325" spans="21:25" s="335" customFormat="1" ht="26.25" customHeight="1">
      <c r="U325" s="338"/>
      <c r="V325" s="336"/>
      <c r="W325" s="336"/>
      <c r="X325" s="336"/>
      <c r="Y325" s="338"/>
    </row>
    <row r="326" spans="21:25" s="335" customFormat="1" ht="26.25" customHeight="1">
      <c r="U326" s="338"/>
      <c r="V326" s="336"/>
      <c r="W326" s="336"/>
      <c r="X326" s="336"/>
      <c r="Y326" s="338"/>
    </row>
    <row r="327" spans="21:25" s="335" customFormat="1" ht="26.25" customHeight="1">
      <c r="U327" s="338"/>
      <c r="V327" s="336"/>
      <c r="W327" s="336"/>
      <c r="X327" s="336"/>
      <c r="Y327" s="338"/>
    </row>
    <row r="328" spans="21:25" s="335" customFormat="1" ht="26.25" customHeight="1">
      <c r="U328" s="338"/>
      <c r="V328" s="336"/>
      <c r="W328" s="336"/>
      <c r="X328" s="336"/>
      <c r="Y328" s="338"/>
    </row>
    <row r="329" spans="21:25" s="335" customFormat="1" ht="26.25" customHeight="1">
      <c r="U329" s="338"/>
      <c r="V329" s="336"/>
      <c r="W329" s="336"/>
      <c r="X329" s="336"/>
      <c r="Y329" s="338"/>
    </row>
    <row r="330" spans="21:25" s="335" customFormat="1" ht="26.25" customHeight="1">
      <c r="U330" s="338"/>
      <c r="V330" s="336"/>
      <c r="W330" s="336"/>
      <c r="X330" s="336"/>
      <c r="Y330" s="338"/>
    </row>
    <row r="331" spans="21:25" s="335" customFormat="1" ht="26.25" customHeight="1">
      <c r="U331" s="338"/>
      <c r="V331" s="336"/>
      <c r="W331" s="336"/>
      <c r="X331" s="336"/>
      <c r="Y331" s="338"/>
    </row>
    <row r="332" spans="21:25" s="335" customFormat="1" ht="26.25" customHeight="1">
      <c r="U332" s="338"/>
      <c r="V332" s="336"/>
      <c r="W332" s="336"/>
      <c r="X332" s="336"/>
      <c r="Y332" s="338"/>
    </row>
    <row r="333" spans="21:25" s="335" customFormat="1" ht="26.25" customHeight="1">
      <c r="U333" s="338"/>
      <c r="V333" s="336"/>
      <c r="W333" s="336"/>
      <c r="X333" s="336"/>
      <c r="Y333" s="338"/>
    </row>
    <row r="334" spans="21:25" s="335" customFormat="1" ht="26.25" customHeight="1">
      <c r="U334" s="338"/>
      <c r="V334" s="336"/>
      <c r="W334" s="336"/>
      <c r="X334" s="336"/>
      <c r="Y334" s="338"/>
    </row>
    <row r="335" spans="21:25" s="335" customFormat="1" ht="26.25" customHeight="1">
      <c r="U335" s="338"/>
      <c r="V335" s="336"/>
      <c r="W335" s="336"/>
      <c r="X335" s="336"/>
      <c r="Y335" s="338"/>
    </row>
    <row r="336" spans="21:25" s="335" customFormat="1" ht="26.25" customHeight="1">
      <c r="U336" s="338"/>
      <c r="V336" s="336"/>
      <c r="W336" s="336"/>
      <c r="X336" s="336"/>
      <c r="Y336" s="338"/>
    </row>
    <row r="337" spans="21:25" s="335" customFormat="1" ht="26.25" customHeight="1">
      <c r="U337" s="338"/>
      <c r="V337" s="336"/>
      <c r="W337" s="336"/>
      <c r="X337" s="336"/>
      <c r="Y337" s="338"/>
    </row>
    <row r="338" spans="21:25" s="335" customFormat="1" ht="26.25" customHeight="1">
      <c r="U338" s="338"/>
      <c r="V338" s="336"/>
      <c r="W338" s="336"/>
      <c r="X338" s="336"/>
      <c r="Y338" s="338"/>
    </row>
    <row r="339" spans="21:25" s="335" customFormat="1" ht="26.25" customHeight="1">
      <c r="U339" s="338"/>
      <c r="V339" s="336"/>
      <c r="W339" s="336"/>
      <c r="X339" s="336"/>
      <c r="Y339" s="338"/>
    </row>
    <row r="340" spans="21:25" s="335" customFormat="1" ht="26.25" customHeight="1">
      <c r="U340" s="338"/>
      <c r="V340" s="336"/>
      <c r="W340" s="336"/>
      <c r="X340" s="336"/>
      <c r="Y340" s="338"/>
    </row>
    <row r="341" spans="21:25" s="335" customFormat="1" ht="26.25" customHeight="1">
      <c r="U341" s="338"/>
      <c r="V341" s="336"/>
      <c r="W341" s="336"/>
      <c r="X341" s="336"/>
      <c r="Y341" s="338"/>
    </row>
    <row r="342" spans="21:25" s="335" customFormat="1" ht="26.25" customHeight="1">
      <c r="U342" s="338"/>
      <c r="V342" s="336"/>
      <c r="W342" s="336"/>
      <c r="X342" s="336"/>
      <c r="Y342" s="338"/>
    </row>
    <row r="343" spans="21:25" s="335" customFormat="1" ht="26.25" customHeight="1">
      <c r="U343" s="338"/>
      <c r="V343" s="336"/>
      <c r="W343" s="336"/>
      <c r="X343" s="336"/>
      <c r="Y343" s="338"/>
    </row>
    <row r="344" spans="21:25" s="335" customFormat="1" ht="26.25" customHeight="1">
      <c r="U344" s="338"/>
      <c r="V344" s="336"/>
      <c r="W344" s="336"/>
      <c r="X344" s="336"/>
      <c r="Y344" s="338"/>
    </row>
    <row r="345" spans="21:25" s="335" customFormat="1" ht="26.25" customHeight="1">
      <c r="U345" s="338"/>
      <c r="V345" s="336"/>
      <c r="W345" s="336"/>
      <c r="X345" s="336"/>
      <c r="Y345" s="338"/>
    </row>
    <row r="346" spans="21:25" s="335" customFormat="1" ht="26.25" customHeight="1">
      <c r="U346" s="338"/>
      <c r="V346" s="336"/>
      <c r="W346" s="336"/>
      <c r="X346" s="336"/>
      <c r="Y346" s="338"/>
    </row>
    <row r="347" spans="21:25" s="335" customFormat="1" ht="26.25" customHeight="1">
      <c r="U347" s="338"/>
      <c r="V347" s="336"/>
      <c r="W347" s="336"/>
      <c r="X347" s="336"/>
      <c r="Y347" s="338"/>
    </row>
    <row r="348" spans="21:25" s="335" customFormat="1" ht="26.25" customHeight="1">
      <c r="U348" s="338"/>
      <c r="V348" s="336"/>
      <c r="W348" s="336"/>
      <c r="X348" s="336"/>
      <c r="Y348" s="338"/>
    </row>
    <row r="349" spans="21:25" s="335" customFormat="1" ht="26.25" customHeight="1">
      <c r="U349" s="338"/>
      <c r="V349" s="336"/>
      <c r="W349" s="336"/>
      <c r="X349" s="336"/>
      <c r="Y349" s="338"/>
    </row>
    <row r="350" spans="21:25" s="335" customFormat="1" ht="26.25" customHeight="1">
      <c r="U350" s="338"/>
      <c r="V350" s="336"/>
      <c r="W350" s="336"/>
      <c r="X350" s="336"/>
      <c r="Y350" s="338"/>
    </row>
    <row r="351" spans="21:25" s="335" customFormat="1" ht="26.25" customHeight="1">
      <c r="U351" s="338"/>
      <c r="V351" s="336"/>
      <c r="W351" s="336"/>
      <c r="X351" s="336"/>
      <c r="Y351" s="338"/>
    </row>
    <row r="352" spans="21:25" s="335" customFormat="1" ht="26.25" customHeight="1">
      <c r="U352" s="338"/>
      <c r="V352" s="336"/>
      <c r="W352" s="336"/>
      <c r="X352" s="336"/>
      <c r="Y352" s="338"/>
    </row>
    <row r="353" spans="21:25" s="335" customFormat="1" ht="26.25" customHeight="1">
      <c r="U353" s="338"/>
      <c r="V353" s="336"/>
      <c r="W353" s="336"/>
      <c r="X353" s="336"/>
      <c r="Y353" s="338"/>
    </row>
    <row r="354" spans="21:25" s="335" customFormat="1" ht="26.25" customHeight="1">
      <c r="U354" s="338"/>
      <c r="V354" s="336"/>
      <c r="W354" s="336"/>
      <c r="X354" s="336"/>
      <c r="Y354" s="338"/>
    </row>
    <row r="355" spans="21:25" s="335" customFormat="1" ht="26.25" customHeight="1">
      <c r="U355" s="338"/>
      <c r="V355" s="336"/>
      <c r="W355" s="336"/>
      <c r="X355" s="336"/>
      <c r="Y355" s="338"/>
    </row>
    <row r="356" spans="21:25" s="335" customFormat="1" ht="26.25" customHeight="1">
      <c r="U356" s="338"/>
      <c r="V356" s="336"/>
      <c r="W356" s="336"/>
      <c r="X356" s="336"/>
      <c r="Y356" s="338"/>
    </row>
    <row r="357" spans="21:25" s="335" customFormat="1" ht="26.25" customHeight="1">
      <c r="U357" s="338"/>
      <c r="V357" s="336"/>
      <c r="W357" s="336"/>
      <c r="X357" s="336"/>
      <c r="Y357" s="338"/>
    </row>
    <row r="358" spans="21:25" s="335" customFormat="1" ht="26.25" customHeight="1">
      <c r="U358" s="338"/>
      <c r="V358" s="336"/>
      <c r="W358" s="336"/>
      <c r="X358" s="336"/>
      <c r="Y358" s="338"/>
    </row>
    <row r="359" spans="21:25" s="335" customFormat="1" ht="26.25" customHeight="1">
      <c r="U359" s="338"/>
      <c r="V359" s="336"/>
      <c r="W359" s="336"/>
      <c r="X359" s="336"/>
      <c r="Y359" s="338"/>
    </row>
    <row r="360" spans="21:25" s="335" customFormat="1" ht="26.25" customHeight="1">
      <c r="U360" s="338"/>
      <c r="V360" s="336"/>
      <c r="W360" s="336"/>
      <c r="X360" s="336"/>
      <c r="Y360" s="338"/>
    </row>
    <row r="361" spans="21:25" s="335" customFormat="1" ht="26.25" customHeight="1">
      <c r="U361" s="338"/>
      <c r="V361" s="336"/>
      <c r="W361" s="336"/>
      <c r="X361" s="336"/>
      <c r="Y361" s="338"/>
    </row>
    <row r="362" spans="21:25" s="335" customFormat="1" ht="26.25" customHeight="1">
      <c r="U362" s="338"/>
      <c r="V362" s="336"/>
      <c r="W362" s="336"/>
      <c r="X362" s="336"/>
      <c r="Y362" s="338"/>
    </row>
    <row r="363" spans="21:25" s="335" customFormat="1" ht="26.25" customHeight="1">
      <c r="U363" s="338"/>
      <c r="V363" s="336"/>
      <c r="W363" s="336"/>
      <c r="X363" s="336"/>
      <c r="Y363" s="338"/>
    </row>
    <row r="364" spans="21:25" s="335" customFormat="1" ht="26.25" customHeight="1">
      <c r="U364" s="338"/>
      <c r="V364" s="336"/>
      <c r="W364" s="336"/>
      <c r="X364" s="336"/>
      <c r="Y364" s="338"/>
    </row>
    <row r="365" spans="21:25" s="335" customFormat="1" ht="26.25" customHeight="1">
      <c r="U365" s="338"/>
      <c r="V365" s="336"/>
      <c r="W365" s="336"/>
      <c r="X365" s="336"/>
      <c r="Y365" s="338"/>
    </row>
    <row r="366" spans="21:25" s="335" customFormat="1" ht="26.25" customHeight="1">
      <c r="U366" s="338"/>
      <c r="V366" s="336"/>
      <c r="W366" s="336"/>
      <c r="X366" s="336"/>
      <c r="Y366" s="338"/>
    </row>
    <row r="367" spans="21:25" s="335" customFormat="1" ht="26.25" customHeight="1">
      <c r="U367" s="338"/>
      <c r="V367" s="336"/>
      <c r="W367" s="336"/>
      <c r="X367" s="336"/>
      <c r="Y367" s="338"/>
    </row>
    <row r="368" spans="21:25" s="335" customFormat="1" ht="26.25" customHeight="1">
      <c r="U368" s="338"/>
      <c r="V368" s="336"/>
      <c r="W368" s="336"/>
      <c r="X368" s="336"/>
      <c r="Y368" s="338"/>
    </row>
    <row r="369" spans="21:25" s="335" customFormat="1" ht="26.25" customHeight="1">
      <c r="U369" s="338"/>
      <c r="V369" s="336"/>
      <c r="W369" s="336"/>
      <c r="X369" s="336"/>
      <c r="Y369" s="338"/>
    </row>
    <row r="370" spans="21:25" s="335" customFormat="1" ht="26.25" customHeight="1">
      <c r="U370" s="338"/>
      <c r="V370" s="336"/>
      <c r="W370" s="336"/>
      <c r="X370" s="336"/>
      <c r="Y370" s="338"/>
    </row>
    <row r="371" spans="21:25" s="335" customFormat="1" ht="26.25" customHeight="1">
      <c r="U371" s="338"/>
      <c r="V371" s="336"/>
      <c r="W371" s="336"/>
      <c r="X371" s="336"/>
      <c r="Y371" s="338"/>
    </row>
    <row r="372" spans="21:25" s="335" customFormat="1" ht="26.25" customHeight="1">
      <c r="U372" s="338"/>
      <c r="V372" s="336"/>
      <c r="W372" s="336"/>
      <c r="X372" s="336"/>
      <c r="Y372" s="338"/>
    </row>
    <row r="373" spans="21:25" s="335" customFormat="1" ht="26.25" customHeight="1">
      <c r="U373" s="338"/>
      <c r="V373" s="336"/>
      <c r="W373" s="336"/>
      <c r="X373" s="336"/>
      <c r="Y373" s="338"/>
    </row>
    <row r="374" spans="21:25" s="335" customFormat="1" ht="26.25" customHeight="1">
      <c r="U374" s="338"/>
      <c r="V374" s="336"/>
      <c r="W374" s="336"/>
      <c r="X374" s="336"/>
      <c r="Y374" s="338"/>
    </row>
    <row r="375" spans="21:25" s="335" customFormat="1" ht="26.25" customHeight="1">
      <c r="U375" s="338"/>
      <c r="V375" s="336"/>
      <c r="W375" s="336"/>
      <c r="X375" s="336"/>
      <c r="Y375" s="338"/>
    </row>
    <row r="376" spans="21:25" s="335" customFormat="1" ht="26.25" customHeight="1">
      <c r="U376" s="338"/>
      <c r="V376" s="336"/>
      <c r="W376" s="336"/>
      <c r="X376" s="336"/>
      <c r="Y376" s="338"/>
    </row>
    <row r="377" spans="21:25" s="335" customFormat="1" ht="26.25" customHeight="1">
      <c r="U377" s="338"/>
      <c r="V377" s="336"/>
      <c r="W377" s="336"/>
      <c r="X377" s="336"/>
      <c r="Y377" s="338"/>
    </row>
    <row r="378" spans="21:25" s="335" customFormat="1" ht="26.25" customHeight="1">
      <c r="U378" s="338"/>
      <c r="V378" s="336"/>
      <c r="W378" s="336"/>
      <c r="X378" s="336"/>
      <c r="Y378" s="338"/>
    </row>
    <row r="379" spans="21:25" s="335" customFormat="1" ht="26.25" customHeight="1">
      <c r="U379" s="338"/>
      <c r="V379" s="336"/>
      <c r="W379" s="336"/>
      <c r="X379" s="336"/>
      <c r="Y379" s="338"/>
    </row>
    <row r="380" spans="21:25" s="335" customFormat="1" ht="26.25" customHeight="1">
      <c r="U380" s="338"/>
      <c r="V380" s="336"/>
      <c r="W380" s="336"/>
      <c r="X380" s="336"/>
      <c r="Y380" s="338"/>
    </row>
    <row r="381" spans="21:25" s="335" customFormat="1" ht="26.25" customHeight="1">
      <c r="U381" s="338"/>
      <c r="V381" s="336"/>
      <c r="W381" s="336"/>
      <c r="X381" s="336"/>
      <c r="Y381" s="338"/>
    </row>
    <row r="382" spans="21:25" s="335" customFormat="1" ht="26.25" customHeight="1">
      <c r="U382" s="338"/>
      <c r="V382" s="336"/>
      <c r="W382" s="336"/>
      <c r="X382" s="336"/>
      <c r="Y382" s="338"/>
    </row>
    <row r="383" spans="21:25" s="335" customFormat="1" ht="26.25" customHeight="1">
      <c r="U383" s="338"/>
      <c r="V383" s="336"/>
      <c r="W383" s="336"/>
      <c r="X383" s="336"/>
      <c r="Y383" s="338"/>
    </row>
    <row r="384" spans="21:25" s="335" customFormat="1" ht="26.25" customHeight="1">
      <c r="U384" s="338"/>
      <c r="V384" s="336"/>
      <c r="W384" s="336"/>
      <c r="X384" s="336"/>
      <c r="Y384" s="338"/>
    </row>
    <row r="385" spans="21:25" s="335" customFormat="1" ht="26.25" customHeight="1">
      <c r="U385" s="338"/>
      <c r="V385" s="336"/>
      <c r="W385" s="336"/>
      <c r="X385" s="336"/>
      <c r="Y385" s="338"/>
    </row>
    <row r="386" spans="21:25" s="335" customFormat="1" ht="26.25" customHeight="1">
      <c r="U386" s="338"/>
      <c r="V386" s="336"/>
      <c r="W386" s="336"/>
      <c r="X386" s="336"/>
      <c r="Y386" s="338"/>
    </row>
    <row r="387" spans="21:25" s="335" customFormat="1" ht="26.25" customHeight="1">
      <c r="U387" s="338"/>
      <c r="V387" s="336"/>
      <c r="W387" s="336"/>
      <c r="X387" s="336"/>
      <c r="Y387" s="338"/>
    </row>
    <row r="388" spans="21:25" s="335" customFormat="1" ht="26.25" customHeight="1">
      <c r="U388" s="338"/>
      <c r="V388" s="336"/>
      <c r="W388" s="336"/>
      <c r="X388" s="336"/>
      <c r="Y388" s="338"/>
    </row>
    <row r="389" spans="21:25" s="335" customFormat="1" ht="26.25" customHeight="1">
      <c r="U389" s="338"/>
      <c r="V389" s="336"/>
      <c r="W389" s="336"/>
      <c r="X389" s="336"/>
      <c r="Y389" s="338"/>
    </row>
    <row r="390" spans="21:25" s="335" customFormat="1" ht="26.25" customHeight="1">
      <c r="U390" s="338"/>
      <c r="V390" s="336"/>
      <c r="W390" s="336"/>
      <c r="X390" s="336"/>
      <c r="Y390" s="338"/>
    </row>
    <row r="391" spans="21:25" s="335" customFormat="1" ht="26.25" customHeight="1">
      <c r="U391" s="338"/>
      <c r="V391" s="336"/>
      <c r="W391" s="336"/>
      <c r="X391" s="336"/>
      <c r="Y391" s="338"/>
    </row>
    <row r="392" spans="21:25" s="335" customFormat="1" ht="26.25" customHeight="1">
      <c r="U392" s="338"/>
      <c r="V392" s="336"/>
      <c r="W392" s="336"/>
      <c r="X392" s="336"/>
      <c r="Y392" s="338"/>
    </row>
    <row r="393" spans="21:25" s="335" customFormat="1" ht="26.25" customHeight="1">
      <c r="U393" s="338"/>
      <c r="V393" s="336"/>
      <c r="W393" s="336"/>
      <c r="X393" s="336"/>
      <c r="Y393" s="338"/>
    </row>
    <row r="394" spans="21:25" s="335" customFormat="1" ht="26.25" customHeight="1">
      <c r="U394" s="338"/>
      <c r="V394" s="336"/>
      <c r="W394" s="336"/>
      <c r="X394" s="336"/>
      <c r="Y394" s="338"/>
    </row>
    <row r="395" spans="21:25" s="335" customFormat="1" ht="26.25" customHeight="1">
      <c r="U395" s="338"/>
      <c r="V395" s="336"/>
      <c r="W395" s="336"/>
      <c r="X395" s="336"/>
      <c r="Y395" s="338"/>
    </row>
    <row r="396" spans="21:25" s="335" customFormat="1" ht="26.25" customHeight="1">
      <c r="U396" s="338"/>
      <c r="V396" s="336"/>
      <c r="W396" s="336"/>
      <c r="X396" s="336"/>
      <c r="Y396" s="338"/>
    </row>
    <row r="397" spans="21:25" s="335" customFormat="1" ht="26.25" customHeight="1">
      <c r="U397" s="338"/>
      <c r="V397" s="336"/>
      <c r="W397" s="336"/>
      <c r="X397" s="336"/>
      <c r="Y397" s="338"/>
    </row>
    <row r="398" spans="21:25" s="335" customFormat="1" ht="26.25" customHeight="1">
      <c r="U398" s="338"/>
      <c r="V398" s="336"/>
      <c r="W398" s="336"/>
      <c r="X398" s="336"/>
      <c r="Y398" s="338"/>
    </row>
    <row r="399" spans="21:25" s="335" customFormat="1" ht="26.25" customHeight="1">
      <c r="U399" s="338"/>
      <c r="V399" s="336"/>
      <c r="W399" s="336"/>
      <c r="X399" s="336"/>
      <c r="Y399" s="338"/>
    </row>
    <row r="400" spans="21:25" s="335" customFormat="1" ht="26.25" customHeight="1">
      <c r="U400" s="338"/>
      <c r="V400" s="336"/>
      <c r="W400" s="336"/>
      <c r="X400" s="336"/>
      <c r="Y400" s="338"/>
    </row>
    <row r="401" spans="21:25" s="335" customFormat="1" ht="26.25" customHeight="1">
      <c r="U401" s="338"/>
      <c r="V401" s="336"/>
      <c r="W401" s="336"/>
      <c r="X401" s="336"/>
      <c r="Y401" s="338"/>
    </row>
    <row r="402" spans="21:25" s="335" customFormat="1" ht="26.25" customHeight="1">
      <c r="U402" s="338"/>
      <c r="V402" s="336"/>
      <c r="W402" s="336"/>
      <c r="X402" s="336"/>
      <c r="Y402" s="338"/>
    </row>
    <row r="403" spans="21:25" s="335" customFormat="1" ht="26.25" customHeight="1">
      <c r="U403" s="338"/>
      <c r="V403" s="336"/>
      <c r="W403" s="336"/>
      <c r="X403" s="336"/>
      <c r="Y403" s="338"/>
    </row>
    <row r="404" spans="21:25" s="335" customFormat="1" ht="26.25" customHeight="1">
      <c r="U404" s="338"/>
      <c r="V404" s="336"/>
      <c r="W404" s="336"/>
      <c r="X404" s="336"/>
      <c r="Y404" s="338"/>
    </row>
    <row r="405" spans="21:25" s="335" customFormat="1" ht="26.25" customHeight="1">
      <c r="U405" s="338"/>
      <c r="V405" s="336"/>
      <c r="W405" s="336"/>
      <c r="X405" s="336"/>
      <c r="Y405" s="338"/>
    </row>
    <row r="406" spans="21:25" s="335" customFormat="1" ht="26.25" customHeight="1">
      <c r="U406" s="338"/>
      <c r="V406" s="336"/>
      <c r="W406" s="336"/>
      <c r="X406" s="336"/>
      <c r="Y406" s="338"/>
    </row>
    <row r="407" spans="21:25" s="335" customFormat="1" ht="26.25" customHeight="1">
      <c r="U407" s="338"/>
      <c r="V407" s="336"/>
      <c r="W407" s="336"/>
      <c r="X407" s="336"/>
      <c r="Y407" s="338"/>
    </row>
    <row r="408" spans="21:25" s="335" customFormat="1" ht="26.25" customHeight="1">
      <c r="U408" s="338"/>
      <c r="V408" s="336"/>
      <c r="W408" s="336"/>
      <c r="X408" s="336"/>
      <c r="Y408" s="338"/>
    </row>
    <row r="409" spans="21:25" s="335" customFormat="1" ht="26.25" customHeight="1">
      <c r="U409" s="338"/>
      <c r="V409" s="336"/>
      <c r="W409" s="336"/>
      <c r="X409" s="336"/>
      <c r="Y409" s="338"/>
    </row>
    <row r="410" spans="21:25" s="335" customFormat="1" ht="26.25" customHeight="1">
      <c r="U410" s="338"/>
      <c r="V410" s="336"/>
      <c r="W410" s="336"/>
      <c r="X410" s="336"/>
      <c r="Y410" s="338"/>
    </row>
    <row r="411" spans="21:25" s="335" customFormat="1" ht="26.25" customHeight="1">
      <c r="U411" s="338"/>
      <c r="V411" s="336"/>
      <c r="W411" s="336"/>
      <c r="X411" s="336"/>
      <c r="Y411" s="338"/>
    </row>
    <row r="412" spans="21:25" s="335" customFormat="1" ht="26.25" customHeight="1">
      <c r="U412" s="338"/>
      <c r="V412" s="336"/>
      <c r="W412" s="336"/>
      <c r="X412" s="336"/>
      <c r="Y412" s="338"/>
    </row>
    <row r="413" spans="21:25" s="335" customFormat="1" ht="26.25" customHeight="1">
      <c r="U413" s="338"/>
      <c r="V413" s="336"/>
      <c r="W413" s="336"/>
      <c r="X413" s="336"/>
      <c r="Y413" s="338"/>
    </row>
    <row r="414" spans="21:25" s="335" customFormat="1" ht="26.25" customHeight="1">
      <c r="U414" s="338"/>
      <c r="V414" s="336"/>
      <c r="W414" s="336"/>
      <c r="X414" s="336"/>
      <c r="Y414" s="338"/>
    </row>
    <row r="415" spans="21:25" s="335" customFormat="1" ht="26.25" customHeight="1">
      <c r="U415" s="338"/>
      <c r="V415" s="336"/>
      <c r="W415" s="336"/>
      <c r="X415" s="336"/>
      <c r="Y415" s="338"/>
    </row>
    <row r="416" spans="21:25" s="335" customFormat="1" ht="26.25" customHeight="1">
      <c r="U416" s="338"/>
      <c r="V416" s="336"/>
      <c r="W416" s="336"/>
      <c r="X416" s="336"/>
      <c r="Y416" s="338"/>
    </row>
    <row r="417" spans="21:25" s="335" customFormat="1" ht="26.25" customHeight="1">
      <c r="U417" s="338"/>
      <c r="V417" s="336"/>
      <c r="W417" s="336"/>
      <c r="X417" s="336"/>
      <c r="Y417" s="338"/>
    </row>
    <row r="418" spans="21:25" s="335" customFormat="1" ht="26.25" customHeight="1">
      <c r="U418" s="338"/>
      <c r="V418" s="336"/>
      <c r="W418" s="336"/>
      <c r="X418" s="336"/>
      <c r="Y418" s="338"/>
    </row>
    <row r="419" spans="21:25" s="335" customFormat="1" ht="26.25" customHeight="1">
      <c r="U419" s="338"/>
      <c r="V419" s="336"/>
      <c r="W419" s="336"/>
      <c r="X419" s="336"/>
      <c r="Y419" s="338"/>
    </row>
    <row r="420" spans="21:25" s="335" customFormat="1" ht="26.25" customHeight="1">
      <c r="U420" s="338"/>
      <c r="V420" s="336"/>
      <c r="W420" s="336"/>
      <c r="X420" s="336"/>
      <c r="Y420" s="338"/>
    </row>
    <row r="421" spans="21:25" s="335" customFormat="1" ht="26.25" customHeight="1">
      <c r="U421" s="338"/>
      <c r="V421" s="336"/>
      <c r="W421" s="336"/>
      <c r="X421" s="336"/>
      <c r="Y421" s="338"/>
    </row>
    <row r="422" spans="21:25" s="335" customFormat="1" ht="26.25" customHeight="1">
      <c r="U422" s="338"/>
      <c r="V422" s="336"/>
      <c r="W422" s="336"/>
      <c r="X422" s="336"/>
      <c r="Y422" s="338"/>
    </row>
    <row r="423" spans="21:25" s="335" customFormat="1" ht="26.25" customHeight="1">
      <c r="U423" s="338"/>
      <c r="V423" s="336"/>
      <c r="W423" s="336"/>
      <c r="X423" s="336"/>
      <c r="Y423" s="338"/>
    </row>
    <row r="424" spans="21:25" s="335" customFormat="1" ht="26.25" customHeight="1">
      <c r="U424" s="338"/>
      <c r="V424" s="336"/>
      <c r="W424" s="336"/>
      <c r="X424" s="336"/>
      <c r="Y424" s="338"/>
    </row>
    <row r="425" spans="21:25" s="335" customFormat="1" ht="26.25" customHeight="1">
      <c r="U425" s="338"/>
      <c r="V425" s="336"/>
      <c r="W425" s="336"/>
      <c r="X425" s="336"/>
      <c r="Y425" s="338"/>
    </row>
    <row r="426" spans="21:25" s="335" customFormat="1" ht="26.25" customHeight="1">
      <c r="U426" s="338"/>
      <c r="V426" s="336"/>
      <c r="W426" s="336"/>
      <c r="X426" s="336"/>
      <c r="Y426" s="338"/>
    </row>
    <row r="427" spans="21:25" s="335" customFormat="1" ht="26.25" customHeight="1">
      <c r="U427" s="338"/>
      <c r="V427" s="336"/>
      <c r="W427" s="336"/>
      <c r="X427" s="336"/>
      <c r="Y427" s="338"/>
    </row>
    <row r="428" spans="21:25" s="335" customFormat="1" ht="26.25" customHeight="1">
      <c r="U428" s="338"/>
      <c r="V428" s="336"/>
      <c r="W428" s="336"/>
      <c r="X428" s="336"/>
      <c r="Y428" s="338"/>
    </row>
    <row r="429" spans="21:25" s="335" customFormat="1" ht="26.25" customHeight="1">
      <c r="U429" s="338"/>
      <c r="V429" s="336"/>
      <c r="W429" s="336"/>
      <c r="X429" s="336"/>
      <c r="Y429" s="338"/>
    </row>
    <row r="430" spans="21:25" s="335" customFormat="1" ht="26.25" customHeight="1">
      <c r="U430" s="338"/>
      <c r="V430" s="336"/>
      <c r="W430" s="336"/>
      <c r="X430" s="336"/>
      <c r="Y430" s="338"/>
    </row>
    <row r="431" spans="21:25" s="335" customFormat="1" ht="26.25" customHeight="1">
      <c r="U431" s="338"/>
      <c r="V431" s="336"/>
      <c r="W431" s="336"/>
      <c r="X431" s="336"/>
      <c r="Y431" s="338"/>
    </row>
    <row r="432" spans="21:25" s="335" customFormat="1" ht="26.25" customHeight="1">
      <c r="U432" s="338"/>
      <c r="V432" s="336"/>
      <c r="W432" s="336"/>
      <c r="X432" s="336"/>
      <c r="Y432" s="338"/>
    </row>
    <row r="433" spans="21:25" s="335" customFormat="1" ht="26.25" customHeight="1">
      <c r="U433" s="338"/>
      <c r="V433" s="336"/>
      <c r="W433" s="336"/>
      <c r="X433" s="336"/>
      <c r="Y433" s="338"/>
    </row>
    <row r="434" spans="21:25" s="335" customFormat="1" ht="26.25" customHeight="1">
      <c r="U434" s="338"/>
      <c r="V434" s="336"/>
      <c r="W434" s="336"/>
      <c r="X434" s="336"/>
      <c r="Y434" s="338"/>
    </row>
    <row r="435" spans="21:25" s="335" customFormat="1" ht="26.25" customHeight="1">
      <c r="U435" s="338"/>
      <c r="V435" s="336"/>
      <c r="W435" s="336"/>
      <c r="X435" s="336"/>
      <c r="Y435" s="338"/>
    </row>
    <row r="436" spans="21:25" s="335" customFormat="1" ht="26.25" customHeight="1">
      <c r="U436" s="338"/>
      <c r="V436" s="336"/>
      <c r="W436" s="336"/>
      <c r="X436" s="336"/>
      <c r="Y436" s="338"/>
    </row>
    <row r="437" spans="21:25" s="335" customFormat="1" ht="26.25" customHeight="1">
      <c r="U437" s="338"/>
      <c r="V437" s="336"/>
      <c r="W437" s="336"/>
      <c r="X437" s="336"/>
      <c r="Y437" s="338"/>
    </row>
    <row r="438" spans="21:25" s="335" customFormat="1" ht="26.25" customHeight="1">
      <c r="U438" s="338"/>
      <c r="V438" s="336"/>
      <c r="W438" s="336"/>
      <c r="X438" s="336"/>
      <c r="Y438" s="338"/>
    </row>
    <row r="439" spans="21:25" s="335" customFormat="1" ht="26.25" customHeight="1">
      <c r="U439" s="338"/>
      <c r="V439" s="336"/>
      <c r="W439" s="336"/>
      <c r="X439" s="336"/>
      <c r="Y439" s="338"/>
    </row>
    <row r="440" spans="21:25" s="335" customFormat="1" ht="26.25" customHeight="1">
      <c r="U440" s="338"/>
      <c r="V440" s="336"/>
      <c r="W440" s="336"/>
      <c r="X440" s="336"/>
      <c r="Y440" s="338"/>
    </row>
    <row r="441" spans="21:25" s="335" customFormat="1" ht="26.25" customHeight="1">
      <c r="U441" s="338"/>
      <c r="V441" s="336"/>
      <c r="W441" s="336"/>
      <c r="X441" s="336"/>
      <c r="Y441" s="338"/>
    </row>
    <row r="442" spans="21:25" s="335" customFormat="1" ht="26.25" customHeight="1">
      <c r="U442" s="338"/>
      <c r="V442" s="336"/>
      <c r="W442" s="336"/>
      <c r="X442" s="336"/>
      <c r="Y442" s="338"/>
    </row>
    <row r="443" spans="21:25" s="335" customFormat="1" ht="26.25" customHeight="1">
      <c r="U443" s="338"/>
      <c r="V443" s="336"/>
      <c r="W443" s="336"/>
      <c r="X443" s="336"/>
      <c r="Y443" s="338"/>
    </row>
    <row r="444" spans="21:25" s="335" customFormat="1" ht="26.25" customHeight="1">
      <c r="U444" s="338"/>
      <c r="V444" s="336"/>
      <c r="W444" s="336"/>
      <c r="X444" s="336"/>
      <c r="Y444" s="338"/>
    </row>
    <row r="445" spans="21:25" s="335" customFormat="1" ht="26.25" customHeight="1">
      <c r="U445" s="338"/>
      <c r="V445" s="336"/>
      <c r="W445" s="336"/>
      <c r="X445" s="336"/>
      <c r="Y445" s="338"/>
    </row>
    <row r="446" spans="21:25" s="335" customFormat="1" ht="26.25" customHeight="1">
      <c r="U446" s="338"/>
      <c r="V446" s="336"/>
      <c r="W446" s="336"/>
      <c r="X446" s="336"/>
      <c r="Y446" s="338"/>
    </row>
    <row r="447" spans="21:25" s="335" customFormat="1" ht="26.25" customHeight="1">
      <c r="U447" s="338"/>
      <c r="V447" s="336"/>
      <c r="W447" s="336"/>
      <c r="X447" s="336"/>
      <c r="Y447" s="338"/>
    </row>
    <row r="448" spans="21:25" s="335" customFormat="1" ht="26.25" customHeight="1">
      <c r="U448" s="338"/>
      <c r="V448" s="336"/>
      <c r="W448" s="336"/>
      <c r="X448" s="336"/>
      <c r="Y448" s="338"/>
    </row>
    <row r="449" spans="21:25" s="335" customFormat="1" ht="26.25" customHeight="1">
      <c r="U449" s="338"/>
      <c r="V449" s="336"/>
      <c r="W449" s="336"/>
      <c r="X449" s="336"/>
      <c r="Y449" s="338"/>
    </row>
    <row r="450" spans="21:25" s="335" customFormat="1" ht="26.25" customHeight="1">
      <c r="U450" s="338"/>
      <c r="V450" s="336"/>
      <c r="W450" s="336"/>
      <c r="X450" s="336"/>
      <c r="Y450" s="338"/>
    </row>
    <row r="451" spans="21:25" s="335" customFormat="1" ht="26.25" customHeight="1">
      <c r="U451" s="338"/>
      <c r="V451" s="336"/>
      <c r="W451" s="336"/>
      <c r="X451" s="336"/>
      <c r="Y451" s="338"/>
    </row>
    <row r="452" spans="21:25" s="335" customFormat="1" ht="26.25" customHeight="1">
      <c r="U452" s="338"/>
      <c r="V452" s="336"/>
      <c r="W452" s="336"/>
      <c r="X452" s="336"/>
      <c r="Y452" s="338"/>
    </row>
    <row r="453" spans="21:25" s="335" customFormat="1" ht="26.25" customHeight="1">
      <c r="U453" s="338"/>
      <c r="V453" s="336"/>
      <c r="W453" s="336"/>
      <c r="X453" s="336"/>
      <c r="Y453" s="338"/>
    </row>
    <row r="454" spans="21:25" s="335" customFormat="1" ht="26.25" customHeight="1">
      <c r="U454" s="338"/>
      <c r="V454" s="336"/>
      <c r="W454" s="336"/>
      <c r="X454" s="336"/>
      <c r="Y454" s="338"/>
    </row>
    <row r="455" spans="21:25" s="335" customFormat="1" ht="26.25" customHeight="1">
      <c r="U455" s="338"/>
      <c r="V455" s="336"/>
      <c r="W455" s="336"/>
      <c r="X455" s="336"/>
      <c r="Y455" s="338"/>
    </row>
    <row r="456" spans="21:25" s="335" customFormat="1" ht="26.25" customHeight="1">
      <c r="U456" s="338"/>
      <c r="V456" s="336"/>
      <c r="W456" s="336"/>
      <c r="X456" s="336"/>
      <c r="Y456" s="338"/>
    </row>
    <row r="457" spans="21:25" s="335" customFormat="1" ht="26.25" customHeight="1">
      <c r="U457" s="338"/>
      <c r="V457" s="336"/>
      <c r="W457" s="336"/>
      <c r="X457" s="336"/>
      <c r="Y457" s="338"/>
    </row>
    <row r="458" spans="21:25" s="335" customFormat="1" ht="26.25" customHeight="1">
      <c r="U458" s="338"/>
      <c r="V458" s="336"/>
      <c r="W458" s="336"/>
      <c r="X458" s="336"/>
      <c r="Y458" s="338"/>
    </row>
    <row r="459" spans="21:25" s="335" customFormat="1" ht="26.25" customHeight="1">
      <c r="U459" s="338"/>
      <c r="V459" s="336"/>
      <c r="W459" s="336"/>
      <c r="X459" s="336"/>
      <c r="Y459" s="338"/>
    </row>
    <row r="460" spans="21:25" s="335" customFormat="1" ht="26.25" customHeight="1">
      <c r="U460" s="338"/>
      <c r="V460" s="336"/>
      <c r="W460" s="336"/>
      <c r="X460" s="336"/>
      <c r="Y460" s="338"/>
    </row>
    <row r="461" spans="21:25" s="335" customFormat="1" ht="26.25" customHeight="1">
      <c r="U461" s="338"/>
      <c r="V461" s="336"/>
      <c r="W461" s="336"/>
      <c r="X461" s="336"/>
      <c r="Y461" s="338"/>
    </row>
    <row r="462" spans="21:25" s="335" customFormat="1" ht="26.25" customHeight="1">
      <c r="U462" s="338"/>
      <c r="V462" s="336"/>
      <c r="W462" s="336"/>
      <c r="X462" s="336"/>
      <c r="Y462" s="338"/>
    </row>
    <row r="463" spans="21:25" s="335" customFormat="1" ht="26.25" customHeight="1">
      <c r="U463" s="338"/>
      <c r="V463" s="336"/>
      <c r="W463" s="336"/>
      <c r="X463" s="336"/>
      <c r="Y463" s="338"/>
    </row>
    <row r="464" spans="21:25" s="335" customFormat="1" ht="26.25" customHeight="1">
      <c r="U464" s="338"/>
      <c r="V464" s="336"/>
      <c r="W464" s="336"/>
      <c r="X464" s="336"/>
      <c r="Y464" s="338"/>
    </row>
    <row r="465" spans="21:25" s="335" customFormat="1" ht="26.25" customHeight="1">
      <c r="U465" s="338"/>
      <c r="V465" s="336"/>
      <c r="W465" s="336"/>
      <c r="X465" s="336"/>
      <c r="Y465" s="338"/>
    </row>
    <row r="466" spans="21:25" s="335" customFormat="1" ht="26.25" customHeight="1">
      <c r="U466" s="338"/>
      <c r="V466" s="336"/>
      <c r="W466" s="336"/>
      <c r="X466" s="336"/>
      <c r="Y466" s="338"/>
    </row>
    <row r="467" spans="21:25" s="335" customFormat="1" ht="26.25" customHeight="1">
      <c r="U467" s="338"/>
      <c r="V467" s="336"/>
      <c r="W467" s="336"/>
      <c r="X467" s="336"/>
      <c r="Y467" s="338"/>
    </row>
    <row r="468" spans="21:25" s="335" customFormat="1" ht="26.25" customHeight="1">
      <c r="U468" s="338"/>
      <c r="V468" s="336"/>
      <c r="W468" s="336"/>
      <c r="X468" s="336"/>
      <c r="Y468" s="338"/>
    </row>
    <row r="469" spans="21:25" s="335" customFormat="1" ht="26.25" customHeight="1">
      <c r="U469" s="338"/>
      <c r="V469" s="336"/>
      <c r="W469" s="336"/>
      <c r="X469" s="336"/>
      <c r="Y469" s="338"/>
    </row>
    <row r="470" spans="21:25" s="335" customFormat="1" ht="26.25" customHeight="1">
      <c r="U470" s="338"/>
      <c r="V470" s="336"/>
      <c r="W470" s="336"/>
      <c r="X470" s="336"/>
      <c r="Y470" s="338"/>
    </row>
    <row r="471" spans="21:25" s="335" customFormat="1" ht="26.25" customHeight="1">
      <c r="U471" s="338"/>
      <c r="V471" s="336"/>
      <c r="W471" s="336"/>
      <c r="X471" s="336"/>
      <c r="Y471" s="338"/>
    </row>
    <row r="472" spans="21:25" s="335" customFormat="1" ht="26.25" customHeight="1">
      <c r="U472" s="338"/>
      <c r="V472" s="336"/>
      <c r="W472" s="336"/>
      <c r="X472" s="336"/>
      <c r="Y472" s="338"/>
    </row>
    <row r="473" spans="21:25" s="335" customFormat="1" ht="26.25" customHeight="1">
      <c r="U473" s="338"/>
      <c r="V473" s="336"/>
      <c r="W473" s="336"/>
      <c r="X473" s="336"/>
      <c r="Y473" s="338"/>
    </row>
    <row r="474" spans="21:25" s="335" customFormat="1" ht="26.25" customHeight="1">
      <c r="U474" s="338"/>
      <c r="V474" s="336"/>
      <c r="W474" s="336"/>
      <c r="X474" s="336"/>
      <c r="Y474" s="338"/>
    </row>
    <row r="475" spans="21:25" s="335" customFormat="1" ht="26.25" customHeight="1">
      <c r="U475" s="338"/>
      <c r="V475" s="336"/>
      <c r="W475" s="336"/>
      <c r="X475" s="336"/>
      <c r="Y475" s="338"/>
    </row>
    <row r="476" spans="21:25" s="335" customFormat="1" ht="26.25" customHeight="1">
      <c r="U476" s="338"/>
      <c r="V476" s="336"/>
      <c r="W476" s="336"/>
      <c r="X476" s="336"/>
      <c r="Y476" s="338"/>
    </row>
    <row r="477" spans="21:25" s="335" customFormat="1" ht="26.25" customHeight="1">
      <c r="U477" s="338"/>
      <c r="V477" s="336"/>
      <c r="W477" s="336"/>
      <c r="X477" s="336"/>
      <c r="Y477" s="338"/>
    </row>
    <row r="478" spans="21:25" s="335" customFormat="1" ht="26.25" customHeight="1">
      <c r="U478" s="338"/>
      <c r="V478" s="336"/>
      <c r="W478" s="336"/>
      <c r="X478" s="336"/>
      <c r="Y478" s="338"/>
    </row>
    <row r="479" spans="21:25" s="335" customFormat="1" ht="26.25" customHeight="1">
      <c r="U479" s="338"/>
      <c r="V479" s="336"/>
      <c r="W479" s="336"/>
      <c r="X479" s="336"/>
      <c r="Y479" s="338"/>
    </row>
    <row r="480" spans="21:25" s="335" customFormat="1" ht="26.25" customHeight="1">
      <c r="U480" s="338"/>
      <c r="V480" s="336"/>
      <c r="W480" s="336"/>
      <c r="X480" s="336"/>
      <c r="Y480" s="338"/>
    </row>
    <row r="481" spans="21:25" s="335" customFormat="1" ht="26.25" customHeight="1">
      <c r="U481" s="338"/>
      <c r="V481" s="336"/>
      <c r="W481" s="336"/>
      <c r="X481" s="336"/>
      <c r="Y481" s="338"/>
    </row>
    <row r="482" spans="21:25" s="335" customFormat="1" ht="26.25" customHeight="1">
      <c r="U482" s="338"/>
      <c r="V482" s="336"/>
      <c r="W482" s="336"/>
      <c r="X482" s="336"/>
      <c r="Y482" s="338"/>
    </row>
    <row r="483" spans="21:25" s="335" customFormat="1" ht="26.25" customHeight="1">
      <c r="U483" s="338"/>
      <c r="V483" s="336"/>
      <c r="W483" s="336"/>
      <c r="X483" s="336"/>
      <c r="Y483" s="338"/>
    </row>
    <row r="484" spans="21:25" s="335" customFormat="1" ht="26.25" customHeight="1">
      <c r="U484" s="338"/>
      <c r="V484" s="336"/>
      <c r="W484" s="336"/>
      <c r="X484" s="336"/>
      <c r="Y484" s="338"/>
    </row>
    <row r="485" spans="21:25" s="335" customFormat="1" ht="26.25" customHeight="1">
      <c r="U485" s="338"/>
      <c r="V485" s="336"/>
      <c r="W485" s="336"/>
      <c r="X485" s="336"/>
      <c r="Y485" s="338"/>
    </row>
    <row r="486" spans="21:25" s="335" customFormat="1" ht="26.25" customHeight="1">
      <c r="U486" s="338"/>
      <c r="V486" s="336"/>
      <c r="W486" s="336"/>
      <c r="X486" s="336"/>
      <c r="Y486" s="338"/>
    </row>
    <row r="487" spans="21:25" s="335" customFormat="1" ht="26.25" customHeight="1">
      <c r="U487" s="338"/>
      <c r="V487" s="336"/>
      <c r="W487" s="336"/>
      <c r="X487" s="336"/>
      <c r="Y487" s="338"/>
    </row>
    <row r="488" spans="21:25" s="335" customFormat="1" ht="26.25" customHeight="1">
      <c r="U488" s="338"/>
      <c r="V488" s="336"/>
      <c r="W488" s="336"/>
      <c r="X488" s="336"/>
      <c r="Y488" s="338"/>
    </row>
    <row r="489" spans="21:25" s="335" customFormat="1" ht="26.25" customHeight="1">
      <c r="U489" s="338"/>
      <c r="V489" s="336"/>
      <c r="W489" s="336"/>
      <c r="X489" s="336"/>
      <c r="Y489" s="338"/>
    </row>
    <row r="490" spans="21:25" s="335" customFormat="1" ht="26.25" customHeight="1">
      <c r="U490" s="338"/>
      <c r="V490" s="336"/>
      <c r="W490" s="336"/>
      <c r="X490" s="336"/>
      <c r="Y490" s="338"/>
    </row>
    <row r="491" spans="21:25" s="335" customFormat="1" ht="26.25" customHeight="1">
      <c r="U491" s="338"/>
      <c r="V491" s="336"/>
      <c r="W491" s="336"/>
      <c r="X491" s="336"/>
      <c r="Y491" s="338"/>
    </row>
    <row r="492" spans="21:25" s="335" customFormat="1" ht="26.25" customHeight="1">
      <c r="U492" s="338"/>
      <c r="V492" s="336"/>
      <c r="W492" s="336"/>
      <c r="X492" s="336"/>
      <c r="Y492" s="338"/>
    </row>
    <row r="493" spans="21:25" s="335" customFormat="1" ht="26.25" customHeight="1">
      <c r="U493" s="338"/>
      <c r="V493" s="336"/>
      <c r="W493" s="336"/>
      <c r="X493" s="336"/>
      <c r="Y493" s="338"/>
    </row>
    <row r="494" spans="21:25" s="335" customFormat="1" ht="26.25" customHeight="1">
      <c r="U494" s="338"/>
      <c r="V494" s="336"/>
      <c r="W494" s="336"/>
      <c r="X494" s="336"/>
      <c r="Y494" s="338"/>
    </row>
    <row r="495" spans="21:25" s="335" customFormat="1" ht="26.25" customHeight="1">
      <c r="U495" s="338"/>
      <c r="V495" s="336"/>
      <c r="W495" s="336"/>
      <c r="X495" s="336"/>
      <c r="Y495" s="338"/>
    </row>
    <row r="496" spans="21:25" s="335" customFormat="1" ht="26.25" customHeight="1">
      <c r="U496" s="338"/>
      <c r="V496" s="336"/>
      <c r="W496" s="336"/>
      <c r="X496" s="336"/>
      <c r="Y496" s="338"/>
    </row>
    <row r="497" spans="21:25" s="335" customFormat="1" ht="26.25" customHeight="1">
      <c r="U497" s="338"/>
      <c r="V497" s="336"/>
      <c r="W497" s="336"/>
      <c r="X497" s="336"/>
      <c r="Y497" s="338"/>
    </row>
    <row r="498" spans="21:25" s="335" customFormat="1" ht="26.25" customHeight="1">
      <c r="U498" s="338"/>
      <c r="V498" s="336"/>
      <c r="W498" s="336"/>
      <c r="X498" s="336"/>
      <c r="Y498" s="338"/>
    </row>
    <row r="499" spans="21:25" s="335" customFormat="1" ht="26.25" customHeight="1">
      <c r="U499" s="338"/>
      <c r="V499" s="336"/>
      <c r="W499" s="336"/>
      <c r="X499" s="336"/>
      <c r="Y499" s="338"/>
    </row>
    <row r="500" spans="21:25" s="335" customFormat="1" ht="26.25" customHeight="1">
      <c r="U500" s="338"/>
      <c r="V500" s="336"/>
      <c r="W500" s="336"/>
      <c r="X500" s="336"/>
      <c r="Y500" s="338"/>
    </row>
    <row r="501" spans="21:25" s="335" customFormat="1" ht="26.25" customHeight="1">
      <c r="U501" s="338"/>
      <c r="V501" s="336"/>
      <c r="W501" s="336"/>
      <c r="X501" s="336"/>
      <c r="Y501" s="338"/>
    </row>
    <row r="502" spans="21:25" s="335" customFormat="1" ht="26.25" customHeight="1">
      <c r="U502" s="338"/>
      <c r="V502" s="336"/>
      <c r="W502" s="336"/>
      <c r="X502" s="336"/>
      <c r="Y502" s="338"/>
    </row>
    <row r="503" spans="21:25" s="335" customFormat="1" ht="26.25" customHeight="1">
      <c r="U503" s="338"/>
      <c r="V503" s="336"/>
      <c r="W503" s="336"/>
      <c r="X503" s="336"/>
      <c r="Y503" s="338"/>
    </row>
    <row r="504" spans="21:25" s="335" customFormat="1" ht="26.25" customHeight="1">
      <c r="U504" s="338"/>
      <c r="V504" s="336"/>
      <c r="W504" s="336"/>
      <c r="X504" s="336"/>
      <c r="Y504" s="338"/>
    </row>
    <row r="505" spans="21:25" s="335" customFormat="1" ht="26.25" customHeight="1">
      <c r="U505" s="338"/>
      <c r="V505" s="336"/>
      <c r="W505" s="336"/>
      <c r="X505" s="336"/>
      <c r="Y505" s="338"/>
    </row>
    <row r="506" spans="21:25" s="335" customFormat="1" ht="26.25" customHeight="1">
      <c r="U506" s="338"/>
      <c r="V506" s="336"/>
      <c r="W506" s="336"/>
      <c r="X506" s="336"/>
      <c r="Y506" s="338"/>
    </row>
    <row r="507" spans="21:25" s="335" customFormat="1" ht="26.25" customHeight="1">
      <c r="U507" s="338"/>
      <c r="V507" s="336"/>
      <c r="W507" s="336"/>
      <c r="X507" s="336"/>
      <c r="Y507" s="338"/>
    </row>
    <row r="508" spans="21:25" s="335" customFormat="1" ht="26.25" customHeight="1">
      <c r="U508" s="338"/>
      <c r="V508" s="336"/>
      <c r="W508" s="336"/>
      <c r="X508" s="336"/>
      <c r="Y508" s="338"/>
    </row>
    <row r="509" spans="21:25" s="335" customFormat="1" ht="26.25" customHeight="1">
      <c r="U509" s="338"/>
      <c r="V509" s="336"/>
      <c r="W509" s="336"/>
      <c r="X509" s="336"/>
      <c r="Y509" s="338"/>
    </row>
    <row r="510" spans="21:25" s="335" customFormat="1" ht="26.25" customHeight="1">
      <c r="U510" s="338"/>
      <c r="V510" s="336"/>
      <c r="W510" s="336"/>
      <c r="X510" s="336"/>
      <c r="Y510" s="338"/>
    </row>
    <row r="511" spans="21:25" s="335" customFormat="1" ht="26.25" customHeight="1">
      <c r="U511" s="338"/>
      <c r="V511" s="336"/>
      <c r="W511" s="336"/>
      <c r="X511" s="336"/>
      <c r="Y511" s="338"/>
    </row>
    <row r="512" spans="21:25" s="335" customFormat="1" ht="26.25" customHeight="1">
      <c r="U512" s="338"/>
      <c r="V512" s="336"/>
      <c r="W512" s="336"/>
      <c r="X512" s="336"/>
      <c r="Y512" s="338"/>
    </row>
    <row r="513" spans="21:25" s="335" customFormat="1" ht="26.25" customHeight="1">
      <c r="U513" s="338"/>
      <c r="V513" s="336"/>
      <c r="W513" s="336"/>
      <c r="X513" s="336"/>
      <c r="Y513" s="338"/>
    </row>
    <row r="514" spans="21:25" s="335" customFormat="1" ht="26.25" customHeight="1">
      <c r="U514" s="338"/>
      <c r="V514" s="336"/>
      <c r="W514" s="336"/>
      <c r="X514" s="336"/>
      <c r="Y514" s="338"/>
    </row>
    <row r="515" spans="21:25" s="335" customFormat="1" ht="26.25" customHeight="1">
      <c r="U515" s="338"/>
      <c r="V515" s="336"/>
      <c r="W515" s="336"/>
      <c r="X515" s="336"/>
      <c r="Y515" s="338"/>
    </row>
    <row r="516" spans="21:25" s="335" customFormat="1" ht="26.25" customHeight="1">
      <c r="U516" s="338"/>
      <c r="V516" s="336"/>
      <c r="W516" s="336"/>
      <c r="X516" s="336"/>
      <c r="Y516" s="338"/>
    </row>
    <row r="517" spans="21:25" s="335" customFormat="1" ht="26.25" customHeight="1">
      <c r="U517" s="338"/>
      <c r="V517" s="336"/>
      <c r="W517" s="336"/>
      <c r="X517" s="336"/>
      <c r="Y517" s="338"/>
    </row>
    <row r="518" spans="21:25" s="335" customFormat="1" ht="26.25" customHeight="1">
      <c r="U518" s="338"/>
      <c r="V518" s="336"/>
      <c r="W518" s="336"/>
      <c r="X518" s="336"/>
      <c r="Y518" s="338"/>
    </row>
    <row r="519" spans="21:25" s="335" customFormat="1" ht="26.25" customHeight="1">
      <c r="U519" s="338"/>
      <c r="V519" s="336"/>
      <c r="W519" s="336"/>
      <c r="X519" s="336"/>
      <c r="Y519" s="338"/>
    </row>
    <row r="520" spans="21:25" s="335" customFormat="1" ht="26.25" customHeight="1">
      <c r="U520" s="338"/>
      <c r="V520" s="336"/>
      <c r="W520" s="336"/>
      <c r="X520" s="336"/>
      <c r="Y520" s="338"/>
    </row>
    <row r="521" spans="21:25" s="335" customFormat="1" ht="26.25" customHeight="1">
      <c r="U521" s="338"/>
      <c r="V521" s="336"/>
      <c r="W521" s="336"/>
      <c r="X521" s="336"/>
      <c r="Y521" s="338"/>
    </row>
    <row r="522" spans="21:25" s="335" customFormat="1" ht="26.25" customHeight="1">
      <c r="U522" s="338"/>
      <c r="V522" s="336"/>
      <c r="W522" s="336"/>
      <c r="X522" s="336"/>
      <c r="Y522" s="338"/>
    </row>
    <row r="523" spans="21:25" s="335" customFormat="1" ht="26.25" customHeight="1">
      <c r="U523" s="338"/>
      <c r="V523" s="336"/>
      <c r="W523" s="336"/>
      <c r="X523" s="336"/>
      <c r="Y523" s="338"/>
    </row>
    <row r="524" spans="21:25" s="335" customFormat="1" ht="26.25" customHeight="1">
      <c r="U524" s="338"/>
      <c r="V524" s="336"/>
      <c r="W524" s="336"/>
      <c r="X524" s="336"/>
      <c r="Y524" s="338"/>
    </row>
    <row r="525" spans="21:25" s="335" customFormat="1" ht="26.25" customHeight="1">
      <c r="U525" s="338"/>
      <c r="V525" s="336"/>
      <c r="W525" s="336"/>
      <c r="X525" s="336"/>
      <c r="Y525" s="338"/>
    </row>
    <row r="526" spans="21:25" s="335" customFormat="1" ht="26.25" customHeight="1">
      <c r="U526" s="338"/>
      <c r="V526" s="336"/>
      <c r="W526" s="336"/>
      <c r="X526" s="336"/>
      <c r="Y526" s="338"/>
    </row>
    <row r="527" spans="21:25" s="335" customFormat="1" ht="26.25" customHeight="1">
      <c r="U527" s="338"/>
      <c r="V527" s="336"/>
      <c r="W527" s="336"/>
      <c r="X527" s="336"/>
      <c r="Y527" s="338"/>
    </row>
    <row r="528" spans="21:25" s="335" customFormat="1" ht="26.25" customHeight="1">
      <c r="U528" s="338"/>
      <c r="V528" s="336"/>
      <c r="W528" s="336"/>
      <c r="X528" s="336"/>
      <c r="Y528" s="338"/>
    </row>
    <row r="529" spans="21:25" s="335" customFormat="1" ht="26.25" customHeight="1">
      <c r="U529" s="338"/>
      <c r="V529" s="336"/>
      <c r="W529" s="336"/>
      <c r="X529" s="336"/>
      <c r="Y529" s="338"/>
    </row>
    <row r="530" spans="21:25" s="335" customFormat="1" ht="26.25" customHeight="1">
      <c r="U530" s="338"/>
      <c r="V530" s="336"/>
      <c r="W530" s="336"/>
      <c r="X530" s="336"/>
      <c r="Y530" s="338"/>
    </row>
    <row r="531" spans="21:25" s="335" customFormat="1" ht="26.25" customHeight="1">
      <c r="U531" s="338"/>
      <c r="V531" s="336"/>
      <c r="W531" s="336"/>
      <c r="X531" s="336"/>
      <c r="Y531" s="338"/>
    </row>
    <row r="532" spans="21:25" s="335" customFormat="1" ht="26.25" customHeight="1">
      <c r="U532" s="338"/>
      <c r="V532" s="336"/>
      <c r="W532" s="336"/>
      <c r="X532" s="336"/>
      <c r="Y532" s="338"/>
    </row>
    <row r="533" spans="21:25" s="335" customFormat="1" ht="26.25" customHeight="1">
      <c r="U533" s="338"/>
      <c r="V533" s="336"/>
      <c r="W533" s="336"/>
      <c r="X533" s="336"/>
      <c r="Y533" s="338"/>
    </row>
    <row r="534" spans="21:25" s="335" customFormat="1" ht="26.25" customHeight="1">
      <c r="U534" s="338"/>
      <c r="V534" s="336"/>
      <c r="W534" s="336"/>
      <c r="X534" s="336"/>
      <c r="Y534" s="338"/>
    </row>
    <row r="535" spans="21:25" s="335" customFormat="1" ht="26.25" customHeight="1">
      <c r="U535" s="338"/>
      <c r="V535" s="336"/>
      <c r="W535" s="336"/>
      <c r="X535" s="336"/>
      <c r="Y535" s="338"/>
    </row>
    <row r="536" spans="21:25" s="335" customFormat="1" ht="26.25" customHeight="1">
      <c r="U536" s="338"/>
      <c r="V536" s="336"/>
      <c r="W536" s="336"/>
      <c r="X536" s="336"/>
      <c r="Y536" s="338"/>
    </row>
    <row r="537" spans="21:25" s="335" customFormat="1" ht="26.25" customHeight="1">
      <c r="U537" s="338"/>
      <c r="V537" s="336"/>
      <c r="W537" s="336"/>
      <c r="X537" s="336"/>
      <c r="Y537" s="338"/>
    </row>
    <row r="538" spans="21:25" s="335" customFormat="1" ht="26.25" customHeight="1">
      <c r="U538" s="338"/>
      <c r="V538" s="336"/>
      <c r="W538" s="336"/>
      <c r="X538" s="336"/>
      <c r="Y538" s="338"/>
    </row>
    <row r="539" spans="21:25" s="335" customFormat="1" ht="26.25" customHeight="1">
      <c r="U539" s="338"/>
      <c r="V539" s="336"/>
      <c r="W539" s="336"/>
      <c r="X539" s="336"/>
      <c r="Y539" s="338"/>
    </row>
    <row r="540" spans="21:25" s="335" customFormat="1" ht="26.25" customHeight="1">
      <c r="U540" s="338"/>
      <c r="V540" s="336"/>
      <c r="W540" s="336"/>
      <c r="X540" s="336"/>
      <c r="Y540" s="338"/>
    </row>
    <row r="541" spans="21:25" s="335" customFormat="1" ht="26.25" customHeight="1">
      <c r="U541" s="338"/>
      <c r="V541" s="336"/>
      <c r="W541" s="336"/>
      <c r="X541" s="336"/>
      <c r="Y541" s="338"/>
    </row>
    <row r="542" spans="21:25" s="335" customFormat="1" ht="26.25" customHeight="1">
      <c r="U542" s="338"/>
      <c r="V542" s="336"/>
      <c r="W542" s="336"/>
      <c r="X542" s="336"/>
      <c r="Y542" s="338"/>
    </row>
    <row r="543" spans="21:25" s="335" customFormat="1" ht="26.25" customHeight="1">
      <c r="U543" s="338"/>
      <c r="V543" s="336"/>
      <c r="W543" s="336"/>
      <c r="X543" s="336"/>
      <c r="Y543" s="338"/>
    </row>
    <row r="544" spans="21:25" s="335" customFormat="1" ht="26.25" customHeight="1">
      <c r="U544" s="338"/>
      <c r="V544" s="336"/>
      <c r="W544" s="336"/>
      <c r="X544" s="336"/>
      <c r="Y544" s="338"/>
    </row>
    <row r="545" spans="21:25" s="335" customFormat="1" ht="26.25" customHeight="1">
      <c r="U545" s="338"/>
      <c r="V545" s="336"/>
      <c r="W545" s="336"/>
      <c r="X545" s="336"/>
      <c r="Y545" s="338"/>
    </row>
    <row r="546" spans="21:25" s="335" customFormat="1" ht="26.25" customHeight="1">
      <c r="U546" s="338"/>
      <c r="V546" s="336"/>
      <c r="W546" s="336"/>
      <c r="X546" s="336"/>
      <c r="Y546" s="338"/>
    </row>
    <row r="547" spans="21:25" s="335" customFormat="1" ht="26.25" customHeight="1">
      <c r="U547" s="338"/>
      <c r="V547" s="336"/>
      <c r="W547" s="336"/>
      <c r="X547" s="336"/>
      <c r="Y547" s="338"/>
    </row>
    <row r="548" spans="21:25" s="335" customFormat="1" ht="26.25" customHeight="1">
      <c r="U548" s="338"/>
      <c r="V548" s="336"/>
      <c r="W548" s="336"/>
      <c r="X548" s="336"/>
      <c r="Y548" s="338"/>
    </row>
    <row r="549" spans="21:25" s="335" customFormat="1" ht="26.25" customHeight="1">
      <c r="U549" s="338"/>
      <c r="V549" s="336"/>
      <c r="W549" s="336"/>
      <c r="X549" s="336"/>
      <c r="Y549" s="338"/>
    </row>
    <row r="550" spans="21:25" s="335" customFormat="1" ht="26.25" customHeight="1">
      <c r="U550" s="338"/>
      <c r="V550" s="336"/>
      <c r="W550" s="336"/>
      <c r="X550" s="336"/>
      <c r="Y550" s="338"/>
    </row>
    <row r="551" spans="21:25" s="335" customFormat="1" ht="26.25" customHeight="1">
      <c r="U551" s="338"/>
      <c r="V551" s="336"/>
      <c r="W551" s="336"/>
      <c r="X551" s="336"/>
      <c r="Y551" s="338"/>
    </row>
    <row r="552" spans="21:25" s="335" customFormat="1" ht="26.25" customHeight="1">
      <c r="U552" s="338"/>
      <c r="V552" s="336"/>
      <c r="W552" s="336"/>
      <c r="X552" s="336"/>
      <c r="Y552" s="338"/>
    </row>
    <row r="553" spans="21:25" s="335" customFormat="1" ht="26.25" customHeight="1">
      <c r="U553" s="338"/>
      <c r="V553" s="336"/>
      <c r="W553" s="336"/>
      <c r="X553" s="336"/>
      <c r="Y553" s="338"/>
    </row>
    <row r="554" spans="21:25" s="335" customFormat="1" ht="26.25" customHeight="1">
      <c r="U554" s="338"/>
      <c r="V554" s="336"/>
      <c r="W554" s="336"/>
      <c r="X554" s="336"/>
      <c r="Y554" s="338"/>
    </row>
    <row r="555" spans="21:25" s="335" customFormat="1" ht="26.25" customHeight="1">
      <c r="U555" s="338"/>
      <c r="V555" s="336"/>
      <c r="W555" s="336"/>
      <c r="X555" s="336"/>
      <c r="Y555" s="338"/>
    </row>
    <row r="556" spans="21:25" s="335" customFormat="1" ht="26.25" customHeight="1">
      <c r="U556" s="338"/>
      <c r="V556" s="336"/>
      <c r="W556" s="336"/>
      <c r="X556" s="336"/>
      <c r="Y556" s="338"/>
    </row>
    <row r="557" spans="21:25" s="335" customFormat="1" ht="26.25" customHeight="1">
      <c r="U557" s="338"/>
      <c r="V557" s="336"/>
      <c r="W557" s="336"/>
      <c r="X557" s="336"/>
      <c r="Y557" s="338"/>
    </row>
    <row r="558" spans="21:25" s="335" customFormat="1" ht="26.25" customHeight="1">
      <c r="U558" s="338"/>
      <c r="V558" s="336"/>
      <c r="W558" s="336"/>
      <c r="X558" s="336"/>
      <c r="Y558" s="338"/>
    </row>
    <row r="559" spans="21:25" s="335" customFormat="1" ht="26.25" customHeight="1">
      <c r="U559" s="338"/>
      <c r="V559" s="336"/>
      <c r="W559" s="336"/>
      <c r="X559" s="336"/>
      <c r="Y559" s="338"/>
    </row>
    <row r="560" spans="21:25" s="335" customFormat="1" ht="26.25" customHeight="1">
      <c r="U560" s="338"/>
      <c r="V560" s="336"/>
      <c r="W560" s="336"/>
      <c r="X560" s="336"/>
      <c r="Y560" s="338"/>
    </row>
    <row r="561" spans="21:25" s="335" customFormat="1" ht="26.25" customHeight="1">
      <c r="U561" s="338"/>
      <c r="V561" s="336"/>
      <c r="W561" s="336"/>
      <c r="X561" s="336"/>
      <c r="Y561" s="338"/>
    </row>
    <row r="562" spans="21:25" s="335" customFormat="1" ht="26.25" customHeight="1">
      <c r="U562" s="338"/>
      <c r="V562" s="336"/>
      <c r="W562" s="336"/>
      <c r="X562" s="336"/>
      <c r="Y562" s="338"/>
    </row>
    <row r="563" spans="21:25" s="335" customFormat="1" ht="26.25" customHeight="1">
      <c r="U563" s="338"/>
      <c r="V563" s="336"/>
      <c r="W563" s="336"/>
      <c r="X563" s="336"/>
      <c r="Y563" s="338"/>
    </row>
    <row r="564" spans="21:25" s="335" customFormat="1" ht="26.25" customHeight="1">
      <c r="U564" s="338"/>
      <c r="V564" s="336"/>
      <c r="W564" s="336"/>
      <c r="X564" s="336"/>
      <c r="Y564" s="338"/>
    </row>
    <row r="565" spans="21:25" s="335" customFormat="1" ht="26.25" customHeight="1">
      <c r="U565" s="338"/>
      <c r="V565" s="336"/>
      <c r="W565" s="336"/>
      <c r="X565" s="336"/>
      <c r="Y565" s="338"/>
    </row>
    <row r="566" spans="21:25" s="335" customFormat="1" ht="26.25" customHeight="1">
      <c r="U566" s="338"/>
      <c r="V566" s="336"/>
      <c r="W566" s="336"/>
      <c r="X566" s="336"/>
      <c r="Y566" s="338"/>
    </row>
    <row r="567" spans="21:25" s="335" customFormat="1" ht="26.25" customHeight="1">
      <c r="U567" s="338"/>
      <c r="V567" s="336"/>
      <c r="W567" s="336"/>
      <c r="X567" s="336"/>
      <c r="Y567" s="338"/>
    </row>
    <row r="568" spans="21:25" s="335" customFormat="1" ht="26.25" customHeight="1">
      <c r="U568" s="338"/>
      <c r="V568" s="336"/>
      <c r="W568" s="336"/>
      <c r="X568" s="336"/>
      <c r="Y568" s="338"/>
    </row>
    <row r="569" spans="21:25" s="335" customFormat="1" ht="26.25" customHeight="1">
      <c r="U569" s="338"/>
      <c r="V569" s="336"/>
      <c r="W569" s="336"/>
      <c r="X569" s="336"/>
      <c r="Y569" s="338"/>
    </row>
    <row r="570" spans="21:25" s="335" customFormat="1" ht="26.25" customHeight="1">
      <c r="U570" s="338"/>
      <c r="V570" s="336"/>
      <c r="W570" s="336"/>
      <c r="X570" s="336"/>
      <c r="Y570" s="338"/>
    </row>
    <row r="571" spans="21:25" s="335" customFormat="1" ht="26.25" customHeight="1">
      <c r="U571" s="338"/>
      <c r="V571" s="336"/>
      <c r="W571" s="336"/>
      <c r="X571" s="336"/>
      <c r="Y571" s="338"/>
    </row>
    <row r="572" spans="21:25" s="335" customFormat="1" ht="26.25" customHeight="1">
      <c r="U572" s="338"/>
      <c r="V572" s="336"/>
      <c r="W572" s="336"/>
      <c r="X572" s="336"/>
      <c r="Y572" s="338"/>
    </row>
    <row r="573" spans="21:25" s="335" customFormat="1" ht="26.25" customHeight="1">
      <c r="U573" s="338"/>
      <c r="V573" s="336"/>
      <c r="W573" s="336"/>
      <c r="X573" s="336"/>
      <c r="Y573" s="338"/>
    </row>
    <row r="574" spans="21:25" s="335" customFormat="1" ht="26.25" customHeight="1">
      <c r="U574" s="338"/>
      <c r="V574" s="336"/>
      <c r="W574" s="336"/>
      <c r="X574" s="336"/>
      <c r="Y574" s="338"/>
    </row>
    <row r="575" spans="21:25" s="335" customFormat="1" ht="26.25" customHeight="1">
      <c r="U575" s="338"/>
      <c r="V575" s="336"/>
      <c r="W575" s="336"/>
      <c r="X575" s="336"/>
      <c r="Y575" s="338"/>
    </row>
    <row r="576" spans="21:25" s="335" customFormat="1" ht="26.25" customHeight="1">
      <c r="U576" s="338"/>
      <c r="V576" s="336"/>
      <c r="W576" s="336"/>
      <c r="X576" s="336"/>
      <c r="Y576" s="338"/>
    </row>
    <row r="577" spans="21:25" s="335" customFormat="1" ht="26.25" customHeight="1">
      <c r="U577" s="338"/>
      <c r="V577" s="336"/>
      <c r="W577" s="336"/>
      <c r="X577" s="336"/>
      <c r="Y577" s="338"/>
    </row>
    <row r="578" spans="21:25" s="335" customFormat="1" ht="26.25" customHeight="1">
      <c r="U578" s="338"/>
      <c r="V578" s="336"/>
      <c r="W578" s="336"/>
      <c r="X578" s="336"/>
      <c r="Y578" s="338"/>
    </row>
    <row r="579" spans="21:25" s="335" customFormat="1" ht="26.25" customHeight="1">
      <c r="U579" s="338"/>
      <c r="V579" s="336"/>
      <c r="W579" s="336"/>
      <c r="X579" s="336"/>
      <c r="Y579" s="338"/>
    </row>
    <row r="580" spans="21:25" s="335" customFormat="1" ht="26.25" customHeight="1">
      <c r="U580" s="338"/>
      <c r="V580" s="336"/>
      <c r="W580" s="336"/>
      <c r="X580" s="336"/>
      <c r="Y580" s="338"/>
    </row>
    <row r="581" spans="21:25" s="335" customFormat="1" ht="26.25" customHeight="1">
      <c r="U581" s="338"/>
      <c r="V581" s="336"/>
      <c r="W581" s="336"/>
      <c r="X581" s="336"/>
      <c r="Y581" s="338"/>
    </row>
    <row r="582" spans="21:25" s="335" customFormat="1" ht="26.25" customHeight="1">
      <c r="U582" s="338"/>
      <c r="V582" s="336"/>
      <c r="W582" s="336"/>
      <c r="X582" s="336"/>
      <c r="Y582" s="338"/>
    </row>
    <row r="583" spans="21:25" s="335" customFormat="1" ht="26.25" customHeight="1">
      <c r="U583" s="338"/>
      <c r="V583" s="336"/>
      <c r="W583" s="336"/>
      <c r="X583" s="336"/>
      <c r="Y583" s="338"/>
    </row>
    <row r="584" spans="21:25" s="335" customFormat="1" ht="26.25" customHeight="1">
      <c r="U584" s="338"/>
      <c r="V584" s="336"/>
      <c r="W584" s="336"/>
      <c r="X584" s="336"/>
      <c r="Y584" s="338"/>
    </row>
    <row r="585" spans="21:25" s="335" customFormat="1" ht="26.25" customHeight="1">
      <c r="U585" s="338"/>
      <c r="V585" s="336"/>
      <c r="W585" s="336"/>
      <c r="X585" s="336"/>
      <c r="Y585" s="338"/>
    </row>
    <row r="586" spans="21:25" s="335" customFormat="1" ht="26.25" customHeight="1">
      <c r="U586" s="338"/>
      <c r="V586" s="336"/>
      <c r="W586" s="336"/>
      <c r="X586" s="336"/>
      <c r="Y586" s="338"/>
    </row>
    <row r="587" spans="21:25" s="335" customFormat="1" ht="26.25" customHeight="1">
      <c r="U587" s="338"/>
      <c r="V587" s="336"/>
      <c r="W587" s="336"/>
      <c r="X587" s="336"/>
      <c r="Y587" s="338"/>
    </row>
    <row r="588" spans="21:25" s="335" customFormat="1" ht="26.25" customHeight="1">
      <c r="U588" s="338"/>
      <c r="V588" s="336"/>
      <c r="W588" s="336"/>
      <c r="X588" s="336"/>
      <c r="Y588" s="338"/>
    </row>
    <row r="589" spans="21:25" s="335" customFormat="1" ht="26.25" customHeight="1">
      <c r="U589" s="338"/>
      <c r="V589" s="336"/>
      <c r="W589" s="336"/>
      <c r="X589" s="336"/>
      <c r="Y589" s="338"/>
    </row>
    <row r="590" spans="21:25" s="335" customFormat="1" ht="26.25" customHeight="1">
      <c r="U590" s="338"/>
      <c r="V590" s="336"/>
      <c r="W590" s="336"/>
      <c r="X590" s="336"/>
      <c r="Y590" s="338"/>
    </row>
    <row r="591" spans="21:25" s="335" customFormat="1" ht="26.25" customHeight="1">
      <c r="U591" s="338"/>
      <c r="V591" s="336"/>
      <c r="W591" s="336"/>
      <c r="X591" s="336"/>
      <c r="Y591" s="338"/>
    </row>
    <row r="592" spans="21:25" s="335" customFormat="1" ht="26.25" customHeight="1">
      <c r="U592" s="338"/>
      <c r="V592" s="336"/>
      <c r="W592" s="336"/>
      <c r="X592" s="336"/>
      <c r="Y592" s="338"/>
    </row>
    <row r="593" spans="21:25" s="335" customFormat="1" ht="26.25" customHeight="1">
      <c r="U593" s="338"/>
      <c r="V593" s="336"/>
      <c r="W593" s="336"/>
      <c r="X593" s="336"/>
      <c r="Y593" s="338"/>
    </row>
    <row r="594" spans="21:25" s="335" customFormat="1" ht="26.25" customHeight="1">
      <c r="U594" s="338"/>
      <c r="V594" s="336"/>
      <c r="W594" s="336"/>
      <c r="X594" s="336"/>
      <c r="Y594" s="338"/>
    </row>
    <row r="595" spans="21:25" s="335" customFormat="1" ht="26.25" customHeight="1">
      <c r="U595" s="338"/>
      <c r="V595" s="336"/>
      <c r="W595" s="336"/>
      <c r="X595" s="336"/>
      <c r="Y595" s="338"/>
    </row>
    <row r="596" spans="21:25" s="335" customFormat="1" ht="26.25" customHeight="1">
      <c r="U596" s="338"/>
      <c r="V596" s="336"/>
      <c r="W596" s="336"/>
      <c r="X596" s="336"/>
      <c r="Y596" s="338"/>
    </row>
  </sheetData>
  <sheetProtection selectLockedCells="1" selectUnlockedCells="1"/>
  <mergeCells count="13">
    <mergeCell ref="A23:L23"/>
    <mergeCell ref="A5:L5"/>
    <mergeCell ref="B3:E3"/>
    <mergeCell ref="R3:U3"/>
    <mergeCell ref="N3:Q3"/>
    <mergeCell ref="A3:A4"/>
    <mergeCell ref="F3:I3"/>
    <mergeCell ref="J3:L3"/>
    <mergeCell ref="AL3:AO3"/>
    <mergeCell ref="AH3:AK3"/>
    <mergeCell ref="AD3:AG3"/>
    <mergeCell ref="V3:Y3"/>
    <mergeCell ref="Z3:AC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5" zoomScale="80" zoomScaleNormal="80" workbookViewId="0">
      <selection activeCell="F12" sqref="F12"/>
    </sheetView>
  </sheetViews>
  <sheetFormatPr defaultColWidth="8" defaultRowHeight="21.75"/>
  <cols>
    <col min="1" max="1" width="18.5703125" style="254" customWidth="1"/>
    <col min="2" max="10" width="12.5703125" style="253" customWidth="1"/>
    <col min="11" max="16384" width="8" style="3"/>
  </cols>
  <sheetData>
    <row r="1" spans="1:10">
      <c r="A1" s="279" t="s">
        <v>143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2483221</v>
      </c>
      <c r="C5" s="266">
        <v>1214261</v>
      </c>
      <c r="D5" s="266">
        <v>1268960</v>
      </c>
      <c r="E5" s="266">
        <v>643516</v>
      </c>
      <c r="F5" s="266">
        <v>309272</v>
      </c>
      <c r="G5" s="266">
        <v>334244</v>
      </c>
      <c r="H5" s="266">
        <v>1839705</v>
      </c>
      <c r="I5" s="266">
        <v>904989</v>
      </c>
      <c r="J5" s="265">
        <v>934716</v>
      </c>
    </row>
    <row r="6" spans="1:10" ht="21.6" customHeight="1">
      <c r="A6" s="264" t="s">
        <v>128</v>
      </c>
      <c r="B6" s="261">
        <v>430728</v>
      </c>
      <c r="C6" s="260">
        <v>222981</v>
      </c>
      <c r="D6" s="260">
        <v>207747</v>
      </c>
      <c r="E6" s="261">
        <v>111512</v>
      </c>
      <c r="F6" s="260">
        <v>56791</v>
      </c>
      <c r="G6" s="260">
        <v>54721</v>
      </c>
      <c r="H6" s="261">
        <v>319216</v>
      </c>
      <c r="I6" s="260">
        <v>166190</v>
      </c>
      <c r="J6" s="253">
        <v>153026</v>
      </c>
    </row>
    <row r="7" spans="1:10" ht="21.6" customHeight="1">
      <c r="A7" s="263" t="s">
        <v>127</v>
      </c>
      <c r="B7" s="261">
        <v>113353</v>
      </c>
      <c r="C7" s="260">
        <v>58689</v>
      </c>
      <c r="D7" s="260">
        <v>54664</v>
      </c>
      <c r="E7" s="261">
        <v>29346</v>
      </c>
      <c r="F7" s="260">
        <v>14947</v>
      </c>
      <c r="G7" s="260">
        <v>14399</v>
      </c>
      <c r="H7" s="261">
        <v>84007</v>
      </c>
      <c r="I7" s="260">
        <v>43742</v>
      </c>
      <c r="J7" s="253">
        <v>40265</v>
      </c>
    </row>
    <row r="8" spans="1:10" ht="21.6" customHeight="1">
      <c r="A8" s="264" t="s">
        <v>126</v>
      </c>
      <c r="B8" s="261">
        <v>82653</v>
      </c>
      <c r="C8" s="260">
        <v>42501</v>
      </c>
      <c r="D8" s="260">
        <v>40152</v>
      </c>
      <c r="E8" s="261">
        <v>21401</v>
      </c>
      <c r="F8" s="260">
        <v>10825</v>
      </c>
      <c r="G8" s="260">
        <v>10576</v>
      </c>
      <c r="H8" s="261">
        <v>61252</v>
      </c>
      <c r="I8" s="260">
        <v>31676</v>
      </c>
      <c r="J8" s="253">
        <v>29576</v>
      </c>
    </row>
    <row r="9" spans="1:10" ht="21.6" customHeight="1">
      <c r="A9" s="263" t="s">
        <v>125</v>
      </c>
      <c r="B9" s="261">
        <v>232771</v>
      </c>
      <c r="C9" s="260">
        <v>117934</v>
      </c>
      <c r="D9" s="260">
        <v>114837</v>
      </c>
      <c r="E9" s="261">
        <v>60285</v>
      </c>
      <c r="F9" s="260">
        <v>30038</v>
      </c>
      <c r="G9" s="260">
        <v>30247</v>
      </c>
      <c r="H9" s="261">
        <v>172486</v>
      </c>
      <c r="I9" s="260">
        <v>87896</v>
      </c>
      <c r="J9" s="253">
        <v>84590</v>
      </c>
    </row>
    <row r="10" spans="1:10" ht="21.6" customHeight="1">
      <c r="A10" s="262" t="s">
        <v>124</v>
      </c>
      <c r="B10" s="261">
        <v>167577</v>
      </c>
      <c r="C10" s="260">
        <v>83797</v>
      </c>
      <c r="D10" s="260">
        <v>83780</v>
      </c>
      <c r="E10" s="261">
        <v>43410</v>
      </c>
      <c r="F10" s="260">
        <v>21342</v>
      </c>
      <c r="G10" s="260">
        <v>22068</v>
      </c>
      <c r="H10" s="261">
        <v>124167</v>
      </c>
      <c r="I10" s="260">
        <v>62455</v>
      </c>
      <c r="J10" s="253">
        <v>61712</v>
      </c>
    </row>
    <row r="11" spans="1:10" ht="21.6" customHeight="1">
      <c r="A11" s="262" t="s">
        <v>123</v>
      </c>
      <c r="B11" s="261">
        <v>118547</v>
      </c>
      <c r="C11" s="260">
        <v>60842</v>
      </c>
      <c r="D11" s="260">
        <v>57705</v>
      </c>
      <c r="E11" s="261">
        <v>30695</v>
      </c>
      <c r="F11" s="260">
        <v>15496</v>
      </c>
      <c r="G11" s="260">
        <v>15199</v>
      </c>
      <c r="H11" s="261">
        <v>87852</v>
      </c>
      <c r="I11" s="260">
        <v>45346</v>
      </c>
      <c r="J11" s="253">
        <v>42506</v>
      </c>
    </row>
    <row r="12" spans="1:10" ht="21.6" customHeight="1">
      <c r="A12" s="262" t="s">
        <v>122</v>
      </c>
      <c r="B12" s="261">
        <v>115375</v>
      </c>
      <c r="C12" s="260">
        <v>58021</v>
      </c>
      <c r="D12" s="260">
        <v>57354</v>
      </c>
      <c r="E12" s="261">
        <v>29884</v>
      </c>
      <c r="F12" s="260">
        <v>14778</v>
      </c>
      <c r="G12" s="260">
        <v>15106</v>
      </c>
      <c r="H12" s="261">
        <v>85491</v>
      </c>
      <c r="I12" s="260">
        <v>43243</v>
      </c>
      <c r="J12" s="253">
        <v>42248</v>
      </c>
    </row>
    <row r="13" spans="1:10" ht="21.6" customHeight="1">
      <c r="A13" s="262" t="s">
        <v>121</v>
      </c>
      <c r="B13" s="261">
        <v>341791</v>
      </c>
      <c r="C13" s="260">
        <v>162087</v>
      </c>
      <c r="D13" s="260">
        <v>179704</v>
      </c>
      <c r="E13" s="261">
        <v>88619</v>
      </c>
      <c r="F13" s="260">
        <v>41285</v>
      </c>
      <c r="G13" s="260">
        <v>47334</v>
      </c>
      <c r="H13" s="261">
        <v>253172</v>
      </c>
      <c r="I13" s="260">
        <v>120802</v>
      </c>
      <c r="J13" s="253">
        <v>132370</v>
      </c>
    </row>
    <row r="14" spans="1:10" ht="21.6" customHeight="1">
      <c r="A14" s="262" t="s">
        <v>120</v>
      </c>
      <c r="B14" s="261">
        <v>369017</v>
      </c>
      <c r="C14" s="260">
        <v>174856</v>
      </c>
      <c r="D14" s="260">
        <v>194161</v>
      </c>
      <c r="E14" s="261">
        <v>95679</v>
      </c>
      <c r="F14" s="260">
        <v>44537</v>
      </c>
      <c r="G14" s="260">
        <v>51142</v>
      </c>
      <c r="H14" s="261">
        <v>273338</v>
      </c>
      <c r="I14" s="260">
        <v>130319</v>
      </c>
      <c r="J14" s="253">
        <v>143019</v>
      </c>
    </row>
    <row r="15" spans="1:10" ht="21.6" customHeight="1">
      <c r="A15" s="334" t="s">
        <v>119</v>
      </c>
      <c r="B15" s="333">
        <v>511409</v>
      </c>
      <c r="C15" s="332">
        <v>232553</v>
      </c>
      <c r="D15" s="332">
        <v>278856</v>
      </c>
      <c r="E15" s="333">
        <v>132685</v>
      </c>
      <c r="F15" s="332">
        <v>59233</v>
      </c>
      <c r="G15" s="332">
        <v>73452</v>
      </c>
      <c r="H15" s="333">
        <v>378724</v>
      </c>
      <c r="I15" s="332">
        <v>173320</v>
      </c>
      <c r="J15" s="331">
        <v>205404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6" workbookViewId="0">
      <selection activeCell="A15" sqref="A14:J15"/>
    </sheetView>
  </sheetViews>
  <sheetFormatPr defaultColWidth="9.140625" defaultRowHeight="21.75"/>
  <cols>
    <col min="1" max="1" width="17.7109375" style="254" customWidth="1"/>
    <col min="2" max="10" width="14.28515625" style="253" customWidth="1"/>
    <col min="11" max="16384" width="9.140625" style="3"/>
  </cols>
  <sheetData>
    <row r="1" spans="1:10">
      <c r="A1" s="279" t="s">
        <v>144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2482612</v>
      </c>
      <c r="C5" s="266">
        <v>1213908</v>
      </c>
      <c r="D5" s="266">
        <v>1268704</v>
      </c>
      <c r="E5" s="266">
        <v>643357</v>
      </c>
      <c r="F5" s="266">
        <v>309181</v>
      </c>
      <c r="G5" s="266">
        <v>334176</v>
      </c>
      <c r="H5" s="266">
        <v>1839255</v>
      </c>
      <c r="I5" s="266">
        <v>904727</v>
      </c>
      <c r="J5" s="265">
        <v>934528</v>
      </c>
    </row>
    <row r="6" spans="1:10" ht="21.6" customHeight="1">
      <c r="A6" s="264" t="s">
        <v>128</v>
      </c>
      <c r="B6" s="261">
        <v>429960</v>
      </c>
      <c r="C6" s="260">
        <v>222593</v>
      </c>
      <c r="D6" s="260">
        <v>207367</v>
      </c>
      <c r="E6" s="261">
        <v>111317</v>
      </c>
      <c r="F6" s="260">
        <v>56694</v>
      </c>
      <c r="G6" s="260">
        <v>54623</v>
      </c>
      <c r="H6" s="261">
        <v>318643</v>
      </c>
      <c r="I6" s="260">
        <v>165899</v>
      </c>
      <c r="J6" s="253">
        <v>152744</v>
      </c>
    </row>
    <row r="7" spans="1:10" ht="21.6" customHeight="1">
      <c r="A7" s="263" t="s">
        <v>127</v>
      </c>
      <c r="B7" s="261">
        <v>113159</v>
      </c>
      <c r="C7" s="260">
        <v>58592</v>
      </c>
      <c r="D7" s="260">
        <v>54567</v>
      </c>
      <c r="E7" s="261">
        <v>29297</v>
      </c>
      <c r="F7" s="260">
        <v>14924</v>
      </c>
      <c r="G7" s="260">
        <v>14373</v>
      </c>
      <c r="H7" s="261">
        <v>83862</v>
      </c>
      <c r="I7" s="260">
        <v>43668</v>
      </c>
      <c r="J7" s="253">
        <v>40194</v>
      </c>
    </row>
    <row r="8" spans="1:10" ht="21.6" customHeight="1">
      <c r="A8" s="264" t="s">
        <v>126</v>
      </c>
      <c r="B8" s="261">
        <v>82552</v>
      </c>
      <c r="C8" s="260">
        <v>42453</v>
      </c>
      <c r="D8" s="260">
        <v>40099</v>
      </c>
      <c r="E8" s="261">
        <v>21375</v>
      </c>
      <c r="F8" s="260">
        <v>10813</v>
      </c>
      <c r="G8" s="260">
        <v>10562</v>
      </c>
      <c r="H8" s="261">
        <v>61177</v>
      </c>
      <c r="I8" s="260">
        <v>31640</v>
      </c>
      <c r="J8" s="253">
        <v>29537</v>
      </c>
    </row>
    <row r="9" spans="1:10" ht="21.6" customHeight="1">
      <c r="A9" s="263" t="s">
        <v>125</v>
      </c>
      <c r="B9" s="261">
        <v>232734</v>
      </c>
      <c r="C9" s="260">
        <v>117947</v>
      </c>
      <c r="D9" s="260">
        <v>114787</v>
      </c>
      <c r="E9" s="261">
        <v>60275</v>
      </c>
      <c r="F9" s="260">
        <v>30041</v>
      </c>
      <c r="G9" s="260">
        <v>30234</v>
      </c>
      <c r="H9" s="261">
        <v>172459</v>
      </c>
      <c r="I9" s="260">
        <v>87906</v>
      </c>
      <c r="J9" s="253">
        <v>84553</v>
      </c>
    </row>
    <row r="10" spans="1:10" ht="21.6" customHeight="1">
      <c r="A10" s="262" t="s">
        <v>124</v>
      </c>
      <c r="B10" s="261">
        <v>168532</v>
      </c>
      <c r="C10" s="260">
        <v>84216</v>
      </c>
      <c r="D10" s="260">
        <v>84316</v>
      </c>
      <c r="E10" s="261">
        <v>43660</v>
      </c>
      <c r="F10" s="260">
        <v>21450</v>
      </c>
      <c r="G10" s="260">
        <v>22210</v>
      </c>
      <c r="H10" s="261">
        <v>124872</v>
      </c>
      <c r="I10" s="260">
        <v>62766</v>
      </c>
      <c r="J10" s="253">
        <v>62106</v>
      </c>
    </row>
    <row r="11" spans="1:10" ht="21.6" customHeight="1">
      <c r="A11" s="262" t="s">
        <v>123</v>
      </c>
      <c r="B11" s="261">
        <v>118501</v>
      </c>
      <c r="C11" s="260">
        <v>60829</v>
      </c>
      <c r="D11" s="260">
        <v>57672</v>
      </c>
      <c r="E11" s="261">
        <v>30684</v>
      </c>
      <c r="F11" s="260">
        <v>15493</v>
      </c>
      <c r="G11" s="260">
        <v>15191</v>
      </c>
      <c r="H11" s="261">
        <v>87817</v>
      </c>
      <c r="I11" s="260">
        <v>45336</v>
      </c>
      <c r="J11" s="253">
        <v>42481</v>
      </c>
    </row>
    <row r="12" spans="1:10" ht="21.6" customHeight="1">
      <c r="A12" s="262" t="s">
        <v>122</v>
      </c>
      <c r="B12" s="261">
        <v>114891</v>
      </c>
      <c r="C12" s="260">
        <v>57813</v>
      </c>
      <c r="D12" s="260">
        <v>57078</v>
      </c>
      <c r="E12" s="261">
        <v>29759</v>
      </c>
      <c r="F12" s="260">
        <v>14725</v>
      </c>
      <c r="G12" s="260">
        <v>15034</v>
      </c>
      <c r="H12" s="261">
        <v>85132</v>
      </c>
      <c r="I12" s="260">
        <v>43088</v>
      </c>
      <c r="J12" s="253">
        <v>42044</v>
      </c>
    </row>
    <row r="13" spans="1:10" ht="21.6" customHeight="1">
      <c r="A13" s="262" t="s">
        <v>121</v>
      </c>
      <c r="B13" s="261">
        <v>340502</v>
      </c>
      <c r="C13" s="260">
        <v>161475</v>
      </c>
      <c r="D13" s="260">
        <v>179027</v>
      </c>
      <c r="E13" s="261">
        <v>88283</v>
      </c>
      <c r="F13" s="260">
        <v>41128</v>
      </c>
      <c r="G13" s="260">
        <v>47155</v>
      </c>
      <c r="H13" s="261">
        <v>252219</v>
      </c>
      <c r="I13" s="260">
        <v>120347</v>
      </c>
      <c r="J13" s="253">
        <v>131872</v>
      </c>
    </row>
    <row r="14" spans="1:10" ht="21.6" customHeight="1">
      <c r="A14" s="259" t="s">
        <v>120</v>
      </c>
      <c r="B14" s="261">
        <v>369081</v>
      </c>
      <c r="C14" s="260">
        <v>174872</v>
      </c>
      <c r="D14" s="260">
        <v>194209</v>
      </c>
      <c r="E14" s="261">
        <v>95693</v>
      </c>
      <c r="F14" s="260">
        <v>44539</v>
      </c>
      <c r="G14" s="260">
        <v>51154</v>
      </c>
      <c r="H14" s="261">
        <v>273388</v>
      </c>
      <c r="I14" s="260">
        <v>130333</v>
      </c>
      <c r="J14" s="258">
        <v>143055</v>
      </c>
    </row>
    <row r="15" spans="1:10" ht="21.6" customHeight="1">
      <c r="A15" s="334" t="s">
        <v>119</v>
      </c>
      <c r="B15" s="333">
        <v>512700</v>
      </c>
      <c r="C15" s="332">
        <v>233118</v>
      </c>
      <c r="D15" s="332">
        <v>279582</v>
      </c>
      <c r="E15" s="333">
        <v>133014</v>
      </c>
      <c r="F15" s="332">
        <v>59374</v>
      </c>
      <c r="G15" s="332">
        <v>73640</v>
      </c>
      <c r="H15" s="333">
        <v>379686</v>
      </c>
      <c r="I15" s="332">
        <v>173744</v>
      </c>
      <c r="J15" s="331">
        <v>205942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15" sqref="A15:J15"/>
    </sheetView>
  </sheetViews>
  <sheetFormatPr defaultColWidth="8" defaultRowHeight="21.75"/>
  <cols>
    <col min="1" max="1" width="23.42578125" style="254" customWidth="1"/>
    <col min="2" max="10" width="12.28515625" style="253" customWidth="1"/>
    <col min="11" max="16384" width="8" style="3"/>
  </cols>
  <sheetData>
    <row r="1" spans="1:10">
      <c r="A1" s="279" t="s">
        <v>145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2482021</v>
      </c>
      <c r="C5" s="266">
        <v>1213570</v>
      </c>
      <c r="D5" s="266">
        <v>1268451</v>
      </c>
      <c r="E5" s="266">
        <v>643203</v>
      </c>
      <c r="F5" s="266">
        <v>309094</v>
      </c>
      <c r="G5" s="266">
        <v>334109</v>
      </c>
      <c r="H5" s="266">
        <v>1838818</v>
      </c>
      <c r="I5" s="266">
        <v>904476</v>
      </c>
      <c r="J5" s="265">
        <v>934342</v>
      </c>
    </row>
    <row r="6" spans="1:10" ht="21.6" customHeight="1">
      <c r="A6" s="264" t="s">
        <v>128</v>
      </c>
      <c r="B6" s="261">
        <v>429185</v>
      </c>
      <c r="C6" s="260">
        <v>222205</v>
      </c>
      <c r="D6" s="260">
        <v>206980</v>
      </c>
      <c r="E6" s="261">
        <v>111112</v>
      </c>
      <c r="F6" s="260">
        <v>56594</v>
      </c>
      <c r="G6" s="260">
        <v>54518</v>
      </c>
      <c r="H6" s="261">
        <v>318073</v>
      </c>
      <c r="I6" s="260">
        <v>165611</v>
      </c>
      <c r="J6" s="253">
        <v>152462</v>
      </c>
    </row>
    <row r="7" spans="1:10" ht="21.6" customHeight="1">
      <c r="A7" s="263" t="s">
        <v>127</v>
      </c>
      <c r="B7" s="261">
        <v>112969</v>
      </c>
      <c r="C7" s="260">
        <v>58495</v>
      </c>
      <c r="D7" s="260">
        <v>54474</v>
      </c>
      <c r="E7" s="261">
        <v>29247</v>
      </c>
      <c r="F7" s="260">
        <v>14898</v>
      </c>
      <c r="G7" s="260">
        <v>14349</v>
      </c>
      <c r="H7" s="261">
        <v>83722</v>
      </c>
      <c r="I7" s="260">
        <v>43597</v>
      </c>
      <c r="J7" s="253">
        <v>40125</v>
      </c>
    </row>
    <row r="8" spans="1:10" ht="21.6" customHeight="1">
      <c r="A8" s="264" t="s">
        <v>126</v>
      </c>
      <c r="B8" s="261">
        <v>82453</v>
      </c>
      <c r="C8" s="260">
        <v>42405</v>
      </c>
      <c r="D8" s="260">
        <v>40048</v>
      </c>
      <c r="E8" s="261">
        <v>21349</v>
      </c>
      <c r="F8" s="260">
        <v>10800</v>
      </c>
      <c r="G8" s="260">
        <v>10549</v>
      </c>
      <c r="H8" s="261">
        <v>61104</v>
      </c>
      <c r="I8" s="260">
        <v>31605</v>
      </c>
      <c r="J8" s="253">
        <v>29499</v>
      </c>
    </row>
    <row r="9" spans="1:10" ht="21.6" customHeight="1">
      <c r="A9" s="263" t="s">
        <v>125</v>
      </c>
      <c r="B9" s="261">
        <v>232696</v>
      </c>
      <c r="C9" s="260">
        <v>117955</v>
      </c>
      <c r="D9" s="260">
        <v>114741</v>
      </c>
      <c r="E9" s="261">
        <v>60265</v>
      </c>
      <c r="F9" s="260">
        <v>30042</v>
      </c>
      <c r="G9" s="260">
        <v>30223</v>
      </c>
      <c r="H9" s="261">
        <v>172431</v>
      </c>
      <c r="I9" s="260">
        <v>87913</v>
      </c>
      <c r="J9" s="253">
        <v>84518</v>
      </c>
    </row>
    <row r="10" spans="1:10" ht="21.6" customHeight="1">
      <c r="A10" s="262" t="s">
        <v>124</v>
      </c>
      <c r="B10" s="261">
        <v>169494</v>
      </c>
      <c r="C10" s="260">
        <v>84643</v>
      </c>
      <c r="D10" s="260">
        <v>84851</v>
      </c>
      <c r="E10" s="261">
        <v>43908</v>
      </c>
      <c r="F10" s="260">
        <v>21559</v>
      </c>
      <c r="G10" s="260">
        <v>22349</v>
      </c>
      <c r="H10" s="261">
        <v>125586</v>
      </c>
      <c r="I10" s="260">
        <v>63084</v>
      </c>
      <c r="J10" s="253">
        <v>62502</v>
      </c>
    </row>
    <row r="11" spans="1:10" ht="21.6" customHeight="1">
      <c r="A11" s="262" t="s">
        <v>123</v>
      </c>
      <c r="B11" s="261">
        <v>118457</v>
      </c>
      <c r="C11" s="260">
        <v>60816</v>
      </c>
      <c r="D11" s="260">
        <v>57641</v>
      </c>
      <c r="E11" s="261">
        <v>30673</v>
      </c>
      <c r="F11" s="260">
        <v>15490</v>
      </c>
      <c r="G11" s="260">
        <v>15183</v>
      </c>
      <c r="H11" s="261">
        <v>87784</v>
      </c>
      <c r="I11" s="260">
        <v>45326</v>
      </c>
      <c r="J11" s="253">
        <v>42458</v>
      </c>
    </row>
    <row r="12" spans="1:10" ht="21.6" customHeight="1">
      <c r="A12" s="262" t="s">
        <v>122</v>
      </c>
      <c r="B12" s="261">
        <v>114409</v>
      </c>
      <c r="C12" s="260">
        <v>57606</v>
      </c>
      <c r="D12" s="260">
        <v>56803</v>
      </c>
      <c r="E12" s="261">
        <v>29634</v>
      </c>
      <c r="F12" s="260">
        <v>14673</v>
      </c>
      <c r="G12" s="260">
        <v>14961</v>
      </c>
      <c r="H12" s="261">
        <v>84775</v>
      </c>
      <c r="I12" s="260">
        <v>42933</v>
      </c>
      <c r="J12" s="253">
        <v>41842</v>
      </c>
    </row>
    <row r="13" spans="1:10" ht="21.6" customHeight="1">
      <c r="A13" s="262" t="s">
        <v>121</v>
      </c>
      <c r="B13" s="261">
        <v>339217</v>
      </c>
      <c r="C13" s="260">
        <v>160865</v>
      </c>
      <c r="D13" s="260">
        <v>178352</v>
      </c>
      <c r="E13" s="261">
        <v>87952</v>
      </c>
      <c r="F13" s="260">
        <v>40973</v>
      </c>
      <c r="G13" s="260">
        <v>46979</v>
      </c>
      <c r="H13" s="261">
        <v>251265</v>
      </c>
      <c r="I13" s="260">
        <v>119892</v>
      </c>
      <c r="J13" s="253">
        <v>131373</v>
      </c>
    </row>
    <row r="14" spans="1:10" ht="21.6" customHeight="1">
      <c r="A14" s="262" t="s">
        <v>120</v>
      </c>
      <c r="B14" s="261">
        <v>369143</v>
      </c>
      <c r="C14" s="260">
        <v>174888</v>
      </c>
      <c r="D14" s="260">
        <v>194255</v>
      </c>
      <c r="E14" s="261">
        <v>95710</v>
      </c>
      <c r="F14" s="260">
        <v>44544</v>
      </c>
      <c r="G14" s="260">
        <v>51166</v>
      </c>
      <c r="H14" s="261">
        <v>273433</v>
      </c>
      <c r="I14" s="260">
        <v>130344</v>
      </c>
      <c r="J14" s="253">
        <v>143089</v>
      </c>
    </row>
    <row r="15" spans="1:10" ht="21.6" customHeight="1">
      <c r="A15" s="334" t="s">
        <v>119</v>
      </c>
      <c r="B15" s="333">
        <v>513998</v>
      </c>
      <c r="C15" s="332">
        <v>233692</v>
      </c>
      <c r="D15" s="332">
        <v>280306</v>
      </c>
      <c r="E15" s="333">
        <v>133353</v>
      </c>
      <c r="F15" s="332">
        <v>59521</v>
      </c>
      <c r="G15" s="332">
        <v>73832</v>
      </c>
      <c r="H15" s="333">
        <v>380645</v>
      </c>
      <c r="I15" s="332">
        <v>174171</v>
      </c>
      <c r="J15" s="331">
        <v>206474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8" workbookViewId="0">
      <selection activeCell="H10" sqref="H10"/>
    </sheetView>
  </sheetViews>
  <sheetFormatPr defaultColWidth="8" defaultRowHeight="21.75"/>
  <cols>
    <col min="1" max="1" width="19" style="254" customWidth="1"/>
    <col min="2" max="10" width="11.85546875" style="253" customWidth="1"/>
    <col min="11" max="16384" width="8" style="3"/>
  </cols>
  <sheetData>
    <row r="1" spans="1:10">
      <c r="A1" s="279" t="s">
        <v>146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2481451</v>
      </c>
      <c r="C5" s="266">
        <v>1213238</v>
      </c>
      <c r="D5" s="266">
        <v>1268213</v>
      </c>
      <c r="E5" s="266">
        <v>643061</v>
      </c>
      <c r="F5" s="266">
        <v>309012</v>
      </c>
      <c r="G5" s="266">
        <v>334049</v>
      </c>
      <c r="H5" s="266">
        <v>1838390</v>
      </c>
      <c r="I5" s="266">
        <v>904226</v>
      </c>
      <c r="J5" s="265">
        <v>934164</v>
      </c>
    </row>
    <row r="6" spans="1:10" ht="21.6" customHeight="1">
      <c r="A6" s="264" t="s">
        <v>128</v>
      </c>
      <c r="B6" s="261">
        <v>428423</v>
      </c>
      <c r="C6" s="260">
        <v>221820</v>
      </c>
      <c r="D6" s="260">
        <v>206603</v>
      </c>
      <c r="E6" s="261">
        <v>110917</v>
      </c>
      <c r="F6" s="260">
        <v>56497</v>
      </c>
      <c r="G6" s="260">
        <v>54420</v>
      </c>
      <c r="H6" s="261">
        <v>317506</v>
      </c>
      <c r="I6" s="260">
        <v>165323</v>
      </c>
      <c r="J6" s="253">
        <v>152183</v>
      </c>
    </row>
    <row r="7" spans="1:10" ht="21.6" customHeight="1">
      <c r="A7" s="263" t="s">
        <v>127</v>
      </c>
      <c r="B7" s="261">
        <v>112774</v>
      </c>
      <c r="C7" s="260">
        <v>58397</v>
      </c>
      <c r="D7" s="260">
        <v>54377</v>
      </c>
      <c r="E7" s="261">
        <v>29196</v>
      </c>
      <c r="F7" s="260">
        <v>14873</v>
      </c>
      <c r="G7" s="260">
        <v>14323</v>
      </c>
      <c r="H7" s="261">
        <v>83578</v>
      </c>
      <c r="I7" s="260">
        <v>43524</v>
      </c>
      <c r="J7" s="253">
        <v>40054</v>
      </c>
    </row>
    <row r="8" spans="1:10" ht="21.6" customHeight="1">
      <c r="A8" s="264" t="s">
        <v>126</v>
      </c>
      <c r="B8" s="261">
        <v>82351</v>
      </c>
      <c r="C8" s="260">
        <v>42356</v>
      </c>
      <c r="D8" s="260">
        <v>39995</v>
      </c>
      <c r="E8" s="261">
        <v>21323</v>
      </c>
      <c r="F8" s="260">
        <v>10788</v>
      </c>
      <c r="G8" s="260">
        <v>10535</v>
      </c>
      <c r="H8" s="261">
        <v>61028</v>
      </c>
      <c r="I8" s="260">
        <v>31568</v>
      </c>
      <c r="J8" s="253">
        <v>29460</v>
      </c>
    </row>
    <row r="9" spans="1:10" ht="21.6" customHeight="1">
      <c r="A9" s="263" t="s">
        <v>125</v>
      </c>
      <c r="B9" s="261">
        <v>232659</v>
      </c>
      <c r="C9" s="260">
        <v>117967</v>
      </c>
      <c r="D9" s="260">
        <v>114692</v>
      </c>
      <c r="E9" s="261">
        <v>60256</v>
      </c>
      <c r="F9" s="260">
        <v>30045</v>
      </c>
      <c r="G9" s="260">
        <v>30211</v>
      </c>
      <c r="H9" s="261">
        <v>172403</v>
      </c>
      <c r="I9" s="260">
        <v>87922</v>
      </c>
      <c r="J9" s="253">
        <v>84481</v>
      </c>
    </row>
    <row r="10" spans="1:10" ht="21.6" customHeight="1">
      <c r="A10" s="262" t="s">
        <v>124</v>
      </c>
      <c r="B10" s="261">
        <v>170464</v>
      </c>
      <c r="C10" s="260">
        <v>85068</v>
      </c>
      <c r="D10" s="260">
        <v>85396</v>
      </c>
      <c r="E10" s="261">
        <v>44161</v>
      </c>
      <c r="F10" s="260">
        <v>21667</v>
      </c>
      <c r="G10" s="260">
        <v>22494</v>
      </c>
      <c r="H10" s="261">
        <v>126303</v>
      </c>
      <c r="I10" s="260">
        <v>63401</v>
      </c>
      <c r="J10" s="253">
        <v>62902</v>
      </c>
    </row>
    <row r="11" spans="1:10" ht="21.6" customHeight="1">
      <c r="A11" s="262" t="s">
        <v>123</v>
      </c>
      <c r="B11" s="261">
        <v>118410</v>
      </c>
      <c r="C11" s="260">
        <v>60804</v>
      </c>
      <c r="D11" s="260">
        <v>57606</v>
      </c>
      <c r="E11" s="261">
        <v>30662</v>
      </c>
      <c r="F11" s="260">
        <v>15488</v>
      </c>
      <c r="G11" s="260">
        <v>15174</v>
      </c>
      <c r="H11" s="261">
        <v>87748</v>
      </c>
      <c r="I11" s="260">
        <v>45316</v>
      </c>
      <c r="J11" s="253">
        <v>42432</v>
      </c>
    </row>
    <row r="12" spans="1:10" ht="21.6" customHeight="1">
      <c r="A12" s="262" t="s">
        <v>122</v>
      </c>
      <c r="B12" s="261">
        <v>113931</v>
      </c>
      <c r="C12" s="260">
        <v>57401</v>
      </c>
      <c r="D12" s="260">
        <v>56530</v>
      </c>
      <c r="E12" s="261">
        <v>29510</v>
      </c>
      <c r="F12" s="260">
        <v>14620</v>
      </c>
      <c r="G12" s="260">
        <v>14890</v>
      </c>
      <c r="H12" s="261">
        <v>84421</v>
      </c>
      <c r="I12" s="260">
        <v>42781</v>
      </c>
      <c r="J12" s="253">
        <v>41640</v>
      </c>
    </row>
    <row r="13" spans="1:10" ht="21.6" customHeight="1">
      <c r="A13" s="262" t="s">
        <v>121</v>
      </c>
      <c r="B13" s="261">
        <v>337933</v>
      </c>
      <c r="C13" s="260">
        <v>160256</v>
      </c>
      <c r="D13" s="260">
        <v>177677</v>
      </c>
      <c r="E13" s="261">
        <v>87616</v>
      </c>
      <c r="F13" s="260">
        <v>40818</v>
      </c>
      <c r="G13" s="260">
        <v>46798</v>
      </c>
      <c r="H13" s="261">
        <v>250317</v>
      </c>
      <c r="I13" s="260">
        <v>119438</v>
      </c>
      <c r="J13" s="253">
        <v>130879</v>
      </c>
    </row>
    <row r="14" spans="1:10" ht="21.6" customHeight="1">
      <c r="A14" s="259" t="s">
        <v>120</v>
      </c>
      <c r="B14" s="261">
        <v>369204</v>
      </c>
      <c r="C14" s="260">
        <v>174903</v>
      </c>
      <c r="D14" s="260">
        <v>194301</v>
      </c>
      <c r="E14" s="261">
        <v>95727</v>
      </c>
      <c r="F14" s="260">
        <v>44547</v>
      </c>
      <c r="G14" s="260">
        <v>51180</v>
      </c>
      <c r="H14" s="261">
        <v>273477</v>
      </c>
      <c r="I14" s="260">
        <v>130356</v>
      </c>
      <c r="J14" s="258">
        <v>143121</v>
      </c>
    </row>
    <row r="15" spans="1:10" ht="21.6" customHeight="1">
      <c r="A15" s="334" t="s">
        <v>119</v>
      </c>
      <c r="B15" s="333">
        <v>515302</v>
      </c>
      <c r="C15" s="332">
        <v>234266</v>
      </c>
      <c r="D15" s="332">
        <v>281036</v>
      </c>
      <c r="E15" s="333">
        <v>133693</v>
      </c>
      <c r="F15" s="332">
        <v>59669</v>
      </c>
      <c r="G15" s="332">
        <v>74024</v>
      </c>
      <c r="H15" s="333">
        <v>381609</v>
      </c>
      <c r="I15" s="332">
        <v>174597</v>
      </c>
      <c r="J15" s="331">
        <v>207012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9" workbookViewId="0">
      <selection activeCell="E15" sqref="E15"/>
    </sheetView>
  </sheetViews>
  <sheetFormatPr defaultColWidth="8" defaultRowHeight="21.75"/>
  <cols>
    <col min="1" max="1" width="19.5703125" style="254" customWidth="1"/>
    <col min="2" max="10" width="11.42578125" style="253" customWidth="1"/>
    <col min="11" max="16384" width="8" style="3"/>
  </cols>
  <sheetData>
    <row r="1" spans="1:10">
      <c r="A1" s="279" t="s">
        <v>147</v>
      </c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2480899</v>
      </c>
      <c r="C5" s="266">
        <v>1212911</v>
      </c>
      <c r="D5" s="266">
        <v>1267988</v>
      </c>
      <c r="E5" s="266">
        <v>642919</v>
      </c>
      <c r="F5" s="266">
        <v>308931</v>
      </c>
      <c r="G5" s="266">
        <v>333988</v>
      </c>
      <c r="H5" s="266">
        <v>1837980</v>
      </c>
      <c r="I5" s="266">
        <v>903980</v>
      </c>
      <c r="J5" s="265">
        <v>934000</v>
      </c>
    </row>
    <row r="6" spans="1:10" ht="21.6" customHeight="1">
      <c r="A6" s="264" t="s">
        <v>128</v>
      </c>
      <c r="B6" s="261">
        <v>427654</v>
      </c>
      <c r="C6" s="260">
        <v>221431</v>
      </c>
      <c r="D6" s="260">
        <v>206223</v>
      </c>
      <c r="E6" s="261">
        <v>110719</v>
      </c>
      <c r="F6" s="260">
        <v>56398</v>
      </c>
      <c r="G6" s="260">
        <v>54321</v>
      </c>
      <c r="H6" s="261">
        <v>316935</v>
      </c>
      <c r="I6" s="260">
        <v>165033</v>
      </c>
      <c r="J6" s="253">
        <v>151902</v>
      </c>
    </row>
    <row r="7" spans="1:10" ht="21.6" customHeight="1">
      <c r="A7" s="263" t="s">
        <v>127</v>
      </c>
      <c r="B7" s="261">
        <v>112581</v>
      </c>
      <c r="C7" s="260">
        <v>58299</v>
      </c>
      <c r="D7" s="260">
        <v>54282</v>
      </c>
      <c r="E7" s="261">
        <v>29147</v>
      </c>
      <c r="F7" s="260">
        <v>14849</v>
      </c>
      <c r="G7" s="260">
        <v>14298</v>
      </c>
      <c r="H7" s="261">
        <v>83434</v>
      </c>
      <c r="I7" s="260">
        <v>43450</v>
      </c>
      <c r="J7" s="253">
        <v>39984</v>
      </c>
    </row>
    <row r="8" spans="1:10" ht="21.6" customHeight="1">
      <c r="A8" s="264" t="s">
        <v>126</v>
      </c>
      <c r="B8" s="261">
        <v>82251</v>
      </c>
      <c r="C8" s="260">
        <v>42308</v>
      </c>
      <c r="D8" s="260">
        <v>39943</v>
      </c>
      <c r="E8" s="261">
        <v>21297</v>
      </c>
      <c r="F8" s="260">
        <v>10776</v>
      </c>
      <c r="G8" s="260">
        <v>10521</v>
      </c>
      <c r="H8" s="261">
        <v>60954</v>
      </c>
      <c r="I8" s="260">
        <v>31532</v>
      </c>
      <c r="J8" s="253">
        <v>29422</v>
      </c>
    </row>
    <row r="9" spans="1:10" ht="21.6" customHeight="1">
      <c r="A9" s="263" t="s">
        <v>125</v>
      </c>
      <c r="B9" s="261">
        <v>232621</v>
      </c>
      <c r="C9" s="260">
        <v>117979</v>
      </c>
      <c r="D9" s="260">
        <v>114642</v>
      </c>
      <c r="E9" s="261">
        <v>60245</v>
      </c>
      <c r="F9" s="260">
        <v>30049</v>
      </c>
      <c r="G9" s="260">
        <v>30196</v>
      </c>
      <c r="H9" s="261">
        <v>172376</v>
      </c>
      <c r="I9" s="260">
        <v>87930</v>
      </c>
      <c r="J9" s="253">
        <v>84446</v>
      </c>
    </row>
    <row r="10" spans="1:10" ht="21.6" customHeight="1">
      <c r="A10" s="262" t="s">
        <v>124</v>
      </c>
      <c r="B10" s="261">
        <v>171436</v>
      </c>
      <c r="C10" s="260">
        <v>85496</v>
      </c>
      <c r="D10" s="260">
        <v>85940</v>
      </c>
      <c r="E10" s="261">
        <v>44413</v>
      </c>
      <c r="F10" s="260">
        <v>21776</v>
      </c>
      <c r="G10" s="260">
        <v>22637</v>
      </c>
      <c r="H10" s="261">
        <v>127023</v>
      </c>
      <c r="I10" s="260">
        <v>63720</v>
      </c>
      <c r="J10" s="253">
        <v>63303</v>
      </c>
    </row>
    <row r="11" spans="1:10" ht="21.6" customHeight="1">
      <c r="A11" s="262" t="s">
        <v>123</v>
      </c>
      <c r="B11" s="261">
        <v>118366</v>
      </c>
      <c r="C11" s="260">
        <v>60790</v>
      </c>
      <c r="D11" s="260">
        <v>57576</v>
      </c>
      <c r="E11" s="261">
        <v>30648</v>
      </c>
      <c r="F11" s="260">
        <v>15483</v>
      </c>
      <c r="G11" s="260">
        <v>15165</v>
      </c>
      <c r="H11" s="261">
        <v>87718</v>
      </c>
      <c r="I11" s="260">
        <v>45307</v>
      </c>
      <c r="J11" s="253">
        <v>42411</v>
      </c>
    </row>
    <row r="12" spans="1:10" ht="21.6" customHeight="1">
      <c r="A12" s="262" t="s">
        <v>122</v>
      </c>
      <c r="B12" s="261">
        <v>113454</v>
      </c>
      <c r="C12" s="260">
        <v>57196</v>
      </c>
      <c r="D12" s="260">
        <v>56258</v>
      </c>
      <c r="E12" s="261">
        <v>29387</v>
      </c>
      <c r="F12" s="260">
        <v>14568</v>
      </c>
      <c r="G12" s="260">
        <v>14819</v>
      </c>
      <c r="H12" s="261">
        <v>84067</v>
      </c>
      <c r="I12" s="260">
        <v>42628</v>
      </c>
      <c r="J12" s="253">
        <v>41439</v>
      </c>
    </row>
    <row r="13" spans="1:10" ht="21.6" customHeight="1">
      <c r="A13" s="262" t="s">
        <v>121</v>
      </c>
      <c r="B13" s="261">
        <v>336664</v>
      </c>
      <c r="C13" s="260">
        <v>159653</v>
      </c>
      <c r="D13" s="260">
        <v>177011</v>
      </c>
      <c r="E13" s="261">
        <v>87290</v>
      </c>
      <c r="F13" s="260">
        <v>40666</v>
      </c>
      <c r="G13" s="260">
        <v>46624</v>
      </c>
      <c r="H13" s="261">
        <v>249374</v>
      </c>
      <c r="I13" s="260">
        <v>118987</v>
      </c>
      <c r="J13" s="253">
        <v>130387</v>
      </c>
    </row>
    <row r="14" spans="1:10" ht="21.6" customHeight="1">
      <c r="A14" s="262" t="s">
        <v>120</v>
      </c>
      <c r="B14" s="261">
        <v>369265</v>
      </c>
      <c r="C14" s="260">
        <v>174920</v>
      </c>
      <c r="D14" s="260">
        <v>194345</v>
      </c>
      <c r="E14" s="261">
        <v>95741</v>
      </c>
      <c r="F14" s="260">
        <v>44551</v>
      </c>
      <c r="G14" s="260">
        <v>51190</v>
      </c>
      <c r="H14" s="261">
        <v>273524</v>
      </c>
      <c r="I14" s="260">
        <v>130369</v>
      </c>
      <c r="J14" s="253">
        <v>143155</v>
      </c>
    </row>
    <row r="15" spans="1:10" ht="21.6" customHeight="1">
      <c r="A15" s="334" t="s">
        <v>119</v>
      </c>
      <c r="B15" s="333">
        <v>516607</v>
      </c>
      <c r="C15" s="332">
        <v>234839</v>
      </c>
      <c r="D15" s="332">
        <v>281768</v>
      </c>
      <c r="E15" s="333">
        <v>134032</v>
      </c>
      <c r="F15" s="332">
        <v>59815</v>
      </c>
      <c r="G15" s="332">
        <v>74217</v>
      </c>
      <c r="H15" s="333">
        <v>382575</v>
      </c>
      <c r="I15" s="332">
        <v>175024</v>
      </c>
      <c r="J15" s="331">
        <v>207551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82" t="s">
        <v>137</v>
      </c>
    </row>
    <row r="18" spans="1:1" ht="21.2" customHeight="1">
      <c r="A18" s="282" t="s">
        <v>136</v>
      </c>
    </row>
    <row r="19" spans="1:1" ht="21.6" customHeight="1">
      <c r="A19" s="281" t="s">
        <v>135</v>
      </c>
    </row>
    <row r="20" spans="1:1" ht="21.6" customHeight="1">
      <c r="A20" s="280"/>
    </row>
    <row r="21" spans="1:1" ht="21.6" customHeight="1">
      <c r="A21" s="28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0" workbookViewId="0">
      <selection activeCell="M7" sqref="M7"/>
    </sheetView>
  </sheetViews>
  <sheetFormatPr defaultColWidth="8" defaultRowHeight="21.75"/>
  <cols>
    <col min="1" max="1" width="21.140625" style="254" customWidth="1"/>
    <col min="2" max="10" width="15.28515625" style="253" customWidth="1"/>
    <col min="11" max="16384" width="8" style="3"/>
  </cols>
  <sheetData>
    <row r="1" spans="1:10">
      <c r="A1" s="279" t="s">
        <v>148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2480371</v>
      </c>
      <c r="C5" s="266">
        <v>1212595</v>
      </c>
      <c r="D5" s="266">
        <v>1267776</v>
      </c>
      <c r="E5" s="266">
        <v>642780</v>
      </c>
      <c r="F5" s="266">
        <v>308847</v>
      </c>
      <c r="G5" s="266">
        <v>333933</v>
      </c>
      <c r="H5" s="266">
        <v>1837591</v>
      </c>
      <c r="I5" s="266">
        <v>903748</v>
      </c>
      <c r="J5" s="265">
        <v>933843</v>
      </c>
    </row>
    <row r="6" spans="1:10" ht="21.6" customHeight="1">
      <c r="A6" s="264" t="s">
        <v>128</v>
      </c>
      <c r="B6" s="261">
        <v>426892</v>
      </c>
      <c r="C6" s="260">
        <v>221050</v>
      </c>
      <c r="D6" s="260">
        <v>205842</v>
      </c>
      <c r="E6" s="261">
        <v>110522</v>
      </c>
      <c r="F6" s="260">
        <v>56303</v>
      </c>
      <c r="G6" s="260">
        <v>54219</v>
      </c>
      <c r="H6" s="261">
        <v>316370</v>
      </c>
      <c r="I6" s="260">
        <v>164747</v>
      </c>
      <c r="J6" s="253">
        <v>151623</v>
      </c>
    </row>
    <row r="7" spans="1:10" ht="21.6" customHeight="1">
      <c r="A7" s="263" t="s">
        <v>127</v>
      </c>
      <c r="B7" s="261">
        <v>112389</v>
      </c>
      <c r="C7" s="260">
        <v>58202</v>
      </c>
      <c r="D7" s="260">
        <v>54187</v>
      </c>
      <c r="E7" s="261">
        <v>29097</v>
      </c>
      <c r="F7" s="260">
        <v>14824</v>
      </c>
      <c r="G7" s="260">
        <v>14273</v>
      </c>
      <c r="H7" s="261">
        <v>83292</v>
      </c>
      <c r="I7" s="260">
        <v>43378</v>
      </c>
      <c r="J7" s="253">
        <v>39914</v>
      </c>
    </row>
    <row r="8" spans="1:10" ht="21.6" customHeight="1">
      <c r="A8" s="264" t="s">
        <v>126</v>
      </c>
      <c r="B8" s="261">
        <v>82151</v>
      </c>
      <c r="C8" s="260">
        <v>42259</v>
      </c>
      <c r="D8" s="260">
        <v>39892</v>
      </c>
      <c r="E8" s="261">
        <v>21271</v>
      </c>
      <c r="F8" s="260">
        <v>10763</v>
      </c>
      <c r="G8" s="260">
        <v>10508</v>
      </c>
      <c r="H8" s="261">
        <v>60880</v>
      </c>
      <c r="I8" s="260">
        <v>31496</v>
      </c>
      <c r="J8" s="253">
        <v>29384</v>
      </c>
    </row>
    <row r="9" spans="1:10" ht="21.6" customHeight="1">
      <c r="A9" s="263" t="s">
        <v>125</v>
      </c>
      <c r="B9" s="261">
        <v>232584</v>
      </c>
      <c r="C9" s="260">
        <v>117991</v>
      </c>
      <c r="D9" s="260">
        <v>114593</v>
      </c>
      <c r="E9" s="261">
        <v>60236</v>
      </c>
      <c r="F9" s="260">
        <v>30053</v>
      </c>
      <c r="G9" s="260">
        <v>30183</v>
      </c>
      <c r="H9" s="261">
        <v>172348</v>
      </c>
      <c r="I9" s="260">
        <v>87938</v>
      </c>
      <c r="J9" s="253">
        <v>84410</v>
      </c>
    </row>
    <row r="10" spans="1:10" ht="21.6" customHeight="1">
      <c r="A10" s="262" t="s">
        <v>124</v>
      </c>
      <c r="B10" s="261">
        <v>172413</v>
      </c>
      <c r="C10" s="260">
        <v>85926</v>
      </c>
      <c r="D10" s="260">
        <v>86487</v>
      </c>
      <c r="E10" s="261">
        <v>44665</v>
      </c>
      <c r="F10" s="260">
        <v>21884</v>
      </c>
      <c r="G10" s="260">
        <v>22781</v>
      </c>
      <c r="H10" s="261">
        <v>127748</v>
      </c>
      <c r="I10" s="260">
        <v>64042</v>
      </c>
      <c r="J10" s="253">
        <v>63706</v>
      </c>
    </row>
    <row r="11" spans="1:10" ht="21.6" customHeight="1">
      <c r="A11" s="262" t="s">
        <v>123</v>
      </c>
      <c r="B11" s="261">
        <v>118319</v>
      </c>
      <c r="C11" s="260">
        <v>60776</v>
      </c>
      <c r="D11" s="260">
        <v>57543</v>
      </c>
      <c r="E11" s="261">
        <v>30636</v>
      </c>
      <c r="F11" s="260">
        <v>15479</v>
      </c>
      <c r="G11" s="260">
        <v>15157</v>
      </c>
      <c r="H11" s="261">
        <v>87683</v>
      </c>
      <c r="I11" s="260">
        <v>45297</v>
      </c>
      <c r="J11" s="253">
        <v>42386</v>
      </c>
    </row>
    <row r="12" spans="1:10" ht="21.6" customHeight="1">
      <c r="A12" s="262" t="s">
        <v>122</v>
      </c>
      <c r="B12" s="261">
        <v>112977</v>
      </c>
      <c r="C12" s="260">
        <v>56992</v>
      </c>
      <c r="D12" s="260">
        <v>55985</v>
      </c>
      <c r="E12" s="261">
        <v>29262</v>
      </c>
      <c r="F12" s="260">
        <v>14516</v>
      </c>
      <c r="G12" s="260">
        <v>14746</v>
      </c>
      <c r="H12" s="261">
        <v>83715</v>
      </c>
      <c r="I12" s="260">
        <v>42476</v>
      </c>
      <c r="J12" s="253">
        <v>41239</v>
      </c>
    </row>
    <row r="13" spans="1:10" ht="21.6" customHeight="1">
      <c r="A13" s="262" t="s">
        <v>121</v>
      </c>
      <c r="B13" s="261">
        <v>335392</v>
      </c>
      <c r="C13" s="260">
        <v>159048</v>
      </c>
      <c r="D13" s="260">
        <v>176344</v>
      </c>
      <c r="E13" s="261">
        <v>86957</v>
      </c>
      <c r="F13" s="260">
        <v>40508</v>
      </c>
      <c r="G13" s="260">
        <v>46449</v>
      </c>
      <c r="H13" s="261">
        <v>248435</v>
      </c>
      <c r="I13" s="260">
        <v>118540</v>
      </c>
      <c r="J13" s="253">
        <v>129895</v>
      </c>
    </row>
    <row r="14" spans="1:10" ht="21.6" customHeight="1">
      <c r="A14" s="262" t="s">
        <v>120</v>
      </c>
      <c r="B14" s="261">
        <v>369332</v>
      </c>
      <c r="C14" s="260">
        <v>174938</v>
      </c>
      <c r="D14" s="260">
        <v>194394</v>
      </c>
      <c r="E14" s="261">
        <v>95761</v>
      </c>
      <c r="F14" s="260">
        <v>44557</v>
      </c>
      <c r="G14" s="260">
        <v>51204</v>
      </c>
      <c r="H14" s="261">
        <v>273571</v>
      </c>
      <c r="I14" s="260">
        <v>130381</v>
      </c>
      <c r="J14" s="253">
        <v>143190</v>
      </c>
    </row>
    <row r="15" spans="1:10" ht="21.6" customHeight="1">
      <c r="A15" s="259" t="s">
        <v>119</v>
      </c>
      <c r="B15" s="261">
        <v>517922</v>
      </c>
      <c r="C15" s="260">
        <v>235413</v>
      </c>
      <c r="D15" s="260">
        <v>282509</v>
      </c>
      <c r="E15" s="261">
        <v>134373</v>
      </c>
      <c r="F15" s="260">
        <v>59960</v>
      </c>
      <c r="G15" s="260">
        <v>74413</v>
      </c>
      <c r="H15" s="261">
        <v>383549</v>
      </c>
      <c r="I15" s="260">
        <v>175453</v>
      </c>
      <c r="J15" s="258">
        <v>208096</v>
      </c>
    </row>
    <row r="16" spans="1:10" ht="6" customHeight="1">
      <c r="A16" s="334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" sqref="H1:K1"/>
    </sheetView>
  </sheetViews>
  <sheetFormatPr defaultColWidth="9.140625" defaultRowHeight="21"/>
  <cols>
    <col min="1" max="1" width="17.140625" style="546" customWidth="1"/>
    <col min="2" max="2" width="11" style="545" customWidth="1"/>
    <col min="3" max="3" width="10.140625" style="545" customWidth="1"/>
    <col min="4" max="4" width="10" style="545" customWidth="1"/>
    <col min="5" max="5" width="9.5703125" style="545" customWidth="1"/>
    <col min="6" max="6" width="9.28515625" style="545" customWidth="1"/>
    <col min="7" max="8" width="9.7109375" style="545" customWidth="1"/>
    <col min="9" max="10" width="11.85546875" style="545" customWidth="1"/>
    <col min="11" max="11" width="11.85546875" style="544" customWidth="1"/>
    <col min="12" max="16384" width="9.140625" style="544"/>
  </cols>
  <sheetData>
    <row r="1" spans="1:10">
      <c r="A1" s="578" t="s">
        <v>193</v>
      </c>
    </row>
    <row r="2" spans="1:10" s="575" customFormat="1" ht="8.25">
      <c r="A2" s="577"/>
      <c r="B2" s="576"/>
      <c r="C2" s="576"/>
      <c r="D2" s="576"/>
      <c r="E2" s="576"/>
      <c r="F2" s="576"/>
      <c r="G2" s="576"/>
      <c r="H2" s="576"/>
      <c r="I2" s="576"/>
      <c r="J2" s="576"/>
    </row>
    <row r="3" spans="1:10" s="562" customFormat="1">
      <c r="A3" s="574" t="s">
        <v>133</v>
      </c>
      <c r="B3" s="573" t="s">
        <v>0</v>
      </c>
      <c r="C3" s="570"/>
      <c r="D3" s="572"/>
      <c r="E3" s="570" t="s">
        <v>132</v>
      </c>
      <c r="F3" s="571"/>
      <c r="G3" s="572"/>
      <c r="H3" s="570" t="s">
        <v>131</v>
      </c>
      <c r="I3" s="571"/>
      <c r="J3" s="570"/>
    </row>
    <row r="4" spans="1:10" s="562" customFormat="1">
      <c r="A4" s="569" t="s">
        <v>130</v>
      </c>
      <c r="B4" s="568" t="s">
        <v>0</v>
      </c>
      <c r="C4" s="567" t="s">
        <v>1</v>
      </c>
      <c r="D4" s="567" t="s">
        <v>2</v>
      </c>
      <c r="E4" s="567" t="s">
        <v>0</v>
      </c>
      <c r="F4" s="567" t="s">
        <v>1</v>
      </c>
      <c r="G4" s="567" t="s">
        <v>2</v>
      </c>
      <c r="H4" s="567" t="s">
        <v>0</v>
      </c>
      <c r="I4" s="567" t="s">
        <v>1</v>
      </c>
      <c r="J4" s="566" t="s">
        <v>2</v>
      </c>
    </row>
    <row r="5" spans="1:10" s="562" customFormat="1" ht="21.6" customHeight="1">
      <c r="A5" s="565" t="s">
        <v>129</v>
      </c>
      <c r="B5" s="564">
        <v>2489461</v>
      </c>
      <c r="C5" s="564">
        <v>1218555</v>
      </c>
      <c r="D5" s="564">
        <v>1270906</v>
      </c>
      <c r="E5" s="564">
        <v>643756</v>
      </c>
      <c r="F5" s="564">
        <v>309635</v>
      </c>
      <c r="G5" s="564">
        <v>334121</v>
      </c>
      <c r="H5" s="564">
        <v>1845705</v>
      </c>
      <c r="I5" s="564">
        <v>908920</v>
      </c>
      <c r="J5" s="563">
        <v>936785</v>
      </c>
    </row>
    <row r="6" spans="1:10" ht="21.6" customHeight="1">
      <c r="A6" s="561" t="s">
        <v>128</v>
      </c>
      <c r="B6" s="558">
        <v>445339</v>
      </c>
      <c r="C6" s="557">
        <v>230428</v>
      </c>
      <c r="D6" s="557">
        <v>214911</v>
      </c>
      <c r="E6" s="558">
        <v>115052</v>
      </c>
      <c r="F6" s="557">
        <v>58552</v>
      </c>
      <c r="G6" s="557">
        <v>56500</v>
      </c>
      <c r="H6" s="558">
        <v>330287</v>
      </c>
      <c r="I6" s="557">
        <v>171876</v>
      </c>
      <c r="J6" s="545">
        <v>158411</v>
      </c>
    </row>
    <row r="7" spans="1:10" ht="21.6" customHeight="1">
      <c r="A7" s="560" t="s">
        <v>127</v>
      </c>
      <c r="B7" s="558">
        <v>117792</v>
      </c>
      <c r="C7" s="557">
        <v>60958</v>
      </c>
      <c r="D7" s="557">
        <v>56834</v>
      </c>
      <c r="E7" s="558">
        <v>30432</v>
      </c>
      <c r="F7" s="557">
        <v>15490</v>
      </c>
      <c r="G7" s="557">
        <v>14942</v>
      </c>
      <c r="H7" s="558">
        <v>87360</v>
      </c>
      <c r="I7" s="557">
        <v>45468</v>
      </c>
      <c r="J7" s="545">
        <v>41892</v>
      </c>
    </row>
    <row r="8" spans="1:10" ht="21.6" customHeight="1">
      <c r="A8" s="561" t="s">
        <v>126</v>
      </c>
      <c r="B8" s="558">
        <v>84506</v>
      </c>
      <c r="C8" s="557">
        <v>43352</v>
      </c>
      <c r="D8" s="557">
        <v>41154</v>
      </c>
      <c r="E8" s="558">
        <v>21836</v>
      </c>
      <c r="F8" s="557">
        <v>11016</v>
      </c>
      <c r="G8" s="557">
        <v>10820</v>
      </c>
      <c r="H8" s="558">
        <v>62670</v>
      </c>
      <c r="I8" s="557">
        <v>32336</v>
      </c>
      <c r="J8" s="545">
        <v>30334</v>
      </c>
    </row>
    <row r="9" spans="1:10" ht="21.6" customHeight="1">
      <c r="A9" s="560" t="s">
        <v>125</v>
      </c>
      <c r="B9" s="558">
        <v>228901</v>
      </c>
      <c r="C9" s="557">
        <v>115153</v>
      </c>
      <c r="D9" s="557">
        <v>113748</v>
      </c>
      <c r="E9" s="558">
        <v>59166</v>
      </c>
      <c r="F9" s="557">
        <v>29261</v>
      </c>
      <c r="G9" s="557">
        <v>29905</v>
      </c>
      <c r="H9" s="558">
        <v>169735</v>
      </c>
      <c r="I9" s="557">
        <v>85892</v>
      </c>
      <c r="J9" s="545">
        <v>83843</v>
      </c>
    </row>
    <row r="10" spans="1:10" ht="21.6" customHeight="1">
      <c r="A10" s="559" t="s">
        <v>124</v>
      </c>
      <c r="B10" s="558">
        <v>151385</v>
      </c>
      <c r="C10" s="557">
        <v>76403</v>
      </c>
      <c r="D10" s="557">
        <v>74982</v>
      </c>
      <c r="E10" s="558">
        <v>39127</v>
      </c>
      <c r="F10" s="557">
        <v>19414</v>
      </c>
      <c r="G10" s="557">
        <v>19713</v>
      </c>
      <c r="H10" s="558">
        <v>112258</v>
      </c>
      <c r="I10" s="557">
        <v>56989</v>
      </c>
      <c r="J10" s="545">
        <v>55269</v>
      </c>
    </row>
    <row r="11" spans="1:10" ht="21.6" customHeight="1">
      <c r="A11" s="559" t="s">
        <v>123</v>
      </c>
      <c r="B11" s="558">
        <v>122220</v>
      </c>
      <c r="C11" s="557">
        <v>63121</v>
      </c>
      <c r="D11" s="557">
        <v>59099</v>
      </c>
      <c r="E11" s="558">
        <v>31577</v>
      </c>
      <c r="F11" s="557">
        <v>16040</v>
      </c>
      <c r="G11" s="557">
        <v>15537</v>
      </c>
      <c r="H11" s="558">
        <v>90643</v>
      </c>
      <c r="I11" s="557">
        <v>47081</v>
      </c>
      <c r="J11" s="545">
        <v>43562</v>
      </c>
    </row>
    <row r="12" spans="1:10" ht="21.6" customHeight="1">
      <c r="A12" s="559" t="s">
        <v>122</v>
      </c>
      <c r="B12" s="558">
        <v>129167</v>
      </c>
      <c r="C12" s="557">
        <v>64097</v>
      </c>
      <c r="D12" s="557">
        <v>65070</v>
      </c>
      <c r="E12" s="558">
        <v>33393</v>
      </c>
      <c r="F12" s="557">
        <v>16287</v>
      </c>
      <c r="G12" s="557">
        <v>17106</v>
      </c>
      <c r="H12" s="558">
        <v>95774</v>
      </c>
      <c r="I12" s="557">
        <v>47810</v>
      </c>
      <c r="J12" s="545">
        <v>47964</v>
      </c>
    </row>
    <row r="13" spans="1:10" ht="21.6" customHeight="1">
      <c r="A13" s="559" t="s">
        <v>121</v>
      </c>
      <c r="B13" s="558">
        <v>363185</v>
      </c>
      <c r="C13" s="557">
        <v>172548</v>
      </c>
      <c r="D13" s="557">
        <v>190637</v>
      </c>
      <c r="E13" s="558">
        <v>93963</v>
      </c>
      <c r="F13" s="557">
        <v>43844</v>
      </c>
      <c r="G13" s="557">
        <v>50119</v>
      </c>
      <c r="H13" s="558">
        <v>269222</v>
      </c>
      <c r="I13" s="557">
        <v>128704</v>
      </c>
      <c r="J13" s="545">
        <v>140518</v>
      </c>
    </row>
    <row r="14" spans="1:10" ht="21.6" customHeight="1">
      <c r="A14" s="559" t="s">
        <v>120</v>
      </c>
      <c r="B14" s="558">
        <v>361814</v>
      </c>
      <c r="C14" s="557">
        <v>171815</v>
      </c>
      <c r="D14" s="557">
        <v>189999</v>
      </c>
      <c r="E14" s="558">
        <v>93607</v>
      </c>
      <c r="F14" s="557">
        <v>43657</v>
      </c>
      <c r="G14" s="557">
        <v>49950</v>
      </c>
      <c r="H14" s="558">
        <v>268207</v>
      </c>
      <c r="I14" s="557">
        <v>128158</v>
      </c>
      <c r="J14" s="545">
        <v>140049</v>
      </c>
    </row>
    <row r="15" spans="1:10" ht="21.6" customHeight="1">
      <c r="A15" s="556" t="s">
        <v>119</v>
      </c>
      <c r="B15" s="555">
        <v>485152</v>
      </c>
      <c r="C15" s="554">
        <v>220680</v>
      </c>
      <c r="D15" s="554">
        <v>264472</v>
      </c>
      <c r="E15" s="555">
        <v>125603</v>
      </c>
      <c r="F15" s="554">
        <v>56074</v>
      </c>
      <c r="G15" s="554">
        <v>69529</v>
      </c>
      <c r="H15" s="555">
        <v>359549</v>
      </c>
      <c r="I15" s="554">
        <v>164606</v>
      </c>
      <c r="J15" s="553">
        <v>194943</v>
      </c>
    </row>
    <row r="16" spans="1:10" ht="6" customHeight="1">
      <c r="A16" s="552"/>
      <c r="B16" s="551"/>
      <c r="C16" s="551"/>
      <c r="D16" s="551"/>
      <c r="E16" s="551"/>
      <c r="F16" s="551"/>
      <c r="G16" s="551"/>
      <c r="H16" s="551"/>
      <c r="I16" s="551"/>
      <c r="J16" s="551"/>
    </row>
    <row r="17" spans="1:10" ht="21.2" customHeight="1">
      <c r="A17" s="550" t="s">
        <v>118</v>
      </c>
      <c r="B17" s="547"/>
      <c r="C17" s="547"/>
      <c r="D17" s="547"/>
      <c r="E17" s="547"/>
      <c r="F17" s="547"/>
      <c r="G17" s="547"/>
      <c r="H17" s="547"/>
      <c r="I17" s="547"/>
      <c r="J17" s="547"/>
    </row>
    <row r="18" spans="1:10" ht="21.2" customHeight="1">
      <c r="A18" s="550" t="s">
        <v>117</v>
      </c>
      <c r="B18" s="547"/>
      <c r="C18" s="547"/>
      <c r="D18" s="547"/>
      <c r="E18" s="547"/>
      <c r="F18" s="547"/>
      <c r="G18" s="547"/>
      <c r="H18" s="547"/>
      <c r="I18" s="547"/>
      <c r="J18" s="547"/>
    </row>
    <row r="19" spans="1:10" ht="21.6" customHeight="1">
      <c r="A19" s="549" t="s">
        <v>116</v>
      </c>
      <c r="B19" s="547"/>
      <c r="C19" s="547"/>
      <c r="D19" s="547"/>
      <c r="E19" s="547"/>
      <c r="F19" s="547"/>
      <c r="G19" s="547"/>
      <c r="H19" s="547"/>
      <c r="I19" s="547"/>
      <c r="J19" s="547"/>
    </row>
    <row r="20" spans="1:10" ht="21.6" customHeight="1">
      <c r="A20" s="548"/>
      <c r="B20" s="547"/>
      <c r="C20" s="547"/>
      <c r="D20" s="547"/>
      <c r="E20" s="547"/>
      <c r="F20" s="547"/>
      <c r="G20" s="547"/>
      <c r="H20" s="547"/>
      <c r="I20" s="547"/>
      <c r="J20" s="547"/>
    </row>
    <row r="21" spans="1:10" ht="21.6" customHeight="1">
      <c r="A21" s="548"/>
      <c r="B21" s="547"/>
      <c r="C21" s="547"/>
      <c r="D21" s="547"/>
      <c r="E21" s="547"/>
      <c r="F21" s="547"/>
      <c r="G21" s="547"/>
      <c r="H21" s="547"/>
      <c r="I21" s="547"/>
      <c r="J21" s="547"/>
    </row>
    <row r="22" spans="1:10" ht="21.6" customHeight="1">
      <c r="B22" s="547"/>
      <c r="C22" s="547"/>
      <c r="D22" s="547"/>
      <c r="E22" s="547"/>
      <c r="F22" s="547"/>
      <c r="G22" s="547"/>
      <c r="H22" s="547"/>
      <c r="I22" s="547"/>
      <c r="J22" s="547"/>
    </row>
    <row r="23" spans="1:10" ht="21.6" customHeight="1">
      <c r="B23" s="547"/>
      <c r="C23" s="547"/>
      <c r="D23" s="547"/>
      <c r="E23" s="547"/>
      <c r="F23" s="547"/>
      <c r="G23" s="547"/>
      <c r="H23" s="547"/>
      <c r="I23" s="547"/>
      <c r="J23" s="547"/>
    </row>
    <row r="24" spans="1:10" ht="21.6" customHeight="1">
      <c r="B24" s="547"/>
      <c r="C24" s="547"/>
      <c r="D24" s="547"/>
      <c r="E24" s="547"/>
      <c r="F24" s="547"/>
      <c r="G24" s="547"/>
      <c r="H24" s="547"/>
      <c r="I24" s="547"/>
      <c r="J24" s="547"/>
    </row>
    <row r="25" spans="1:10" ht="21.6" customHeight="1">
      <c r="B25" s="547"/>
      <c r="C25" s="547"/>
      <c r="D25" s="547"/>
      <c r="E25" s="547"/>
      <c r="F25" s="547"/>
      <c r="G25" s="547"/>
      <c r="H25" s="547"/>
      <c r="I25" s="547"/>
      <c r="J25" s="547"/>
    </row>
    <row r="26" spans="1:10" ht="21.6" customHeight="1">
      <c r="B26" s="547"/>
      <c r="C26" s="547"/>
      <c r="D26" s="547"/>
      <c r="E26" s="547"/>
      <c r="F26" s="547"/>
      <c r="G26" s="547"/>
      <c r="H26" s="547"/>
      <c r="I26" s="547"/>
      <c r="J26" s="547"/>
    </row>
    <row r="27" spans="1:10" ht="21.6" customHeight="1">
      <c r="B27" s="547"/>
      <c r="C27" s="547"/>
      <c r="D27" s="547"/>
      <c r="E27" s="547"/>
      <c r="F27" s="547"/>
      <c r="G27" s="547"/>
      <c r="H27" s="547"/>
      <c r="I27" s="547"/>
      <c r="J27" s="547"/>
    </row>
    <row r="28" spans="1:10" ht="21.6" customHeight="1">
      <c r="B28" s="547"/>
      <c r="C28" s="547"/>
      <c r="D28" s="547"/>
      <c r="E28" s="547"/>
      <c r="F28" s="547"/>
      <c r="G28" s="547"/>
      <c r="H28" s="547"/>
      <c r="I28" s="547"/>
      <c r="J28" s="547"/>
    </row>
    <row r="29" spans="1:10" ht="21.6" customHeight="1">
      <c r="B29" s="547"/>
      <c r="C29" s="547"/>
      <c r="D29" s="547"/>
      <c r="E29" s="547"/>
      <c r="F29" s="547"/>
      <c r="G29" s="547"/>
      <c r="H29" s="547"/>
      <c r="I29" s="547"/>
      <c r="J29" s="547"/>
    </row>
    <row r="30" spans="1:10" ht="21.6" customHeight="1">
      <c r="B30" s="547"/>
      <c r="C30" s="547"/>
      <c r="D30" s="547"/>
      <c r="E30" s="547"/>
      <c r="F30" s="547"/>
      <c r="G30" s="547"/>
      <c r="H30" s="547"/>
      <c r="I30" s="547"/>
      <c r="J30" s="547"/>
    </row>
    <row r="31" spans="1:10" ht="21.6" customHeight="1">
      <c r="B31" s="547"/>
      <c r="C31" s="547"/>
      <c r="D31" s="547"/>
      <c r="E31" s="547"/>
      <c r="F31" s="547"/>
      <c r="G31" s="547"/>
      <c r="H31" s="547"/>
      <c r="I31" s="547"/>
      <c r="J31" s="547"/>
    </row>
    <row r="32" spans="1:10" ht="21.6" customHeight="1">
      <c r="B32" s="547"/>
      <c r="C32" s="547"/>
      <c r="D32" s="547"/>
      <c r="E32" s="547"/>
      <c r="F32" s="547"/>
      <c r="G32" s="547"/>
      <c r="H32" s="547"/>
      <c r="I32" s="547"/>
      <c r="J32" s="547"/>
    </row>
    <row r="33" spans="2:10" ht="21.6" customHeight="1">
      <c r="B33" s="547"/>
      <c r="C33" s="547"/>
      <c r="D33" s="547"/>
      <c r="E33" s="547"/>
      <c r="F33" s="547"/>
      <c r="G33" s="547"/>
      <c r="H33" s="547"/>
      <c r="I33" s="547"/>
      <c r="J33" s="547"/>
    </row>
    <row r="34" spans="2:10" ht="21.6" customHeight="1">
      <c r="B34" s="547"/>
      <c r="C34" s="547"/>
      <c r="D34" s="547"/>
      <c r="E34" s="547"/>
      <c r="F34" s="547"/>
      <c r="G34" s="547"/>
      <c r="H34" s="547"/>
      <c r="I34" s="547"/>
      <c r="J34" s="547"/>
    </row>
    <row r="35" spans="2:10" ht="21.6" customHeight="1">
      <c r="B35" s="547"/>
      <c r="C35" s="547"/>
      <c r="D35" s="547"/>
      <c r="E35" s="547"/>
      <c r="F35" s="547"/>
      <c r="G35" s="547"/>
      <c r="H35" s="547"/>
      <c r="I35" s="547"/>
      <c r="J35" s="547"/>
    </row>
    <row r="36" spans="2:10" ht="21.6" customHeight="1">
      <c r="B36" s="547"/>
      <c r="C36" s="547"/>
      <c r="D36" s="547"/>
      <c r="E36" s="547"/>
      <c r="F36" s="547"/>
      <c r="G36" s="547"/>
      <c r="H36" s="547"/>
      <c r="I36" s="547"/>
      <c r="J36" s="547"/>
    </row>
    <row r="37" spans="2:10" ht="21.6" customHeight="1">
      <c r="B37" s="547"/>
      <c r="C37" s="547"/>
      <c r="D37" s="547"/>
      <c r="E37" s="547"/>
      <c r="F37" s="547"/>
      <c r="G37" s="547"/>
      <c r="H37" s="547"/>
      <c r="I37" s="547"/>
      <c r="J37" s="547"/>
    </row>
    <row r="38" spans="2:10" ht="21.6" customHeight="1">
      <c r="B38" s="547"/>
      <c r="C38" s="547"/>
      <c r="D38" s="547"/>
      <c r="E38" s="547"/>
      <c r="F38" s="547"/>
      <c r="G38" s="547"/>
      <c r="H38" s="547"/>
      <c r="I38" s="547"/>
      <c r="J38" s="547"/>
    </row>
    <row r="39" spans="2:10" ht="21.6" customHeight="1">
      <c r="B39" s="547"/>
      <c r="C39" s="547"/>
      <c r="D39" s="547"/>
      <c r="E39" s="547"/>
      <c r="F39" s="547"/>
      <c r="G39" s="547"/>
      <c r="H39" s="547"/>
      <c r="I39" s="547"/>
      <c r="J39" s="547"/>
    </row>
    <row r="40" spans="2:10" ht="21.6" customHeight="1">
      <c r="B40" s="547"/>
      <c r="C40" s="547"/>
      <c r="D40" s="547"/>
      <c r="E40" s="547"/>
      <c r="F40" s="547"/>
      <c r="G40" s="547"/>
      <c r="H40" s="547"/>
      <c r="I40" s="547"/>
      <c r="J40" s="547"/>
    </row>
    <row r="41" spans="2:10" ht="21.6" customHeight="1">
      <c r="B41" s="547"/>
      <c r="C41" s="547"/>
      <c r="D41" s="547"/>
      <c r="E41" s="547"/>
      <c r="F41" s="547"/>
      <c r="G41" s="547"/>
      <c r="H41" s="547"/>
      <c r="I41" s="547"/>
      <c r="J41" s="547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90" zoomScaleNormal="90" workbookViewId="0">
      <pane xSplit="1" ySplit="4" topLeftCell="B5" activePane="bottomRight" state="frozen"/>
      <selection activeCell="F17" sqref="F17"/>
      <selection pane="topRight" activeCell="F17" sqref="F17"/>
      <selection pane="bottomLeft" activeCell="F17" sqref="F17"/>
      <selection pane="bottomRight" activeCell="G1" sqref="G1:I1"/>
    </sheetView>
  </sheetViews>
  <sheetFormatPr defaultColWidth="9.140625" defaultRowHeight="21.75"/>
  <cols>
    <col min="1" max="1" width="20.140625" style="582" customWidth="1"/>
    <col min="2" max="10" width="11.42578125" style="581" customWidth="1"/>
    <col min="11" max="11" width="1.85546875" style="580" customWidth="1"/>
    <col min="12" max="16384" width="9.140625" style="579"/>
  </cols>
  <sheetData>
    <row r="1" spans="1:11">
      <c r="A1" s="615" t="s">
        <v>194</v>
      </c>
    </row>
    <row r="2" spans="1:11" s="611" customFormat="1" ht="8.25">
      <c r="A2" s="614"/>
      <c r="B2" s="613"/>
      <c r="C2" s="613"/>
      <c r="D2" s="613"/>
      <c r="E2" s="613"/>
      <c r="F2" s="613"/>
      <c r="G2" s="613"/>
      <c r="H2" s="613"/>
      <c r="I2" s="613"/>
      <c r="J2" s="613"/>
      <c r="K2" s="612"/>
    </row>
    <row r="3" spans="1:11" s="597" customFormat="1">
      <c r="A3" s="610" t="s">
        <v>133</v>
      </c>
      <c r="B3" s="609" t="s">
        <v>0</v>
      </c>
      <c r="C3" s="606"/>
      <c r="D3" s="608"/>
      <c r="E3" s="606" t="s">
        <v>132</v>
      </c>
      <c r="F3" s="607"/>
      <c r="G3" s="608"/>
      <c r="H3" s="606" t="s">
        <v>131</v>
      </c>
      <c r="I3" s="607"/>
      <c r="J3" s="606"/>
      <c r="K3" s="601"/>
    </row>
    <row r="4" spans="1:11" s="597" customFormat="1">
      <c r="A4" s="605" t="s">
        <v>130</v>
      </c>
      <c r="B4" s="604" t="s">
        <v>0</v>
      </c>
      <c r="C4" s="603" t="s">
        <v>1</v>
      </c>
      <c r="D4" s="603" t="s">
        <v>2</v>
      </c>
      <c r="E4" s="603" t="s">
        <v>0</v>
      </c>
      <c r="F4" s="603" t="s">
        <v>1</v>
      </c>
      <c r="G4" s="603" t="s">
        <v>2</v>
      </c>
      <c r="H4" s="603" t="s">
        <v>0</v>
      </c>
      <c r="I4" s="603" t="s">
        <v>1</v>
      </c>
      <c r="J4" s="602" t="s">
        <v>2</v>
      </c>
      <c r="K4" s="601"/>
    </row>
    <row r="5" spans="1:11" s="597" customFormat="1" ht="21.6" customHeight="1">
      <c r="A5" s="600" t="s">
        <v>129</v>
      </c>
      <c r="B5" s="599">
        <v>2488457</v>
      </c>
      <c r="C5" s="599">
        <v>1217833</v>
      </c>
      <c r="D5" s="599">
        <v>1270624</v>
      </c>
      <c r="E5" s="599">
        <v>643498</v>
      </c>
      <c r="F5" s="599">
        <v>309451</v>
      </c>
      <c r="G5" s="599">
        <v>334047</v>
      </c>
      <c r="H5" s="599">
        <v>1844959</v>
      </c>
      <c r="I5" s="599">
        <v>908382</v>
      </c>
      <c r="J5" s="598">
        <v>936577</v>
      </c>
      <c r="K5" s="584"/>
    </row>
    <row r="6" spans="1:11" ht="21.6" customHeight="1">
      <c r="A6" s="596" t="s">
        <v>128</v>
      </c>
      <c r="B6" s="592">
        <v>442540</v>
      </c>
      <c r="C6" s="591">
        <v>229075</v>
      </c>
      <c r="D6" s="591">
        <v>213465</v>
      </c>
      <c r="E6" s="592">
        <v>114327</v>
      </c>
      <c r="F6" s="591">
        <v>58207</v>
      </c>
      <c r="G6" s="591">
        <v>56120</v>
      </c>
      <c r="H6" s="592">
        <v>328213</v>
      </c>
      <c r="I6" s="591">
        <v>170868</v>
      </c>
      <c r="J6" s="581">
        <v>157345</v>
      </c>
    </row>
    <row r="7" spans="1:11" ht="21.6" customHeight="1">
      <c r="A7" s="595" t="s">
        <v>127</v>
      </c>
      <c r="B7" s="592">
        <v>117166</v>
      </c>
      <c r="C7" s="591">
        <v>60625</v>
      </c>
      <c r="D7" s="591">
        <v>56541</v>
      </c>
      <c r="E7" s="592">
        <v>30270</v>
      </c>
      <c r="F7" s="591">
        <v>15405</v>
      </c>
      <c r="G7" s="591">
        <v>14865</v>
      </c>
      <c r="H7" s="592">
        <v>86896</v>
      </c>
      <c r="I7" s="591">
        <v>45220</v>
      </c>
      <c r="J7" s="581">
        <v>41676</v>
      </c>
    </row>
    <row r="8" spans="1:11" ht="21.6" customHeight="1">
      <c r="A8" s="596" t="s">
        <v>126</v>
      </c>
      <c r="B8" s="592">
        <v>84300</v>
      </c>
      <c r="C8" s="591">
        <v>43257</v>
      </c>
      <c r="D8" s="591">
        <v>41043</v>
      </c>
      <c r="E8" s="592">
        <v>21782</v>
      </c>
      <c r="F8" s="591">
        <v>10992</v>
      </c>
      <c r="G8" s="591">
        <v>10790</v>
      </c>
      <c r="H8" s="592">
        <v>62518</v>
      </c>
      <c r="I8" s="591">
        <v>32265</v>
      </c>
      <c r="J8" s="581">
        <v>30253</v>
      </c>
    </row>
    <row r="9" spans="1:11" ht="21.6" customHeight="1">
      <c r="A9" s="595" t="s">
        <v>125</v>
      </c>
      <c r="B9" s="592">
        <v>229669</v>
      </c>
      <c r="C9" s="591">
        <v>115693</v>
      </c>
      <c r="D9" s="591">
        <v>113976</v>
      </c>
      <c r="E9" s="592">
        <v>59363</v>
      </c>
      <c r="F9" s="591">
        <v>29398</v>
      </c>
      <c r="G9" s="591">
        <v>29965</v>
      </c>
      <c r="H9" s="592">
        <v>170306</v>
      </c>
      <c r="I9" s="591">
        <v>86295</v>
      </c>
      <c r="J9" s="581">
        <v>84011</v>
      </c>
    </row>
    <row r="10" spans="1:11" ht="21.6" customHeight="1">
      <c r="A10" s="594" t="s">
        <v>124</v>
      </c>
      <c r="B10" s="592">
        <v>154069</v>
      </c>
      <c r="C10" s="591">
        <v>77577</v>
      </c>
      <c r="D10" s="591">
        <v>76492</v>
      </c>
      <c r="E10" s="592">
        <v>39822</v>
      </c>
      <c r="F10" s="591">
        <v>19712</v>
      </c>
      <c r="G10" s="591">
        <v>20110</v>
      </c>
      <c r="H10" s="592">
        <v>114247</v>
      </c>
      <c r="I10" s="591">
        <v>57865</v>
      </c>
      <c r="J10" s="581">
        <v>56382</v>
      </c>
    </row>
    <row r="11" spans="1:11" ht="21.6" customHeight="1">
      <c r="A11" s="594" t="s">
        <v>123</v>
      </c>
      <c r="B11" s="592">
        <v>121425</v>
      </c>
      <c r="C11" s="591">
        <v>62597</v>
      </c>
      <c r="D11" s="591">
        <v>58828</v>
      </c>
      <c r="E11" s="592">
        <v>31372</v>
      </c>
      <c r="F11" s="591">
        <v>15906</v>
      </c>
      <c r="G11" s="591">
        <v>15466</v>
      </c>
      <c r="H11" s="592">
        <v>90053</v>
      </c>
      <c r="I11" s="591">
        <v>46691</v>
      </c>
      <c r="J11" s="581">
        <v>43362</v>
      </c>
    </row>
    <row r="12" spans="1:11" ht="21.6" customHeight="1">
      <c r="A12" s="594" t="s">
        <v>122</v>
      </c>
      <c r="B12" s="592">
        <v>126868</v>
      </c>
      <c r="C12" s="591">
        <v>63083</v>
      </c>
      <c r="D12" s="591">
        <v>63785</v>
      </c>
      <c r="E12" s="592">
        <v>32798</v>
      </c>
      <c r="F12" s="591">
        <v>16029</v>
      </c>
      <c r="G12" s="591">
        <v>16769</v>
      </c>
      <c r="H12" s="592">
        <v>94070</v>
      </c>
      <c r="I12" s="591">
        <v>47054</v>
      </c>
      <c r="J12" s="581">
        <v>47016</v>
      </c>
    </row>
    <row r="13" spans="1:11" ht="21.6" customHeight="1">
      <c r="A13" s="594" t="s">
        <v>121</v>
      </c>
      <c r="B13" s="592">
        <v>359672</v>
      </c>
      <c r="C13" s="591">
        <v>170859</v>
      </c>
      <c r="D13" s="591">
        <v>188813</v>
      </c>
      <c r="E13" s="592">
        <v>93052</v>
      </c>
      <c r="F13" s="591">
        <v>43414</v>
      </c>
      <c r="G13" s="591">
        <v>49638</v>
      </c>
      <c r="H13" s="592">
        <v>266620</v>
      </c>
      <c r="I13" s="591">
        <v>127445</v>
      </c>
      <c r="J13" s="581">
        <v>139175</v>
      </c>
    </row>
    <row r="14" spans="1:11" ht="21.6" customHeight="1">
      <c r="A14" s="594" t="s">
        <v>120</v>
      </c>
      <c r="B14" s="592">
        <v>363170</v>
      </c>
      <c r="C14" s="591">
        <v>172321</v>
      </c>
      <c r="D14" s="591">
        <v>190849</v>
      </c>
      <c r="E14" s="592">
        <v>93960</v>
      </c>
      <c r="F14" s="591">
        <v>43786</v>
      </c>
      <c r="G14" s="591">
        <v>50174</v>
      </c>
      <c r="H14" s="592">
        <v>269210</v>
      </c>
      <c r="I14" s="591">
        <v>128535</v>
      </c>
      <c r="J14" s="581">
        <v>140675</v>
      </c>
    </row>
    <row r="15" spans="1:11" ht="21.6" customHeight="1">
      <c r="A15" s="593" t="s">
        <v>119</v>
      </c>
      <c r="B15" s="592">
        <v>489578</v>
      </c>
      <c r="C15" s="591">
        <v>222746</v>
      </c>
      <c r="D15" s="591">
        <v>266832</v>
      </c>
      <c r="E15" s="592">
        <v>126752</v>
      </c>
      <c r="F15" s="591">
        <v>56602</v>
      </c>
      <c r="G15" s="591">
        <v>70150</v>
      </c>
      <c r="H15" s="592">
        <v>362826</v>
      </c>
      <c r="I15" s="591">
        <v>166144</v>
      </c>
      <c r="J15" s="590">
        <v>196682</v>
      </c>
    </row>
    <row r="16" spans="1:11" ht="6" customHeight="1">
      <c r="A16" s="589"/>
      <c r="B16" s="588"/>
      <c r="C16" s="588"/>
      <c r="D16" s="588"/>
      <c r="E16" s="588"/>
      <c r="F16" s="588"/>
      <c r="G16" s="588"/>
      <c r="H16" s="588"/>
      <c r="I16" s="588"/>
      <c r="J16" s="588"/>
      <c r="K16" s="584"/>
    </row>
    <row r="17" spans="1:11" ht="21.2" customHeight="1">
      <c r="A17" s="587" t="s">
        <v>118</v>
      </c>
    </row>
    <row r="18" spans="1:11" ht="21.2" customHeight="1">
      <c r="A18" s="587" t="s">
        <v>117</v>
      </c>
    </row>
    <row r="19" spans="1:11" ht="21.6" customHeight="1">
      <c r="A19" s="586" t="s">
        <v>116</v>
      </c>
    </row>
    <row r="20" spans="1:11" ht="21.6" customHeight="1">
      <c r="A20" s="585"/>
    </row>
    <row r="21" spans="1:11" ht="21.6" customHeight="1">
      <c r="A21" s="585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583"/>
    </row>
    <row r="27" spans="1:11" ht="21.6" customHeight="1">
      <c r="K27" s="584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584"/>
    </row>
    <row r="39" spans="11:11" ht="21.6" customHeight="1"/>
    <row r="40" spans="11:11" ht="21.6" customHeight="1"/>
    <row r="41" spans="11:11" ht="21.6" customHeight="1"/>
    <row r="49" spans="11:11">
      <c r="K49" s="584"/>
    </row>
    <row r="60" spans="11:11">
      <c r="K60" s="583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pane xSplit="1" ySplit="4" topLeftCell="B8" activePane="bottomRight" state="frozen"/>
      <selection activeCell="E11" sqref="E11"/>
      <selection pane="topRight" activeCell="E11" sqref="E11"/>
      <selection pane="bottomLeft" activeCell="E11" sqref="E11"/>
      <selection pane="bottomRight" activeCell="G1" sqref="G1:H1"/>
    </sheetView>
  </sheetViews>
  <sheetFormatPr defaultColWidth="9.140625" defaultRowHeight="21.75"/>
  <cols>
    <col min="1" max="1" width="20.140625" style="582" customWidth="1"/>
    <col min="2" max="10" width="15.28515625" style="581" customWidth="1"/>
    <col min="11" max="11" width="1.85546875" style="580" customWidth="1"/>
    <col min="12" max="16384" width="9.140625" style="579"/>
  </cols>
  <sheetData>
    <row r="1" spans="1:11">
      <c r="A1" s="615" t="s">
        <v>195</v>
      </c>
    </row>
    <row r="2" spans="1:11" s="611" customFormat="1" ht="8.25">
      <c r="A2" s="614"/>
      <c r="B2" s="613"/>
      <c r="C2" s="613"/>
      <c r="D2" s="613"/>
      <c r="E2" s="613"/>
      <c r="F2" s="613"/>
      <c r="G2" s="613"/>
      <c r="H2" s="613"/>
      <c r="I2" s="613"/>
      <c r="J2" s="613"/>
      <c r="K2" s="612"/>
    </row>
    <row r="3" spans="1:11" s="597" customFormat="1">
      <c r="A3" s="610" t="s">
        <v>133</v>
      </c>
      <c r="B3" s="609" t="s">
        <v>0</v>
      </c>
      <c r="C3" s="606"/>
      <c r="D3" s="608"/>
      <c r="E3" s="606" t="s">
        <v>132</v>
      </c>
      <c r="F3" s="607"/>
      <c r="G3" s="608"/>
      <c r="H3" s="606" t="s">
        <v>131</v>
      </c>
      <c r="I3" s="607"/>
      <c r="J3" s="606"/>
      <c r="K3" s="601"/>
    </row>
    <row r="4" spans="1:11" s="597" customFormat="1">
      <c r="A4" s="605" t="s">
        <v>130</v>
      </c>
      <c r="B4" s="604" t="s">
        <v>0</v>
      </c>
      <c r="C4" s="603" t="s">
        <v>1</v>
      </c>
      <c r="D4" s="603" t="s">
        <v>2</v>
      </c>
      <c r="E4" s="603" t="s">
        <v>0</v>
      </c>
      <c r="F4" s="603" t="s">
        <v>1</v>
      </c>
      <c r="G4" s="603" t="s">
        <v>2</v>
      </c>
      <c r="H4" s="603" t="s">
        <v>0</v>
      </c>
      <c r="I4" s="603" t="s">
        <v>1</v>
      </c>
      <c r="J4" s="602" t="s">
        <v>2</v>
      </c>
      <c r="K4" s="601"/>
    </row>
    <row r="5" spans="1:11" s="597" customFormat="1" ht="21.6" customHeight="1">
      <c r="A5" s="600" t="s">
        <v>129</v>
      </c>
      <c r="B5" s="599">
        <v>2487366</v>
      </c>
      <c r="C5" s="599">
        <v>1217075</v>
      </c>
      <c r="D5" s="599">
        <v>1270291</v>
      </c>
      <c r="E5" s="599">
        <v>644462</v>
      </c>
      <c r="F5" s="599">
        <v>309867</v>
      </c>
      <c r="G5" s="599">
        <v>334595</v>
      </c>
      <c r="H5" s="599">
        <v>1842904</v>
      </c>
      <c r="I5" s="599">
        <v>907208</v>
      </c>
      <c r="J5" s="598">
        <v>935696</v>
      </c>
      <c r="K5" s="584"/>
    </row>
    <row r="6" spans="1:11" ht="21.6" customHeight="1">
      <c r="A6" s="596" t="s">
        <v>128</v>
      </c>
      <c r="B6" s="592">
        <v>439857</v>
      </c>
      <c r="C6" s="591">
        <v>227592</v>
      </c>
      <c r="D6" s="591">
        <v>212265</v>
      </c>
      <c r="E6" s="592">
        <v>113857</v>
      </c>
      <c r="F6" s="591">
        <v>57945</v>
      </c>
      <c r="G6" s="591">
        <v>55912</v>
      </c>
      <c r="H6" s="592">
        <v>326000</v>
      </c>
      <c r="I6" s="591">
        <v>169647</v>
      </c>
      <c r="J6" s="581">
        <v>156353</v>
      </c>
    </row>
    <row r="7" spans="1:11" ht="21.6" customHeight="1">
      <c r="A7" s="595" t="s">
        <v>127</v>
      </c>
      <c r="B7" s="592">
        <v>116544</v>
      </c>
      <c r="C7" s="591">
        <v>60292</v>
      </c>
      <c r="D7" s="591">
        <v>56252</v>
      </c>
      <c r="E7" s="592">
        <v>30167</v>
      </c>
      <c r="F7" s="591">
        <v>15350</v>
      </c>
      <c r="G7" s="591">
        <v>14817</v>
      </c>
      <c r="H7" s="592">
        <v>86377</v>
      </c>
      <c r="I7" s="591">
        <v>44942</v>
      </c>
      <c r="J7" s="581">
        <v>41435</v>
      </c>
    </row>
    <row r="8" spans="1:11" ht="21.6" customHeight="1">
      <c r="A8" s="596" t="s">
        <v>126</v>
      </c>
      <c r="B8" s="592">
        <v>84086</v>
      </c>
      <c r="C8" s="591">
        <v>43160</v>
      </c>
      <c r="D8" s="591">
        <v>40926</v>
      </c>
      <c r="E8" s="592">
        <v>21769</v>
      </c>
      <c r="F8" s="591">
        <v>10989</v>
      </c>
      <c r="G8" s="591">
        <v>10780</v>
      </c>
      <c r="H8" s="592">
        <v>62317</v>
      </c>
      <c r="I8" s="591">
        <v>32171</v>
      </c>
      <c r="J8" s="581">
        <v>30146</v>
      </c>
    </row>
    <row r="9" spans="1:11" ht="21.6" customHeight="1">
      <c r="A9" s="595" t="s">
        <v>125</v>
      </c>
      <c r="B9" s="592">
        <v>230430</v>
      </c>
      <c r="C9" s="591">
        <v>116231</v>
      </c>
      <c r="D9" s="591">
        <v>114199</v>
      </c>
      <c r="E9" s="592">
        <v>59671</v>
      </c>
      <c r="F9" s="591">
        <v>29592</v>
      </c>
      <c r="G9" s="591">
        <v>30079</v>
      </c>
      <c r="H9" s="592">
        <v>170759</v>
      </c>
      <c r="I9" s="591">
        <v>86639</v>
      </c>
      <c r="J9" s="581">
        <v>84120</v>
      </c>
    </row>
    <row r="10" spans="1:11" ht="21.6" customHeight="1">
      <c r="A10" s="594" t="s">
        <v>124</v>
      </c>
      <c r="B10" s="592">
        <v>156863</v>
      </c>
      <c r="C10" s="591">
        <v>78866</v>
      </c>
      <c r="D10" s="591">
        <v>77997</v>
      </c>
      <c r="E10" s="592">
        <v>40624</v>
      </c>
      <c r="F10" s="591">
        <v>20079</v>
      </c>
      <c r="G10" s="591">
        <v>20545</v>
      </c>
      <c r="H10" s="592">
        <v>116239</v>
      </c>
      <c r="I10" s="591">
        <v>58787</v>
      </c>
      <c r="J10" s="581">
        <v>57452</v>
      </c>
    </row>
    <row r="11" spans="1:11" ht="21.6" customHeight="1">
      <c r="A11" s="594" t="s">
        <v>123</v>
      </c>
      <c r="B11" s="592">
        <v>120631</v>
      </c>
      <c r="C11" s="591">
        <v>62071</v>
      </c>
      <c r="D11" s="591">
        <v>58560</v>
      </c>
      <c r="E11" s="592">
        <v>31227</v>
      </c>
      <c r="F11" s="591">
        <v>15803</v>
      </c>
      <c r="G11" s="591">
        <v>15424</v>
      </c>
      <c r="H11" s="592">
        <v>89404</v>
      </c>
      <c r="I11" s="591">
        <v>46268</v>
      </c>
      <c r="J11" s="581">
        <v>43136</v>
      </c>
    </row>
    <row r="12" spans="1:11" ht="21.6" customHeight="1">
      <c r="A12" s="594" t="s">
        <v>122</v>
      </c>
      <c r="B12" s="592">
        <v>124569</v>
      </c>
      <c r="C12" s="591">
        <v>62071</v>
      </c>
      <c r="D12" s="591">
        <v>62498</v>
      </c>
      <c r="E12" s="592">
        <v>32265</v>
      </c>
      <c r="F12" s="591">
        <v>15803</v>
      </c>
      <c r="G12" s="591">
        <v>16462</v>
      </c>
      <c r="H12" s="592">
        <v>92304</v>
      </c>
      <c r="I12" s="591">
        <v>46268</v>
      </c>
      <c r="J12" s="581">
        <v>46036</v>
      </c>
    </row>
    <row r="13" spans="1:11" ht="21.6" customHeight="1">
      <c r="A13" s="594" t="s">
        <v>121</v>
      </c>
      <c r="B13" s="592">
        <v>356037</v>
      </c>
      <c r="C13" s="591">
        <v>169051</v>
      </c>
      <c r="D13" s="591">
        <v>186986</v>
      </c>
      <c r="E13" s="592">
        <v>92293</v>
      </c>
      <c r="F13" s="591">
        <v>43041</v>
      </c>
      <c r="G13" s="591">
        <v>49252</v>
      </c>
      <c r="H13" s="592">
        <v>263744</v>
      </c>
      <c r="I13" s="591">
        <v>126010</v>
      </c>
      <c r="J13" s="581">
        <v>137734</v>
      </c>
    </row>
    <row r="14" spans="1:11" ht="21.6" customHeight="1">
      <c r="A14" s="594" t="s">
        <v>120</v>
      </c>
      <c r="B14" s="592">
        <v>364505</v>
      </c>
      <c r="C14" s="591">
        <v>172945</v>
      </c>
      <c r="D14" s="591">
        <v>191560</v>
      </c>
      <c r="E14" s="592">
        <v>94490</v>
      </c>
      <c r="F14" s="591">
        <v>44032</v>
      </c>
      <c r="G14" s="591">
        <v>50458</v>
      </c>
      <c r="H14" s="592">
        <v>270015</v>
      </c>
      <c r="I14" s="591">
        <v>128913</v>
      </c>
      <c r="J14" s="581">
        <v>141102</v>
      </c>
    </row>
    <row r="15" spans="1:11" ht="21.6" customHeight="1">
      <c r="A15" s="589" t="s">
        <v>119</v>
      </c>
      <c r="B15" s="617">
        <v>493844</v>
      </c>
      <c r="C15" s="616">
        <v>224796</v>
      </c>
      <c r="D15" s="616">
        <v>269048</v>
      </c>
      <c r="E15" s="617">
        <v>128099</v>
      </c>
      <c r="F15" s="616">
        <v>57233</v>
      </c>
      <c r="G15" s="616">
        <v>70866</v>
      </c>
      <c r="H15" s="617">
        <v>365745</v>
      </c>
      <c r="I15" s="616">
        <v>167563</v>
      </c>
      <c r="J15" s="588">
        <v>198182</v>
      </c>
    </row>
    <row r="16" spans="1:11" ht="6" customHeight="1">
      <c r="A16" s="593"/>
      <c r="B16" s="590"/>
      <c r="C16" s="590"/>
      <c r="D16" s="590"/>
      <c r="E16" s="590"/>
      <c r="F16" s="590"/>
      <c r="G16" s="590"/>
      <c r="H16" s="590"/>
      <c r="I16" s="590"/>
      <c r="J16" s="590"/>
      <c r="K16" s="584"/>
    </row>
    <row r="17" spans="1:11" ht="21.2" customHeight="1">
      <c r="A17" s="587" t="s">
        <v>118</v>
      </c>
    </row>
    <row r="18" spans="1:11" ht="21.2" customHeight="1">
      <c r="A18" s="587" t="s">
        <v>117</v>
      </c>
    </row>
    <row r="19" spans="1:11" ht="21.6" customHeight="1">
      <c r="A19" s="586" t="s">
        <v>116</v>
      </c>
    </row>
    <row r="20" spans="1:11" ht="21.6" customHeight="1">
      <c r="A20" s="585"/>
    </row>
    <row r="21" spans="1:11" ht="21.6" customHeight="1">
      <c r="A21" s="585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583"/>
    </row>
    <row r="27" spans="1:11" ht="21.6" customHeight="1">
      <c r="K27" s="584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584"/>
    </row>
    <row r="39" spans="11:11" ht="21.6" customHeight="1"/>
    <row r="40" spans="11:11" ht="21.6" customHeight="1"/>
    <row r="41" spans="11:11" ht="21.6" customHeight="1"/>
    <row r="49" spans="11:11">
      <c r="K49" s="584"/>
    </row>
    <row r="60" spans="11:11">
      <c r="K60" s="583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90" zoomScaleNormal="90" workbookViewId="0">
      <pane xSplit="1" ySplit="4" topLeftCell="B5" activePane="bottomRight" state="frozen"/>
      <selection activeCell="C17" sqref="C17"/>
      <selection pane="topRight" activeCell="C17" sqref="C17"/>
      <selection pane="bottomLeft" activeCell="C17" sqref="C17"/>
      <selection pane="bottomRight" activeCell="B5" sqref="B5"/>
    </sheetView>
  </sheetViews>
  <sheetFormatPr defaultColWidth="16.85546875" defaultRowHeight="21.75"/>
  <cols>
    <col min="1" max="1" width="18.42578125" style="582" customWidth="1"/>
    <col min="2" max="10" width="13.140625" style="581" customWidth="1"/>
    <col min="11" max="11" width="16.85546875" style="580"/>
    <col min="12" max="16384" width="16.85546875" style="579"/>
  </cols>
  <sheetData>
    <row r="1" spans="1:11">
      <c r="A1" s="615" t="s">
        <v>196</v>
      </c>
    </row>
    <row r="3" spans="1:11" s="597" customFormat="1">
      <c r="A3" s="610" t="s">
        <v>133</v>
      </c>
      <c r="B3" s="609" t="s">
        <v>0</v>
      </c>
      <c r="C3" s="606"/>
      <c r="D3" s="608"/>
      <c r="E3" s="606" t="s">
        <v>132</v>
      </c>
      <c r="F3" s="607"/>
      <c r="G3" s="608"/>
      <c r="H3" s="606" t="s">
        <v>131</v>
      </c>
      <c r="I3" s="607"/>
      <c r="J3" s="606"/>
      <c r="K3" s="601"/>
    </row>
    <row r="4" spans="1:11" s="597" customFormat="1">
      <c r="A4" s="605" t="s">
        <v>130</v>
      </c>
      <c r="B4" s="604" t="s">
        <v>0</v>
      </c>
      <c r="C4" s="603" t="s">
        <v>1</v>
      </c>
      <c r="D4" s="603" t="s">
        <v>2</v>
      </c>
      <c r="E4" s="603" t="s">
        <v>0</v>
      </c>
      <c r="F4" s="603" t="s">
        <v>1</v>
      </c>
      <c r="G4" s="603" t="s">
        <v>2</v>
      </c>
      <c r="H4" s="603" t="s">
        <v>0</v>
      </c>
      <c r="I4" s="603" t="s">
        <v>1</v>
      </c>
      <c r="J4" s="602" t="s">
        <v>2</v>
      </c>
      <c r="K4" s="601"/>
    </row>
    <row r="5" spans="1:11" s="597" customFormat="1" ht="21.6" customHeight="1">
      <c r="A5" s="600" t="s">
        <v>129</v>
      </c>
      <c r="B5" s="599">
        <v>2485916</v>
      </c>
      <c r="C5" s="599">
        <v>1216164</v>
      </c>
      <c r="D5" s="599">
        <v>1269752</v>
      </c>
      <c r="E5" s="599">
        <v>644088</v>
      </c>
      <c r="F5" s="599">
        <v>309635</v>
      </c>
      <c r="G5" s="599">
        <v>334453</v>
      </c>
      <c r="H5" s="599">
        <v>1841828</v>
      </c>
      <c r="I5" s="599">
        <v>906529</v>
      </c>
      <c r="J5" s="598">
        <v>935299</v>
      </c>
      <c r="K5" s="584"/>
    </row>
    <row r="6" spans="1:11" ht="21.6" customHeight="1">
      <c r="A6" s="596" t="s">
        <v>128</v>
      </c>
      <c r="B6" s="592">
        <v>437365</v>
      </c>
      <c r="C6" s="591">
        <v>226330</v>
      </c>
      <c r="D6" s="591">
        <v>211035</v>
      </c>
      <c r="E6" s="592">
        <v>113211</v>
      </c>
      <c r="F6" s="591">
        <v>57624</v>
      </c>
      <c r="G6" s="591">
        <v>55587</v>
      </c>
      <c r="H6" s="592">
        <v>324154</v>
      </c>
      <c r="I6" s="591">
        <v>168706</v>
      </c>
      <c r="J6" s="581">
        <v>155448</v>
      </c>
    </row>
    <row r="7" spans="1:11" ht="21.6" customHeight="1">
      <c r="A7" s="595" t="s">
        <v>127</v>
      </c>
      <c r="B7" s="592">
        <v>115610</v>
      </c>
      <c r="C7" s="591">
        <v>59806</v>
      </c>
      <c r="D7" s="591">
        <v>55804</v>
      </c>
      <c r="E7" s="592">
        <v>29925</v>
      </c>
      <c r="F7" s="591">
        <v>15226</v>
      </c>
      <c r="G7" s="591">
        <v>14699</v>
      </c>
      <c r="H7" s="592">
        <v>85685</v>
      </c>
      <c r="I7" s="591">
        <v>44580</v>
      </c>
      <c r="J7" s="581">
        <v>41105</v>
      </c>
    </row>
    <row r="8" spans="1:11" ht="21.6" customHeight="1">
      <c r="A8" s="596" t="s">
        <v>126</v>
      </c>
      <c r="B8" s="592">
        <v>83656</v>
      </c>
      <c r="C8" s="591">
        <v>42960</v>
      </c>
      <c r="D8" s="591">
        <v>40696</v>
      </c>
      <c r="E8" s="592">
        <v>21657</v>
      </c>
      <c r="F8" s="591">
        <v>10938</v>
      </c>
      <c r="G8" s="591">
        <v>10719</v>
      </c>
      <c r="H8" s="592">
        <v>61999</v>
      </c>
      <c r="I8" s="591">
        <v>32022</v>
      </c>
      <c r="J8" s="581">
        <v>29977</v>
      </c>
    </row>
    <row r="9" spans="1:11" ht="21.6" customHeight="1">
      <c r="A9" s="595" t="s">
        <v>125</v>
      </c>
      <c r="B9" s="592">
        <v>231031</v>
      </c>
      <c r="C9" s="591">
        <v>116752</v>
      </c>
      <c r="D9" s="591">
        <v>114279</v>
      </c>
      <c r="E9" s="592">
        <v>59827</v>
      </c>
      <c r="F9" s="591">
        <v>29725</v>
      </c>
      <c r="G9" s="591">
        <v>30102</v>
      </c>
      <c r="H9" s="592">
        <v>171204</v>
      </c>
      <c r="I9" s="591">
        <v>87027</v>
      </c>
      <c r="J9" s="581">
        <v>84177</v>
      </c>
    </row>
    <row r="10" spans="1:11" ht="21.6" customHeight="1">
      <c r="A10" s="594" t="s">
        <v>124</v>
      </c>
      <c r="B10" s="592">
        <v>159757</v>
      </c>
      <c r="C10" s="591">
        <v>80144</v>
      </c>
      <c r="D10" s="591">
        <v>79613</v>
      </c>
      <c r="E10" s="592">
        <v>41375</v>
      </c>
      <c r="F10" s="591">
        <v>20405</v>
      </c>
      <c r="G10" s="591">
        <v>20970</v>
      </c>
      <c r="H10" s="592">
        <v>118382</v>
      </c>
      <c r="I10" s="591">
        <v>59739</v>
      </c>
      <c r="J10" s="581">
        <v>58643</v>
      </c>
    </row>
    <row r="11" spans="1:11" ht="21.6" customHeight="1">
      <c r="A11" s="594" t="s">
        <v>123</v>
      </c>
      <c r="B11" s="592">
        <v>120062</v>
      </c>
      <c r="C11" s="591">
        <v>61781</v>
      </c>
      <c r="D11" s="591">
        <v>58281</v>
      </c>
      <c r="E11" s="592">
        <v>31080</v>
      </c>
      <c r="F11" s="591">
        <v>15729</v>
      </c>
      <c r="G11" s="591">
        <v>15351</v>
      </c>
      <c r="H11" s="592">
        <v>88982</v>
      </c>
      <c r="I11" s="591">
        <v>46052</v>
      </c>
      <c r="J11" s="581">
        <v>42930</v>
      </c>
    </row>
    <row r="12" spans="1:11" ht="21.6" customHeight="1">
      <c r="A12" s="594" t="s">
        <v>122</v>
      </c>
      <c r="B12" s="592">
        <v>121878</v>
      </c>
      <c r="C12" s="591">
        <v>60931</v>
      </c>
      <c r="D12" s="591">
        <v>60947</v>
      </c>
      <c r="E12" s="592">
        <v>31566</v>
      </c>
      <c r="F12" s="591">
        <v>15513</v>
      </c>
      <c r="G12" s="591">
        <v>16053</v>
      </c>
      <c r="H12" s="592">
        <v>90312</v>
      </c>
      <c r="I12" s="591">
        <v>45418</v>
      </c>
      <c r="J12" s="581">
        <v>44894</v>
      </c>
    </row>
    <row r="13" spans="1:11" ht="21.6" customHeight="1">
      <c r="A13" s="594" t="s">
        <v>121</v>
      </c>
      <c r="B13" s="592">
        <v>352106</v>
      </c>
      <c r="C13" s="591">
        <v>167102</v>
      </c>
      <c r="D13" s="591">
        <v>185004</v>
      </c>
      <c r="E13" s="592">
        <v>91275</v>
      </c>
      <c r="F13" s="591">
        <v>42544</v>
      </c>
      <c r="G13" s="591">
        <v>48731</v>
      </c>
      <c r="H13" s="592">
        <v>260831</v>
      </c>
      <c r="I13" s="591">
        <v>124558</v>
      </c>
      <c r="J13" s="581">
        <v>136273</v>
      </c>
    </row>
    <row r="14" spans="1:11" ht="21.6" customHeight="1">
      <c r="A14" s="593" t="s">
        <v>120</v>
      </c>
      <c r="B14" s="592">
        <v>365661</v>
      </c>
      <c r="C14" s="591">
        <v>173422</v>
      </c>
      <c r="D14" s="591">
        <v>192239</v>
      </c>
      <c r="E14" s="592">
        <v>94787</v>
      </c>
      <c r="F14" s="591">
        <v>44153</v>
      </c>
      <c r="G14" s="591">
        <v>50634</v>
      </c>
      <c r="H14" s="592">
        <v>270874</v>
      </c>
      <c r="I14" s="591">
        <v>129269</v>
      </c>
      <c r="J14" s="590">
        <v>141605</v>
      </c>
    </row>
    <row r="15" spans="1:11" ht="21.6" customHeight="1">
      <c r="A15" s="589" t="s">
        <v>119</v>
      </c>
      <c r="B15" s="617">
        <v>498790</v>
      </c>
      <c r="C15" s="616">
        <v>226936</v>
      </c>
      <c r="D15" s="616">
        <v>271854</v>
      </c>
      <c r="E15" s="617">
        <v>129385</v>
      </c>
      <c r="F15" s="616">
        <v>57778</v>
      </c>
      <c r="G15" s="616">
        <v>71607</v>
      </c>
      <c r="H15" s="617">
        <v>369405</v>
      </c>
      <c r="I15" s="616">
        <v>169158</v>
      </c>
      <c r="J15" s="588">
        <v>200247</v>
      </c>
    </row>
    <row r="16" spans="1:11" ht="6" customHeight="1">
      <c r="A16" s="593"/>
      <c r="B16" s="590"/>
      <c r="C16" s="590"/>
      <c r="D16" s="590"/>
      <c r="E16" s="590"/>
      <c r="F16" s="590"/>
      <c r="G16" s="590"/>
      <c r="H16" s="590"/>
      <c r="I16" s="590"/>
      <c r="J16" s="590"/>
      <c r="K16" s="584"/>
    </row>
    <row r="17" spans="1:11" ht="21.2" customHeight="1">
      <c r="A17" s="620" t="s">
        <v>118</v>
      </c>
    </row>
    <row r="18" spans="1:11" ht="21.2" customHeight="1">
      <c r="A18" s="620" t="s">
        <v>117</v>
      </c>
    </row>
    <row r="19" spans="1:11" ht="21.6" customHeight="1">
      <c r="A19" s="619" t="s">
        <v>116</v>
      </c>
    </row>
    <row r="20" spans="1:11" ht="21.6" customHeight="1">
      <c r="A20" s="618"/>
    </row>
    <row r="21" spans="1:11" ht="21.6" customHeight="1">
      <c r="A21" s="618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583"/>
    </row>
    <row r="27" spans="1:11" ht="21.6" customHeight="1">
      <c r="K27" s="584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584"/>
    </row>
    <row r="39" spans="11:11" ht="21.6" customHeight="1"/>
    <row r="40" spans="11:11" ht="21.6" customHeight="1"/>
    <row r="41" spans="11:11" ht="21.6" customHeight="1"/>
    <row r="49" spans="11:11">
      <c r="K49" s="584"/>
    </row>
    <row r="60" spans="11:11">
      <c r="K60" s="583"/>
    </row>
  </sheetData>
  <pageMargins left="0.2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zoomScale="60" zoomScaleNormal="60" workbookViewId="0">
      <pane xSplit="1" ySplit="3" topLeftCell="AH17" activePane="bottomRight" state="frozen"/>
      <selection pane="topRight" activeCell="B1" sqref="B1"/>
      <selection pane="bottomLeft" activeCell="A4" sqref="A4"/>
      <selection pane="bottomRight" activeCell="AK31" sqref="AK31"/>
    </sheetView>
  </sheetViews>
  <sheetFormatPr defaultColWidth="8.140625" defaultRowHeight="23.25"/>
  <cols>
    <col min="1" max="1" width="45.42578125" style="370" customWidth="1"/>
    <col min="2" max="3" width="11" style="370" customWidth="1"/>
    <col min="4" max="4" width="7.85546875" style="370" customWidth="1"/>
    <col min="5" max="15" width="10.5703125" style="370" customWidth="1"/>
    <col min="16" max="16" width="10.5703125" style="373" customWidth="1"/>
    <col min="17" max="17" width="11.28515625" style="370" customWidth="1"/>
    <col min="18" max="24" width="10.5703125" style="370" customWidth="1"/>
    <col min="25" max="25" width="10.85546875" style="370" customWidth="1"/>
    <col min="26" max="27" width="10.85546875" style="372" customWidth="1"/>
    <col min="28" max="28" width="10.42578125" style="372" customWidth="1"/>
    <col min="29" max="31" width="10.42578125" style="371" customWidth="1"/>
    <col min="32" max="34" width="10.85546875" style="371" customWidth="1"/>
    <col min="35" max="35" width="10.42578125" style="371" customWidth="1"/>
    <col min="36" max="37" width="11.140625" style="371" customWidth="1"/>
    <col min="38" max="38" width="10.85546875" style="637" customWidth="1"/>
    <col min="39" max="39" width="10.42578125" style="637" customWidth="1"/>
    <col min="40" max="41" width="11.140625" style="637" customWidth="1"/>
    <col min="42" max="16384" width="8.140625" style="370"/>
  </cols>
  <sheetData>
    <row r="1" spans="1:41" s="420" customFormat="1" ht="27.75">
      <c r="A1" s="423" t="s">
        <v>169</v>
      </c>
      <c r="B1" s="423"/>
      <c r="C1" s="423"/>
      <c r="D1" s="423"/>
      <c r="E1" s="423"/>
      <c r="F1" s="423"/>
      <c r="J1" s="423"/>
      <c r="N1" s="370"/>
      <c r="P1" s="422"/>
      <c r="Q1" s="370"/>
      <c r="R1" s="370"/>
      <c r="S1" s="370"/>
      <c r="T1" s="370"/>
      <c r="U1" s="370"/>
      <c r="V1" s="370"/>
      <c r="W1" s="370"/>
      <c r="X1" s="370"/>
      <c r="Y1" s="370"/>
      <c r="Z1" s="421"/>
      <c r="AA1" s="421"/>
      <c r="AB1" s="421"/>
      <c r="AC1" s="415"/>
      <c r="AD1" s="414"/>
      <c r="AE1" s="414"/>
      <c r="AF1" s="414"/>
      <c r="AG1" s="414"/>
      <c r="AH1" s="638"/>
      <c r="AI1" s="638"/>
      <c r="AJ1" s="638"/>
      <c r="AK1" s="638"/>
      <c r="AL1" s="638"/>
      <c r="AM1" s="638"/>
      <c r="AN1" s="638"/>
      <c r="AO1" s="638"/>
    </row>
    <row r="2" spans="1:41" ht="7.5" customHeight="1">
      <c r="A2" s="419"/>
      <c r="B2" s="417"/>
      <c r="C2" s="417"/>
      <c r="D2" s="417"/>
      <c r="E2" s="418"/>
      <c r="F2" s="417"/>
      <c r="J2" s="417"/>
      <c r="P2" s="416"/>
      <c r="AC2" s="415"/>
      <c r="AD2" s="414"/>
      <c r="AE2" s="414"/>
      <c r="AF2" s="414"/>
      <c r="AG2" s="414"/>
      <c r="AH2" s="638"/>
      <c r="AI2" s="638"/>
      <c r="AJ2" s="638"/>
      <c r="AK2" s="638"/>
      <c r="AL2" s="638"/>
      <c r="AM2" s="638"/>
      <c r="AN2" s="638"/>
      <c r="AO2" s="638"/>
    </row>
    <row r="3" spans="1:41" ht="19.5" customHeight="1">
      <c r="A3" s="656" t="s">
        <v>3</v>
      </c>
      <c r="B3" s="413"/>
      <c r="C3" s="658" t="s">
        <v>162</v>
      </c>
      <c r="D3" s="658"/>
      <c r="E3" s="658"/>
      <c r="F3" s="658" t="s">
        <v>161</v>
      </c>
      <c r="G3" s="658"/>
      <c r="H3" s="658"/>
      <c r="I3" s="658"/>
      <c r="J3" s="653" t="s">
        <v>160</v>
      </c>
      <c r="K3" s="653"/>
      <c r="L3" s="653"/>
      <c r="M3" s="653"/>
      <c r="N3" s="653" t="s">
        <v>159</v>
      </c>
      <c r="O3" s="653"/>
      <c r="P3" s="653"/>
      <c r="Q3" s="653"/>
      <c r="R3" s="653" t="s">
        <v>158</v>
      </c>
      <c r="S3" s="653"/>
      <c r="T3" s="653"/>
      <c r="U3" s="653"/>
      <c r="V3" s="653" t="s">
        <v>157</v>
      </c>
      <c r="W3" s="653"/>
      <c r="X3" s="653"/>
      <c r="Y3" s="653"/>
      <c r="Z3" s="653" t="s">
        <v>156</v>
      </c>
      <c r="AA3" s="653"/>
      <c r="AB3" s="653"/>
      <c r="AC3" s="653"/>
      <c r="AD3" s="653" t="s">
        <v>155</v>
      </c>
      <c r="AE3" s="653"/>
      <c r="AF3" s="653"/>
      <c r="AG3" s="653"/>
      <c r="AH3" s="653" t="s">
        <v>154</v>
      </c>
      <c r="AI3" s="653"/>
      <c r="AJ3" s="653"/>
      <c r="AK3" s="653"/>
      <c r="AL3" s="653" t="s">
        <v>197</v>
      </c>
      <c r="AM3" s="653"/>
      <c r="AN3" s="653"/>
      <c r="AO3" s="653"/>
    </row>
    <row r="4" spans="1:41" ht="21.75">
      <c r="A4" s="657"/>
      <c r="B4" s="410" t="s">
        <v>153</v>
      </c>
      <c r="C4" s="410" t="s">
        <v>152</v>
      </c>
      <c r="D4" s="411" t="s">
        <v>151</v>
      </c>
      <c r="E4" s="410" t="s">
        <v>150</v>
      </c>
      <c r="F4" s="412" t="s">
        <v>153</v>
      </c>
      <c r="G4" s="410" t="s">
        <v>152</v>
      </c>
      <c r="H4" s="412" t="s">
        <v>151</v>
      </c>
      <c r="I4" s="412" t="s">
        <v>150</v>
      </c>
      <c r="J4" s="410" t="s">
        <v>153</v>
      </c>
      <c r="K4" s="410" t="s">
        <v>152</v>
      </c>
      <c r="L4" s="411" t="s">
        <v>168</v>
      </c>
      <c r="M4" s="410" t="s">
        <v>150</v>
      </c>
      <c r="N4" s="409" t="s">
        <v>153</v>
      </c>
      <c r="O4" s="409" t="s">
        <v>152</v>
      </c>
      <c r="P4" s="409" t="s">
        <v>151</v>
      </c>
      <c r="Q4" s="409" t="s">
        <v>150</v>
      </c>
      <c r="R4" s="409" t="s">
        <v>153</v>
      </c>
      <c r="S4" s="409" t="s">
        <v>152</v>
      </c>
      <c r="T4" s="409" t="s">
        <v>151</v>
      </c>
      <c r="U4" s="409" t="s">
        <v>150</v>
      </c>
      <c r="V4" s="409" t="s">
        <v>153</v>
      </c>
      <c r="W4" s="409" t="s">
        <v>152</v>
      </c>
      <c r="X4" s="409" t="s">
        <v>151</v>
      </c>
      <c r="Y4" s="409" t="s">
        <v>150</v>
      </c>
      <c r="Z4" s="409" t="s">
        <v>153</v>
      </c>
      <c r="AA4" s="409" t="s">
        <v>152</v>
      </c>
      <c r="AB4" s="409" t="s">
        <v>151</v>
      </c>
      <c r="AC4" s="409" t="s">
        <v>150</v>
      </c>
      <c r="AD4" s="409" t="s">
        <v>153</v>
      </c>
      <c r="AE4" s="409" t="s">
        <v>152</v>
      </c>
      <c r="AF4" s="409" t="s">
        <v>151</v>
      </c>
      <c r="AG4" s="409" t="s">
        <v>150</v>
      </c>
      <c r="AH4" s="409" t="s">
        <v>153</v>
      </c>
      <c r="AI4" s="409" t="s">
        <v>152</v>
      </c>
      <c r="AJ4" s="409" t="s">
        <v>151</v>
      </c>
      <c r="AK4" s="409" t="s">
        <v>150</v>
      </c>
      <c r="AL4" s="410" t="s">
        <v>153</v>
      </c>
      <c r="AM4" s="410" t="s">
        <v>152</v>
      </c>
      <c r="AN4" s="410" t="s">
        <v>151</v>
      </c>
      <c r="AO4" s="410" t="s">
        <v>150</v>
      </c>
    </row>
    <row r="5" spans="1:41" s="392" customFormat="1" ht="18.75" customHeight="1">
      <c r="A5" s="654" t="s">
        <v>21</v>
      </c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N5" s="370"/>
      <c r="P5" s="408"/>
      <c r="Z5" s="407"/>
      <c r="AA5" s="407"/>
      <c r="AB5" s="407"/>
      <c r="AC5" s="406"/>
      <c r="AD5" s="405"/>
      <c r="AE5" s="405"/>
      <c r="AF5" s="405"/>
      <c r="AG5" s="405"/>
      <c r="AH5" s="405"/>
      <c r="AI5" s="405"/>
      <c r="AJ5" s="405"/>
      <c r="AK5" s="405"/>
      <c r="AL5" s="635"/>
      <c r="AM5" s="635"/>
      <c r="AN5" s="635"/>
      <c r="AO5" s="635"/>
    </row>
    <row r="6" spans="1:41" ht="24">
      <c r="A6" s="404" t="s">
        <v>38</v>
      </c>
      <c r="B6" s="403">
        <v>1463504</v>
      </c>
      <c r="C6" s="401">
        <v>1463504</v>
      </c>
      <c r="D6" s="383">
        <v>0</v>
      </c>
      <c r="E6" s="401">
        <v>1554713</v>
      </c>
      <c r="F6" s="401">
        <v>1444247</v>
      </c>
      <c r="G6" s="401">
        <v>1502082.64</v>
      </c>
      <c r="H6" s="401">
        <v>1568700</v>
      </c>
      <c r="I6" s="401">
        <v>1596453</v>
      </c>
      <c r="J6" s="401">
        <v>1473724.65</v>
      </c>
      <c r="K6" s="402">
        <v>1558329.53</v>
      </c>
      <c r="L6" s="402">
        <v>1603167.91</v>
      </c>
      <c r="M6" s="402">
        <v>1616084</v>
      </c>
      <c r="N6" s="402">
        <v>1503381</v>
      </c>
      <c r="O6" s="402">
        <v>1501983</v>
      </c>
      <c r="P6" s="402">
        <v>1599586</v>
      </c>
      <c r="Q6" s="402">
        <v>1588286</v>
      </c>
      <c r="R6" s="402">
        <v>1349508</v>
      </c>
      <c r="S6" s="402">
        <v>1397340.87</v>
      </c>
      <c r="T6" s="402">
        <v>1405156</v>
      </c>
      <c r="U6" s="402">
        <v>1416408</v>
      </c>
      <c r="V6" s="402">
        <v>1362575.88</v>
      </c>
      <c r="W6" s="402">
        <v>1368351.78</v>
      </c>
      <c r="X6" s="402">
        <v>1366251.5</v>
      </c>
      <c r="Y6" s="402">
        <v>1389717.13</v>
      </c>
      <c r="Z6" s="402">
        <v>1280208.7</v>
      </c>
      <c r="AA6" s="402">
        <v>1281017.6100000001</v>
      </c>
      <c r="AB6" s="402">
        <v>1332622.46</v>
      </c>
      <c r="AC6" s="402">
        <v>1315215.74</v>
      </c>
      <c r="AD6" s="402">
        <v>1244459</v>
      </c>
      <c r="AE6" s="402">
        <v>1264250</v>
      </c>
      <c r="AF6" s="402">
        <v>1361389</v>
      </c>
      <c r="AG6" s="402">
        <v>1306822.97</v>
      </c>
      <c r="AH6" s="402">
        <v>1236358</v>
      </c>
      <c r="AI6" s="402">
        <v>1252549</v>
      </c>
      <c r="AJ6" s="402">
        <v>1299811</v>
      </c>
      <c r="AK6" s="402">
        <v>1263081</v>
      </c>
      <c r="AL6" s="402">
        <v>1184151</v>
      </c>
      <c r="AM6" s="402">
        <v>1171095</v>
      </c>
      <c r="AN6" s="402">
        <v>1164344</v>
      </c>
      <c r="AO6" s="402">
        <v>1198717</v>
      </c>
    </row>
    <row r="7" spans="1:41" ht="4.5" customHeight="1">
      <c r="A7" s="390"/>
      <c r="B7" s="401"/>
      <c r="C7" s="401"/>
      <c r="D7" s="402"/>
      <c r="E7" s="401"/>
      <c r="F7" s="401"/>
      <c r="G7" s="387"/>
      <c r="H7" s="401"/>
      <c r="I7" s="401"/>
      <c r="J7" s="401"/>
      <c r="K7" s="400"/>
      <c r="L7" s="400"/>
      <c r="P7" s="370"/>
      <c r="Q7" s="390"/>
      <c r="R7" s="401"/>
      <c r="S7" s="401"/>
      <c r="T7" s="402"/>
      <c r="U7" s="401"/>
      <c r="V7" s="401"/>
      <c r="W7" s="401"/>
      <c r="X7" s="402"/>
      <c r="Y7" s="401"/>
      <c r="Z7" s="393"/>
      <c r="AA7" s="393"/>
      <c r="AB7" s="393"/>
      <c r="AC7" s="393"/>
      <c r="AD7" s="393"/>
      <c r="AE7" s="393"/>
      <c r="AF7" s="393"/>
      <c r="AG7" s="393"/>
      <c r="AH7" s="393"/>
      <c r="AI7" s="393"/>
      <c r="AJ7" s="393"/>
      <c r="AK7" s="393"/>
      <c r="AL7" s="393"/>
      <c r="AM7" s="393"/>
      <c r="AN7" s="393"/>
      <c r="AO7" s="393"/>
    </row>
    <row r="8" spans="1:41">
      <c r="A8" s="385" t="s">
        <v>55</v>
      </c>
      <c r="B8" s="388"/>
      <c r="C8" s="388"/>
      <c r="D8" s="383"/>
      <c r="E8" s="388"/>
      <c r="F8" s="388"/>
      <c r="G8" s="387"/>
      <c r="H8" s="388"/>
      <c r="I8" s="388"/>
      <c r="J8" s="388"/>
      <c r="K8" s="400"/>
      <c r="L8" s="400"/>
      <c r="P8" s="370"/>
      <c r="Q8" s="385"/>
      <c r="R8" s="388"/>
      <c r="S8" s="388"/>
      <c r="T8" s="383"/>
      <c r="U8" s="388"/>
      <c r="V8" s="388"/>
      <c r="W8" s="388"/>
      <c r="X8" s="383"/>
      <c r="Y8" s="388"/>
      <c r="Z8" s="393"/>
      <c r="AA8" s="393"/>
      <c r="AB8" s="393"/>
      <c r="AC8" s="393"/>
      <c r="AD8" s="393"/>
      <c r="AE8" s="393"/>
      <c r="AF8" s="393"/>
      <c r="AG8" s="393"/>
      <c r="AH8" s="393"/>
      <c r="AI8" s="393"/>
      <c r="AJ8" s="393"/>
      <c r="AK8" s="393"/>
      <c r="AL8" s="393"/>
      <c r="AM8" s="393"/>
      <c r="AN8" s="393"/>
      <c r="AO8" s="393"/>
    </row>
    <row r="9" spans="1:41">
      <c r="A9" s="385" t="s">
        <v>54</v>
      </c>
      <c r="B9" s="388">
        <v>38360</v>
      </c>
      <c r="C9" s="388">
        <v>38360</v>
      </c>
      <c r="D9" s="383">
        <v>0</v>
      </c>
      <c r="E9" s="388">
        <v>21189</v>
      </c>
      <c r="F9" s="388">
        <v>36599.089999999997</v>
      </c>
      <c r="G9" s="388">
        <v>39584.29</v>
      </c>
      <c r="H9" s="388">
        <v>23571</v>
      </c>
      <c r="I9" s="388">
        <v>28343.31</v>
      </c>
      <c r="J9" s="388">
        <v>44046.35</v>
      </c>
      <c r="K9" s="396">
        <v>36526.33</v>
      </c>
      <c r="L9" s="396">
        <v>47623.89</v>
      </c>
      <c r="M9" s="396">
        <v>47938</v>
      </c>
      <c r="N9" s="396">
        <v>46256</v>
      </c>
      <c r="O9" s="396">
        <v>45477</v>
      </c>
      <c r="P9" s="396">
        <v>123528</v>
      </c>
      <c r="Q9" s="396">
        <v>49091</v>
      </c>
      <c r="R9" s="396">
        <v>43562</v>
      </c>
      <c r="S9" s="396">
        <v>52138</v>
      </c>
      <c r="T9" s="396">
        <v>36867</v>
      </c>
      <c r="U9" s="397">
        <v>43484</v>
      </c>
      <c r="V9" s="396">
        <v>36966.080000000002</v>
      </c>
      <c r="W9" s="396">
        <v>27444.83</v>
      </c>
      <c r="X9" s="396">
        <v>31118.29</v>
      </c>
      <c r="Y9" s="396">
        <v>25460.17</v>
      </c>
      <c r="Z9" s="396">
        <v>37339.870000000003</v>
      </c>
      <c r="AA9" s="396">
        <v>36795.26</v>
      </c>
      <c r="AB9" s="396">
        <v>28395.200000000001</v>
      </c>
      <c r="AC9" s="396">
        <v>29694.63</v>
      </c>
      <c r="AD9" s="396">
        <v>36036</v>
      </c>
      <c r="AE9" s="396">
        <v>45374</v>
      </c>
      <c r="AF9" s="396">
        <v>36411</v>
      </c>
      <c r="AG9" s="396">
        <v>25540.799999999999</v>
      </c>
      <c r="AH9" s="396">
        <v>29215</v>
      </c>
      <c r="AI9" s="396">
        <v>25549</v>
      </c>
      <c r="AJ9" s="396">
        <v>27363</v>
      </c>
      <c r="AK9" s="396">
        <v>33548</v>
      </c>
      <c r="AL9" s="396">
        <v>38862</v>
      </c>
      <c r="AM9" s="396">
        <v>35053</v>
      </c>
      <c r="AN9" s="396">
        <v>30501</v>
      </c>
      <c r="AO9" s="396">
        <v>41275</v>
      </c>
    </row>
    <row r="10" spans="1:41">
      <c r="A10" s="385" t="s">
        <v>53</v>
      </c>
      <c r="B10" s="388">
        <v>41042</v>
      </c>
      <c r="C10" s="388">
        <v>41042</v>
      </c>
      <c r="D10" s="383">
        <v>0</v>
      </c>
      <c r="E10" s="388">
        <v>47585</v>
      </c>
      <c r="F10" s="388">
        <v>69271.08</v>
      </c>
      <c r="G10" s="388">
        <v>69273.240000000005</v>
      </c>
      <c r="H10" s="388">
        <v>77277</v>
      </c>
      <c r="I10" s="388">
        <f>ROUNDUP(62141.42,0)</f>
        <v>62142</v>
      </c>
      <c r="J10" s="388">
        <v>88159.54</v>
      </c>
      <c r="K10" s="396">
        <v>64559.02</v>
      </c>
      <c r="L10" s="396">
        <v>71653.820000000007</v>
      </c>
      <c r="M10" s="396">
        <v>94059</v>
      </c>
      <c r="N10" s="396">
        <v>63976</v>
      </c>
      <c r="O10" s="396">
        <v>57220</v>
      </c>
      <c r="P10" s="396">
        <v>69245</v>
      </c>
      <c r="Q10" s="396">
        <v>63539</v>
      </c>
      <c r="R10" s="396">
        <v>51027</v>
      </c>
      <c r="S10" s="396">
        <v>49243</v>
      </c>
      <c r="T10" s="396">
        <v>49866</v>
      </c>
      <c r="U10" s="397">
        <v>49008</v>
      </c>
      <c r="V10" s="396">
        <v>46305.74</v>
      </c>
      <c r="W10" s="396">
        <v>36882.71</v>
      </c>
      <c r="X10" s="396">
        <v>38179.71</v>
      </c>
      <c r="Y10" s="396">
        <v>60418.34</v>
      </c>
      <c r="Z10" s="396">
        <v>57938.45</v>
      </c>
      <c r="AA10" s="396">
        <v>39692.92</v>
      </c>
      <c r="AB10" s="396">
        <v>44307.14</v>
      </c>
      <c r="AC10" s="396">
        <v>55513.05</v>
      </c>
      <c r="AD10" s="396">
        <v>58900</v>
      </c>
      <c r="AE10" s="396">
        <v>53102</v>
      </c>
      <c r="AF10" s="396">
        <v>50072</v>
      </c>
      <c r="AG10" s="396">
        <v>46193.19</v>
      </c>
      <c r="AH10" s="396">
        <v>45643</v>
      </c>
      <c r="AI10" s="396">
        <v>54259</v>
      </c>
      <c r="AJ10" s="396">
        <v>60253</v>
      </c>
      <c r="AK10" s="396">
        <v>36974</v>
      </c>
      <c r="AL10" s="396">
        <v>52150</v>
      </c>
      <c r="AM10" s="396">
        <v>50056</v>
      </c>
      <c r="AN10" s="396">
        <v>56131</v>
      </c>
      <c r="AO10" s="396">
        <v>51882</v>
      </c>
    </row>
    <row r="11" spans="1:41">
      <c r="A11" s="385" t="s">
        <v>52</v>
      </c>
      <c r="B11" s="388"/>
      <c r="C11" s="388"/>
      <c r="D11" s="383"/>
      <c r="E11" s="388"/>
      <c r="F11" s="388"/>
      <c r="G11" s="388"/>
      <c r="H11" s="388"/>
      <c r="I11" s="388"/>
      <c r="J11" s="388"/>
      <c r="K11" s="396"/>
      <c r="L11" s="396"/>
      <c r="M11" s="396"/>
      <c r="N11" s="396"/>
      <c r="O11" s="396"/>
      <c r="P11" s="396" t="s">
        <v>166</v>
      </c>
      <c r="Q11" s="396"/>
      <c r="R11" s="396"/>
      <c r="S11" s="396"/>
      <c r="T11" s="396"/>
      <c r="U11" s="399"/>
      <c r="V11" s="396"/>
      <c r="W11" s="396"/>
      <c r="X11" s="396"/>
      <c r="Y11" s="396"/>
      <c r="Z11" s="396"/>
      <c r="AA11" s="396"/>
      <c r="AB11" s="396"/>
      <c r="AC11" s="396"/>
      <c r="AD11" s="396"/>
      <c r="AE11" s="396"/>
      <c r="AF11" s="396"/>
      <c r="AG11" s="396"/>
      <c r="AH11" s="396"/>
      <c r="AI11" s="396"/>
      <c r="AJ11" s="396"/>
      <c r="AK11" s="396"/>
      <c r="AL11" s="396"/>
      <c r="AM11" s="396"/>
      <c r="AN11" s="396"/>
      <c r="AO11" s="396"/>
    </row>
    <row r="12" spans="1:41">
      <c r="A12" s="385" t="s">
        <v>51</v>
      </c>
      <c r="B12" s="388">
        <v>30921</v>
      </c>
      <c r="C12" s="388">
        <v>30922</v>
      </c>
      <c r="D12" s="383">
        <v>0</v>
      </c>
      <c r="E12" s="388">
        <v>36393</v>
      </c>
      <c r="F12" s="388">
        <v>43505.51</v>
      </c>
      <c r="G12" s="388">
        <v>43111.32</v>
      </c>
      <c r="H12" s="388">
        <v>35857</v>
      </c>
      <c r="I12" s="388">
        <v>41702.97</v>
      </c>
      <c r="J12" s="388">
        <v>34486.68</v>
      </c>
      <c r="K12" s="396">
        <v>34240.15</v>
      </c>
      <c r="L12" s="396">
        <v>24552.84</v>
      </c>
      <c r="M12" s="396">
        <v>33523</v>
      </c>
      <c r="N12" s="396">
        <v>50935</v>
      </c>
      <c r="O12" s="396">
        <v>35400</v>
      </c>
      <c r="P12" s="396">
        <v>79854</v>
      </c>
      <c r="Q12" s="396">
        <v>46694</v>
      </c>
      <c r="R12" s="396">
        <v>49066</v>
      </c>
      <c r="S12" s="396">
        <v>48118</v>
      </c>
      <c r="T12" s="396">
        <v>53629</v>
      </c>
      <c r="U12" s="397">
        <v>46750</v>
      </c>
      <c r="V12" s="396">
        <v>40837.85</v>
      </c>
      <c r="W12" s="396">
        <v>44704.29</v>
      </c>
      <c r="X12" s="396">
        <v>39669.07</v>
      </c>
      <c r="Y12" s="396">
        <v>32546.98</v>
      </c>
      <c r="Z12" s="396">
        <v>36913.58</v>
      </c>
      <c r="AA12" s="396">
        <v>40470.870000000003</v>
      </c>
      <c r="AB12" s="396">
        <v>32696.76</v>
      </c>
      <c r="AC12" s="396">
        <v>44175.67</v>
      </c>
      <c r="AD12" s="396">
        <v>35829</v>
      </c>
      <c r="AE12" s="396">
        <v>34457</v>
      </c>
      <c r="AF12" s="396">
        <v>41557</v>
      </c>
      <c r="AG12" s="396">
        <v>29888.07</v>
      </c>
      <c r="AH12" s="396">
        <v>38528</v>
      </c>
      <c r="AI12" s="396">
        <v>27390</v>
      </c>
      <c r="AJ12" s="396">
        <v>33838</v>
      </c>
      <c r="AK12" s="396">
        <v>35289</v>
      </c>
      <c r="AL12" s="396">
        <v>37305</v>
      </c>
      <c r="AM12" s="396">
        <v>30645</v>
      </c>
      <c r="AN12" s="396">
        <v>37933</v>
      </c>
      <c r="AO12" s="396">
        <v>24148</v>
      </c>
    </row>
    <row r="13" spans="1:41">
      <c r="A13" s="385" t="s">
        <v>50</v>
      </c>
      <c r="B13" s="388">
        <v>54596</v>
      </c>
      <c r="C13" s="388">
        <v>54596</v>
      </c>
      <c r="D13" s="383">
        <v>0</v>
      </c>
      <c r="E13" s="388">
        <v>58093</v>
      </c>
      <c r="F13" s="388">
        <v>40446.800000000003</v>
      </c>
      <c r="G13" s="388">
        <v>34699.339999999997</v>
      </c>
      <c r="H13" s="388">
        <v>47830</v>
      </c>
      <c r="I13" s="388">
        <v>40982.839999999997</v>
      </c>
      <c r="J13" s="388">
        <v>45455.3</v>
      </c>
      <c r="K13" s="396">
        <f>ROUNDUP(45257.41,0)</f>
        <v>45258</v>
      </c>
      <c r="L13" s="396">
        <v>53792.13</v>
      </c>
      <c r="M13" s="396">
        <v>49895</v>
      </c>
      <c r="N13" s="396">
        <v>48560</v>
      </c>
      <c r="O13" s="396">
        <v>50172</v>
      </c>
      <c r="P13" s="396">
        <v>37046</v>
      </c>
      <c r="Q13" s="396">
        <v>47553</v>
      </c>
      <c r="R13" s="396">
        <v>46765</v>
      </c>
      <c r="S13" s="396">
        <v>31331</v>
      </c>
      <c r="T13" s="396">
        <v>28957</v>
      </c>
      <c r="U13" s="397">
        <v>41394</v>
      </c>
      <c r="V13" s="396">
        <v>46773.53</v>
      </c>
      <c r="W13" s="396">
        <v>43633.18</v>
      </c>
      <c r="X13" s="396">
        <v>31542.86</v>
      </c>
      <c r="Y13" s="396">
        <v>27080.63</v>
      </c>
      <c r="Z13" s="396">
        <v>28023.26</v>
      </c>
      <c r="AA13" s="396">
        <v>34193.1</v>
      </c>
      <c r="AB13" s="396">
        <v>42656.79</v>
      </c>
      <c r="AC13" s="396">
        <v>30445.83</v>
      </c>
      <c r="AD13" s="396">
        <v>34859</v>
      </c>
      <c r="AE13" s="396">
        <v>31681</v>
      </c>
      <c r="AF13" s="396">
        <v>33030</v>
      </c>
      <c r="AG13" s="396">
        <v>31538.38</v>
      </c>
      <c r="AH13" s="396">
        <v>44345</v>
      </c>
      <c r="AI13" s="396">
        <v>35243</v>
      </c>
      <c r="AJ13" s="396">
        <v>27146</v>
      </c>
      <c r="AK13" s="396">
        <v>37792</v>
      </c>
      <c r="AL13" s="396">
        <v>47492</v>
      </c>
      <c r="AM13" s="396">
        <v>45570</v>
      </c>
      <c r="AN13" s="396">
        <v>40136</v>
      </c>
      <c r="AO13" s="396">
        <v>40415</v>
      </c>
    </row>
    <row r="14" spans="1:41">
      <c r="A14" s="385" t="s">
        <v>49</v>
      </c>
      <c r="B14" s="388">
        <v>335759</v>
      </c>
      <c r="C14" s="388">
        <v>335759</v>
      </c>
      <c r="D14" s="383">
        <v>0</v>
      </c>
      <c r="E14" s="388">
        <v>275051</v>
      </c>
      <c r="F14" s="388">
        <v>306485.2</v>
      </c>
      <c r="G14" s="388">
        <v>301767.51</v>
      </c>
      <c r="H14" s="388">
        <v>272255</v>
      </c>
      <c r="I14" s="388">
        <v>280223.26</v>
      </c>
      <c r="J14" s="388">
        <v>320308.49</v>
      </c>
      <c r="K14" s="396">
        <v>298617.94</v>
      </c>
      <c r="L14" s="396">
        <v>300349.94</v>
      </c>
      <c r="M14" s="396">
        <v>381381</v>
      </c>
      <c r="N14" s="396">
        <v>269773</v>
      </c>
      <c r="O14" s="396">
        <v>327736</v>
      </c>
      <c r="P14" s="396">
        <v>243375</v>
      </c>
      <c r="Q14" s="396">
        <v>256107</v>
      </c>
      <c r="R14" s="396">
        <v>258543</v>
      </c>
      <c r="S14" s="396">
        <v>253209</v>
      </c>
      <c r="T14" s="396">
        <v>236702</v>
      </c>
      <c r="U14" s="397">
        <v>265091</v>
      </c>
      <c r="V14" s="396">
        <v>260528.15</v>
      </c>
      <c r="W14" s="396">
        <v>241895.6</v>
      </c>
      <c r="X14" s="396">
        <v>239289.39</v>
      </c>
      <c r="Y14" s="396">
        <v>232415.8</v>
      </c>
      <c r="Z14" s="396">
        <v>249855.24</v>
      </c>
      <c r="AA14" s="396">
        <v>244259.67</v>
      </c>
      <c r="AB14" s="396">
        <v>272517.53999999998</v>
      </c>
      <c r="AC14" s="396">
        <v>245325.4</v>
      </c>
      <c r="AD14" s="396">
        <v>264189</v>
      </c>
      <c r="AE14" s="396">
        <v>256374</v>
      </c>
      <c r="AF14" s="396">
        <v>264756</v>
      </c>
      <c r="AG14" s="396">
        <v>261399.23</v>
      </c>
      <c r="AH14" s="396">
        <v>211947</v>
      </c>
      <c r="AI14" s="396">
        <v>224243</v>
      </c>
      <c r="AJ14" s="396">
        <v>223515</v>
      </c>
      <c r="AK14" s="396">
        <v>240618</v>
      </c>
      <c r="AL14" s="396">
        <v>237568</v>
      </c>
      <c r="AM14" s="396">
        <v>245594</v>
      </c>
      <c r="AN14" s="396">
        <v>232153</v>
      </c>
      <c r="AO14" s="396">
        <v>220106</v>
      </c>
    </row>
    <row r="15" spans="1:41">
      <c r="A15" s="385" t="s">
        <v>48</v>
      </c>
      <c r="B15" s="388"/>
      <c r="C15" s="388"/>
      <c r="D15" s="383"/>
      <c r="E15" s="388"/>
      <c r="F15" s="388"/>
      <c r="G15" s="388"/>
      <c r="H15" s="388"/>
      <c r="I15" s="388"/>
      <c r="J15" s="388"/>
      <c r="K15" s="396"/>
      <c r="L15" s="396"/>
      <c r="M15" s="396"/>
      <c r="N15" s="396"/>
      <c r="O15" s="396"/>
      <c r="P15" s="396" t="s">
        <v>166</v>
      </c>
      <c r="Q15" s="396"/>
      <c r="R15" s="396"/>
      <c r="S15" s="396"/>
      <c r="T15" s="396"/>
      <c r="U15" s="399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6"/>
      <c r="AJ15" s="396"/>
      <c r="AK15" s="396"/>
      <c r="AL15" s="396"/>
      <c r="AM15" s="396"/>
      <c r="AN15" s="396"/>
      <c r="AO15" s="396"/>
    </row>
    <row r="16" spans="1:41">
      <c r="A16" s="386" t="s">
        <v>47</v>
      </c>
      <c r="B16" s="388">
        <v>316481</v>
      </c>
      <c r="C16" s="388">
        <v>316481</v>
      </c>
      <c r="D16" s="383">
        <v>0</v>
      </c>
      <c r="E16" s="388">
        <v>580034</v>
      </c>
      <c r="F16" s="388">
        <v>362916.93</v>
      </c>
      <c r="G16" s="388">
        <v>443081.73</v>
      </c>
      <c r="H16" s="388">
        <v>568690</v>
      </c>
      <c r="I16" s="388">
        <v>565395.91</v>
      </c>
      <c r="J16" s="388">
        <v>371653.8</v>
      </c>
      <c r="K16" s="396">
        <v>496011.99</v>
      </c>
      <c r="L16" s="396">
        <v>537549.73</v>
      </c>
      <c r="M16" s="396">
        <v>485543</v>
      </c>
      <c r="N16" s="396">
        <v>381393</v>
      </c>
      <c r="O16" s="396">
        <v>385970</v>
      </c>
      <c r="P16" s="396">
        <v>590680</v>
      </c>
      <c r="Q16" s="396">
        <v>589994</v>
      </c>
      <c r="R16" s="396">
        <v>380217</v>
      </c>
      <c r="S16" s="396">
        <v>478238</v>
      </c>
      <c r="T16" s="396">
        <v>500371</v>
      </c>
      <c r="U16" s="397">
        <v>504936</v>
      </c>
      <c r="V16" s="396">
        <v>412223.41</v>
      </c>
      <c r="W16" s="396">
        <v>443088.09</v>
      </c>
      <c r="X16" s="396">
        <v>536436.74</v>
      </c>
      <c r="Y16" s="396">
        <v>507792.56</v>
      </c>
      <c r="Z16" s="396">
        <v>349884.05</v>
      </c>
      <c r="AA16" s="396">
        <v>358051.78</v>
      </c>
      <c r="AB16" s="396">
        <v>445323.92</v>
      </c>
      <c r="AC16" s="396">
        <v>437922.16</v>
      </c>
      <c r="AD16" s="396">
        <v>275349</v>
      </c>
      <c r="AE16" s="396">
        <v>387080</v>
      </c>
      <c r="AF16" s="396">
        <v>476749</v>
      </c>
      <c r="AG16" s="396">
        <v>431531.51</v>
      </c>
      <c r="AH16" s="396">
        <v>358811</v>
      </c>
      <c r="AI16" s="396">
        <v>386943</v>
      </c>
      <c r="AJ16" s="396">
        <v>459368</v>
      </c>
      <c r="AK16" s="396">
        <v>394970</v>
      </c>
      <c r="AL16" s="396">
        <v>306068</v>
      </c>
      <c r="AM16" s="396">
        <v>306856</v>
      </c>
      <c r="AN16" s="396">
        <v>370035</v>
      </c>
      <c r="AO16" s="396">
        <v>403243</v>
      </c>
    </row>
    <row r="17" spans="1:41">
      <c r="A17" s="385" t="s">
        <v>46</v>
      </c>
      <c r="B17" s="388"/>
      <c r="C17" s="388"/>
      <c r="D17" s="383"/>
      <c r="E17" s="388"/>
      <c r="F17" s="388"/>
      <c r="G17" s="388"/>
      <c r="H17" s="388"/>
      <c r="I17" s="388" t="s">
        <v>167</v>
      </c>
      <c r="J17" s="388"/>
      <c r="K17" s="396"/>
      <c r="L17" s="396"/>
      <c r="M17" s="396"/>
      <c r="N17" s="396"/>
      <c r="O17" s="396"/>
      <c r="P17" s="396" t="s">
        <v>166</v>
      </c>
      <c r="Q17" s="396"/>
      <c r="R17" s="396"/>
      <c r="S17" s="396"/>
      <c r="T17" s="396"/>
      <c r="U17" s="399"/>
      <c r="V17" s="396"/>
      <c r="W17" s="396"/>
      <c r="X17" s="396"/>
      <c r="Y17" s="396"/>
      <c r="Z17" s="396"/>
      <c r="AA17" s="396"/>
      <c r="AB17" s="396"/>
      <c r="AC17" s="396"/>
      <c r="AD17" s="396"/>
      <c r="AE17" s="396"/>
      <c r="AF17" s="396"/>
      <c r="AG17" s="396"/>
      <c r="AH17" s="396"/>
      <c r="AI17" s="396"/>
      <c r="AJ17" s="396"/>
      <c r="AK17" s="396"/>
      <c r="AL17" s="396"/>
      <c r="AM17" s="396"/>
      <c r="AN17" s="396"/>
      <c r="AO17" s="396"/>
    </row>
    <row r="18" spans="1:41">
      <c r="A18" s="385" t="s">
        <v>45</v>
      </c>
      <c r="B18" s="388">
        <v>184901</v>
      </c>
      <c r="C18" s="388">
        <v>184901</v>
      </c>
      <c r="D18" s="383">
        <v>0</v>
      </c>
      <c r="E18" s="388">
        <v>209333</v>
      </c>
      <c r="F18" s="388">
        <v>256892.49</v>
      </c>
      <c r="G18" s="388">
        <v>242772.07</v>
      </c>
      <c r="H18" s="388">
        <v>242633</v>
      </c>
      <c r="I18" s="388">
        <v>193775.86</v>
      </c>
      <c r="J18" s="388">
        <v>169901.51</v>
      </c>
      <c r="K18" s="396">
        <v>192459.9</v>
      </c>
      <c r="L18" s="396">
        <v>189868.98</v>
      </c>
      <c r="M18" s="396">
        <v>154008</v>
      </c>
      <c r="N18" s="396">
        <v>222542</v>
      </c>
      <c r="O18" s="396">
        <v>218908</v>
      </c>
      <c r="P18" s="396">
        <v>161098</v>
      </c>
      <c r="Q18" s="396">
        <v>158734</v>
      </c>
      <c r="R18" s="396">
        <v>188042</v>
      </c>
      <c r="S18" s="396">
        <v>161429</v>
      </c>
      <c r="T18" s="396">
        <v>155203</v>
      </c>
      <c r="U18" s="397">
        <v>175610</v>
      </c>
      <c r="V18" s="396">
        <v>203938.79</v>
      </c>
      <c r="W18" s="396">
        <v>219625.96</v>
      </c>
      <c r="X18" s="396">
        <v>162928.94</v>
      </c>
      <c r="Y18" s="396">
        <v>189042.62</v>
      </c>
      <c r="Z18" s="396">
        <v>191211.94</v>
      </c>
      <c r="AA18" s="396">
        <v>195743.71</v>
      </c>
      <c r="AB18" s="396">
        <v>168267.19</v>
      </c>
      <c r="AC18" s="396">
        <v>162786.10999999999</v>
      </c>
      <c r="AD18" s="396">
        <v>140215</v>
      </c>
      <c r="AE18" s="396">
        <v>139510</v>
      </c>
      <c r="AF18" s="396">
        <v>155591</v>
      </c>
      <c r="AG18" s="396">
        <v>179037.4</v>
      </c>
      <c r="AH18" s="396">
        <v>158493</v>
      </c>
      <c r="AI18" s="396">
        <v>162947</v>
      </c>
      <c r="AJ18" s="396">
        <v>166574</v>
      </c>
      <c r="AK18" s="396">
        <v>141437</v>
      </c>
      <c r="AL18" s="396">
        <v>141208</v>
      </c>
      <c r="AM18" s="396">
        <v>181905</v>
      </c>
      <c r="AN18" s="396">
        <v>154712</v>
      </c>
      <c r="AO18" s="396">
        <v>136190</v>
      </c>
    </row>
    <row r="19" spans="1:41">
      <c r="A19" s="385" t="s">
        <v>44</v>
      </c>
      <c r="B19" s="388"/>
      <c r="C19" s="388"/>
      <c r="D19" s="383"/>
      <c r="E19" s="388"/>
      <c r="F19" s="388"/>
      <c r="G19" s="388"/>
      <c r="H19" s="388"/>
      <c r="I19" s="388"/>
      <c r="J19" s="388"/>
      <c r="K19" s="396"/>
      <c r="L19" s="396"/>
      <c r="M19" s="396"/>
      <c r="N19" s="396"/>
      <c r="O19" s="396"/>
      <c r="P19" s="396" t="s">
        <v>166</v>
      </c>
      <c r="Q19" s="396"/>
      <c r="R19" s="396"/>
      <c r="S19" s="396"/>
      <c r="T19" s="396"/>
      <c r="U19" s="399"/>
      <c r="V19" s="396"/>
      <c r="W19" s="396"/>
      <c r="X19" s="396"/>
      <c r="Y19" s="396"/>
      <c r="Z19" s="396"/>
      <c r="AA19" s="396"/>
      <c r="AB19" s="396"/>
      <c r="AC19" s="396"/>
      <c r="AD19" s="396"/>
      <c r="AE19" s="396"/>
      <c r="AF19" s="396"/>
      <c r="AG19" s="396"/>
      <c r="AH19" s="396"/>
      <c r="AI19" s="396"/>
      <c r="AJ19" s="396"/>
      <c r="AK19" s="396"/>
      <c r="AL19" s="396"/>
      <c r="AM19" s="396"/>
      <c r="AN19" s="396"/>
      <c r="AO19" s="396"/>
    </row>
    <row r="20" spans="1:41">
      <c r="A20" s="385" t="s">
        <v>43</v>
      </c>
      <c r="B20" s="388">
        <v>172137</v>
      </c>
      <c r="C20" s="388">
        <v>172137</v>
      </c>
      <c r="D20" s="383">
        <v>0</v>
      </c>
      <c r="E20" s="388">
        <v>135335</v>
      </c>
      <c r="F20" s="388">
        <v>139535</v>
      </c>
      <c r="G20" s="388">
        <v>182278.11</v>
      </c>
      <c r="H20" s="388">
        <v>122416</v>
      </c>
      <c r="I20" s="388">
        <v>143469.35999999999</v>
      </c>
      <c r="J20" s="388">
        <v>181392.52</v>
      </c>
      <c r="K20" s="396">
        <v>170471.34</v>
      </c>
      <c r="L20" s="396">
        <f>ROUNDDOWN(194857.54,0)</f>
        <v>194857</v>
      </c>
      <c r="M20" s="396">
        <v>162731</v>
      </c>
      <c r="N20" s="396">
        <v>200343</v>
      </c>
      <c r="O20" s="396">
        <v>162418</v>
      </c>
      <c r="P20" s="396">
        <v>165505</v>
      </c>
      <c r="Q20" s="396">
        <v>166848</v>
      </c>
      <c r="R20" s="396">
        <v>148821</v>
      </c>
      <c r="S20" s="396">
        <v>138953</v>
      </c>
      <c r="T20" s="396">
        <v>137976</v>
      </c>
      <c r="U20" s="397">
        <v>137490</v>
      </c>
      <c r="V20" s="396">
        <v>131910.26</v>
      </c>
      <c r="W20" s="396">
        <v>129264.9</v>
      </c>
      <c r="X20" s="396">
        <v>126756.26</v>
      </c>
      <c r="Y20" s="396">
        <v>143687.28</v>
      </c>
      <c r="Z20" s="396">
        <v>112736.15</v>
      </c>
      <c r="AA20" s="396">
        <v>133791.25</v>
      </c>
      <c r="AB20" s="396">
        <v>130887.21</v>
      </c>
      <c r="AC20" s="396">
        <v>113252.19</v>
      </c>
      <c r="AD20" s="396">
        <v>153368</v>
      </c>
      <c r="AE20" s="396">
        <v>120836</v>
      </c>
      <c r="AF20" s="396">
        <v>125599</v>
      </c>
      <c r="AG20" s="396">
        <v>108149.58</v>
      </c>
      <c r="AH20" s="396">
        <v>129347</v>
      </c>
      <c r="AI20" s="396">
        <v>139920</v>
      </c>
      <c r="AJ20" s="396">
        <v>127397</v>
      </c>
      <c r="AK20" s="396">
        <v>130542</v>
      </c>
      <c r="AL20" s="396">
        <v>151100</v>
      </c>
      <c r="AM20" s="396">
        <v>127614</v>
      </c>
      <c r="AN20" s="396">
        <v>139310</v>
      </c>
      <c r="AO20" s="396">
        <v>143063</v>
      </c>
    </row>
    <row r="21" spans="1:41">
      <c r="A21" s="385" t="s">
        <v>42</v>
      </c>
      <c r="B21" s="388"/>
      <c r="C21" s="388"/>
      <c r="D21" s="383"/>
      <c r="E21" s="388"/>
      <c r="F21" s="388"/>
      <c r="G21" s="388"/>
      <c r="H21" s="388"/>
      <c r="I21" s="388"/>
      <c r="J21" s="388"/>
      <c r="K21" s="396"/>
      <c r="L21" s="396"/>
      <c r="M21" s="396"/>
      <c r="P21" s="370"/>
      <c r="Q21" s="396"/>
      <c r="U21" s="399"/>
      <c r="Z21" s="370"/>
      <c r="AA21" s="370"/>
      <c r="AB21" s="370"/>
      <c r="AC21" s="370"/>
      <c r="AD21" s="370"/>
      <c r="AE21" s="370"/>
      <c r="AF21" s="370"/>
      <c r="AG21" s="370"/>
      <c r="AH21" s="370"/>
      <c r="AI21" s="370"/>
      <c r="AJ21" s="370"/>
      <c r="AK21" s="370"/>
      <c r="AL21" s="636"/>
      <c r="AM21" s="636"/>
      <c r="AN21" s="636"/>
      <c r="AO21" s="636"/>
    </row>
    <row r="22" spans="1:41">
      <c r="A22" s="385" t="s">
        <v>41</v>
      </c>
      <c r="B22" s="388">
        <v>289306</v>
      </c>
      <c r="C22" s="388">
        <v>289306</v>
      </c>
      <c r="D22" s="383">
        <v>0</v>
      </c>
      <c r="E22" s="388">
        <v>191700</v>
      </c>
      <c r="F22" s="388">
        <v>172217.1</v>
      </c>
      <c r="G22" s="388">
        <v>141211.63</v>
      </c>
      <c r="H22" s="388">
        <v>174786</v>
      </c>
      <c r="I22" s="388">
        <v>220409.35</v>
      </c>
      <c r="J22" s="388">
        <v>218320.48</v>
      </c>
      <c r="K22" s="398">
        <f>ROUNDUP(220185.44,0)</f>
        <v>220186</v>
      </c>
      <c r="L22" s="396">
        <v>182919.03</v>
      </c>
      <c r="M22" s="396">
        <v>207009</v>
      </c>
      <c r="N22" s="396">
        <v>219603</v>
      </c>
      <c r="O22" s="396">
        <v>218682</v>
      </c>
      <c r="P22" s="396">
        <v>129255</v>
      </c>
      <c r="Q22" s="396">
        <v>209726</v>
      </c>
      <c r="R22" s="396">
        <v>183465</v>
      </c>
      <c r="S22" s="396">
        <v>184682</v>
      </c>
      <c r="T22" s="396">
        <v>205585</v>
      </c>
      <c r="U22" s="397">
        <v>152645</v>
      </c>
      <c r="V22" s="396">
        <v>183092.08</v>
      </c>
      <c r="W22" s="396">
        <v>181812.21</v>
      </c>
      <c r="X22" s="396">
        <v>160330.25</v>
      </c>
      <c r="Y22" s="396">
        <v>171272.76</v>
      </c>
      <c r="Z22" s="396">
        <v>216306.16</v>
      </c>
      <c r="AA22" s="396">
        <v>198019.05</v>
      </c>
      <c r="AB22" s="396">
        <v>167570.71</v>
      </c>
      <c r="AC22" s="396">
        <v>196100.7</v>
      </c>
      <c r="AD22" s="396">
        <v>245714</v>
      </c>
      <c r="AE22" s="396">
        <v>195836</v>
      </c>
      <c r="AF22" s="396">
        <v>177624</v>
      </c>
      <c r="AG22" s="396">
        <v>193544.82</v>
      </c>
      <c r="AH22" s="396">
        <v>220029</v>
      </c>
      <c r="AI22" s="396">
        <v>196055</v>
      </c>
      <c r="AJ22" s="396">
        <v>174357</v>
      </c>
      <c r="AK22" s="396">
        <v>211911</v>
      </c>
      <c r="AL22" s="396">
        <v>172398</v>
      </c>
      <c r="AM22" s="396">
        <v>147802</v>
      </c>
      <c r="AN22" s="396">
        <v>103433</v>
      </c>
      <c r="AO22" s="396">
        <v>138395</v>
      </c>
    </row>
    <row r="23" spans="1:41">
      <c r="A23" s="384" t="s">
        <v>40</v>
      </c>
      <c r="B23" s="383">
        <v>0</v>
      </c>
      <c r="C23" s="383">
        <v>0</v>
      </c>
      <c r="D23" s="383">
        <v>0</v>
      </c>
      <c r="E23" s="383">
        <v>0</v>
      </c>
      <c r="F23" s="388">
        <v>16377.79</v>
      </c>
      <c r="G23" s="388">
        <f>ROUNDUP(4303.39,0)</f>
        <v>4304</v>
      </c>
      <c r="H23" s="388">
        <v>3386</v>
      </c>
      <c r="I23" s="388">
        <v>20008.66</v>
      </c>
      <c r="J23" s="383">
        <v>0</v>
      </c>
      <c r="K23" s="383">
        <v>0</v>
      </c>
      <c r="L23" s="383">
        <v>0</v>
      </c>
      <c r="M23" s="383">
        <v>0</v>
      </c>
      <c r="N23" s="383">
        <v>0</v>
      </c>
      <c r="O23" s="383">
        <v>0</v>
      </c>
      <c r="P23" s="383">
        <v>0</v>
      </c>
      <c r="Q23" s="383">
        <v>0</v>
      </c>
      <c r="R23" s="383">
        <v>0</v>
      </c>
      <c r="S23" s="383">
        <v>0</v>
      </c>
      <c r="T23" s="383">
        <v>0</v>
      </c>
      <c r="U23" s="383">
        <v>0</v>
      </c>
      <c r="V23" s="383">
        <v>0</v>
      </c>
      <c r="W23" s="383">
        <v>0</v>
      </c>
      <c r="X23" s="383">
        <v>0</v>
      </c>
      <c r="Y23" s="383">
        <v>0</v>
      </c>
      <c r="Z23" s="383">
        <v>0</v>
      </c>
      <c r="AA23" s="383">
        <v>0</v>
      </c>
      <c r="AB23" s="383">
        <v>0</v>
      </c>
      <c r="AC23" s="383">
        <v>0</v>
      </c>
      <c r="AD23" s="383">
        <v>0</v>
      </c>
      <c r="AE23" s="383">
        <v>0</v>
      </c>
      <c r="AF23" s="383">
        <v>0</v>
      </c>
      <c r="AG23" s="383">
        <v>0</v>
      </c>
      <c r="AH23" s="383">
        <v>0</v>
      </c>
      <c r="AI23" s="383">
        <v>0</v>
      </c>
      <c r="AJ23" s="383">
        <v>0</v>
      </c>
      <c r="AK23" s="383">
        <v>0</v>
      </c>
      <c r="AL23" s="383" t="s">
        <v>8</v>
      </c>
      <c r="AM23" s="383" t="s">
        <v>8</v>
      </c>
      <c r="AN23" s="383" t="s">
        <v>8</v>
      </c>
      <c r="AO23" s="383" t="s">
        <v>8</v>
      </c>
    </row>
    <row r="24" spans="1:41" s="392" customFormat="1" ht="29.25" customHeight="1">
      <c r="A24" s="655" t="s">
        <v>20</v>
      </c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370"/>
      <c r="N24" s="370"/>
      <c r="O24" s="370"/>
      <c r="P24" s="395"/>
      <c r="Q24" s="655"/>
      <c r="R24" s="655"/>
      <c r="S24" s="655"/>
      <c r="T24" s="655"/>
      <c r="U24" s="655"/>
      <c r="V24" s="655"/>
      <c r="W24" s="655"/>
      <c r="X24" s="655"/>
      <c r="Y24" s="655"/>
      <c r="Z24" s="655"/>
      <c r="AA24" s="655"/>
      <c r="AB24" s="372"/>
      <c r="AC24" s="394"/>
      <c r="AD24" s="393"/>
      <c r="AE24" s="393"/>
      <c r="AF24" s="393"/>
      <c r="AG24" s="393"/>
      <c r="AH24" s="393"/>
      <c r="AI24" s="393"/>
      <c r="AJ24" s="393"/>
      <c r="AK24" s="393"/>
      <c r="AL24" s="393"/>
      <c r="AM24" s="393"/>
      <c r="AN24" s="393"/>
      <c r="AO24" s="393"/>
    </row>
    <row r="25" spans="1:41" ht="21.75" customHeight="1">
      <c r="A25" s="390" t="s">
        <v>38</v>
      </c>
      <c r="B25" s="391">
        <f>B6/B6*100</f>
        <v>100</v>
      </c>
      <c r="C25" s="391">
        <f>C6/C6*100</f>
        <v>100</v>
      </c>
      <c r="D25" s="383">
        <v>0</v>
      </c>
      <c r="E25" s="391">
        <f t="shared" ref="E25:AK25" si="0">E6/E6*100</f>
        <v>100</v>
      </c>
      <c r="F25" s="391">
        <f t="shared" si="0"/>
        <v>100</v>
      </c>
      <c r="G25" s="391">
        <f t="shared" si="0"/>
        <v>100</v>
      </c>
      <c r="H25" s="391">
        <f t="shared" si="0"/>
        <v>100</v>
      </c>
      <c r="I25" s="391">
        <f t="shared" si="0"/>
        <v>100</v>
      </c>
      <c r="J25" s="391">
        <f t="shared" si="0"/>
        <v>100</v>
      </c>
      <c r="K25" s="391">
        <f t="shared" si="0"/>
        <v>100</v>
      </c>
      <c r="L25" s="391">
        <f t="shared" si="0"/>
        <v>100</v>
      </c>
      <c r="M25" s="391">
        <f t="shared" si="0"/>
        <v>100</v>
      </c>
      <c r="N25" s="391">
        <f t="shared" si="0"/>
        <v>100</v>
      </c>
      <c r="O25" s="391">
        <f t="shared" si="0"/>
        <v>100</v>
      </c>
      <c r="P25" s="391">
        <f t="shared" si="0"/>
        <v>100</v>
      </c>
      <c r="Q25" s="391">
        <f t="shared" si="0"/>
        <v>100</v>
      </c>
      <c r="R25" s="391">
        <f t="shared" si="0"/>
        <v>100</v>
      </c>
      <c r="S25" s="391">
        <f t="shared" si="0"/>
        <v>100</v>
      </c>
      <c r="T25" s="391">
        <f t="shared" si="0"/>
        <v>100</v>
      </c>
      <c r="U25" s="391">
        <f t="shared" si="0"/>
        <v>100</v>
      </c>
      <c r="V25" s="391">
        <f t="shared" si="0"/>
        <v>100</v>
      </c>
      <c r="W25" s="391">
        <f t="shared" si="0"/>
        <v>100</v>
      </c>
      <c r="X25" s="391">
        <f t="shared" si="0"/>
        <v>100</v>
      </c>
      <c r="Y25" s="391">
        <f t="shared" si="0"/>
        <v>100</v>
      </c>
      <c r="Z25" s="391">
        <f t="shared" si="0"/>
        <v>100</v>
      </c>
      <c r="AA25" s="391">
        <f t="shared" si="0"/>
        <v>100</v>
      </c>
      <c r="AB25" s="391">
        <f t="shared" si="0"/>
        <v>100</v>
      </c>
      <c r="AC25" s="391">
        <f t="shared" si="0"/>
        <v>100</v>
      </c>
      <c r="AD25" s="391">
        <f t="shared" si="0"/>
        <v>100</v>
      </c>
      <c r="AE25" s="391">
        <f t="shared" si="0"/>
        <v>100</v>
      </c>
      <c r="AF25" s="391">
        <f t="shared" si="0"/>
        <v>100</v>
      </c>
      <c r="AG25" s="391">
        <f t="shared" si="0"/>
        <v>100</v>
      </c>
      <c r="AH25" s="391">
        <f t="shared" si="0"/>
        <v>100</v>
      </c>
      <c r="AI25" s="391">
        <f t="shared" si="0"/>
        <v>100</v>
      </c>
      <c r="AJ25" s="391">
        <f t="shared" si="0"/>
        <v>100</v>
      </c>
      <c r="AK25" s="391">
        <f t="shared" si="0"/>
        <v>100</v>
      </c>
      <c r="AL25" s="391">
        <f t="shared" ref="AL25:AO25" si="1">AL6/AL6*100</f>
        <v>100</v>
      </c>
      <c r="AM25" s="391">
        <f t="shared" si="1"/>
        <v>100</v>
      </c>
      <c r="AN25" s="391">
        <f t="shared" si="1"/>
        <v>100</v>
      </c>
      <c r="AO25" s="391">
        <f t="shared" si="1"/>
        <v>100</v>
      </c>
    </row>
    <row r="26" spans="1:41" ht="3.75" customHeight="1">
      <c r="A26" s="390"/>
      <c r="B26" s="389"/>
      <c r="C26" s="388"/>
      <c r="D26" s="388"/>
      <c r="E26" s="388"/>
      <c r="F26" s="388"/>
      <c r="G26" s="388"/>
      <c r="H26" s="388"/>
      <c r="I26" s="388"/>
      <c r="J26" s="388"/>
      <c r="K26" s="388"/>
      <c r="L26" s="387"/>
      <c r="M26" s="387"/>
      <c r="N26" s="387"/>
      <c r="O26" s="387"/>
      <c r="P26" s="387"/>
      <c r="Q26" s="387"/>
      <c r="R26" s="387"/>
      <c r="S26" s="387"/>
      <c r="T26" s="387"/>
      <c r="U26" s="387"/>
      <c r="V26" s="387"/>
      <c r="W26" s="387"/>
      <c r="X26" s="387"/>
      <c r="Y26" s="387"/>
      <c r="Z26" s="387"/>
      <c r="AA26" s="387"/>
      <c r="AB26" s="387"/>
      <c r="AC26" s="387"/>
      <c r="AD26" s="387"/>
      <c r="AE26" s="387"/>
      <c r="AF26" s="387"/>
      <c r="AG26" s="387"/>
      <c r="AH26" s="387"/>
      <c r="AI26" s="387"/>
      <c r="AJ26" s="387"/>
      <c r="AK26" s="387"/>
      <c r="AL26" s="400"/>
      <c r="AM26" s="400"/>
      <c r="AN26" s="400"/>
      <c r="AO26" s="400"/>
    </row>
    <row r="27" spans="1:41">
      <c r="A27" s="385" t="s">
        <v>55</v>
      </c>
      <c r="B27" s="382"/>
      <c r="C27" s="388"/>
      <c r="D27" s="388"/>
      <c r="E27" s="388"/>
      <c r="F27" s="388"/>
      <c r="G27" s="388"/>
      <c r="H27" s="388"/>
      <c r="I27" s="388"/>
      <c r="J27" s="388"/>
      <c r="K27" s="388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387"/>
      <c r="Y27" s="387"/>
      <c r="Z27" s="387"/>
      <c r="AA27" s="387"/>
      <c r="AB27" s="387"/>
      <c r="AC27" s="387"/>
      <c r="AD27" s="387"/>
      <c r="AE27" s="387"/>
      <c r="AF27" s="387"/>
      <c r="AG27" s="387"/>
      <c r="AH27" s="387"/>
      <c r="AI27" s="387"/>
      <c r="AJ27" s="387"/>
      <c r="AK27" s="387"/>
      <c r="AL27" s="400"/>
      <c r="AM27" s="400"/>
      <c r="AN27" s="400"/>
      <c r="AO27" s="400"/>
    </row>
    <row r="28" spans="1:41">
      <c r="A28" s="385" t="s">
        <v>54</v>
      </c>
      <c r="B28" s="383">
        <f>B9*100/$B$6</f>
        <v>2.6211066044233564</v>
      </c>
      <c r="C28" s="382">
        <f>C9*100/$C$6</f>
        <v>2.6211066044233564</v>
      </c>
      <c r="D28" s="383" t="s">
        <v>149</v>
      </c>
      <c r="E28" s="382">
        <f>SUM(E9*100/E6)</f>
        <v>1.3628881986578874</v>
      </c>
      <c r="F28" s="382">
        <f>ROUNDUP(F9*100/$F$6,1)</f>
        <v>2.6</v>
      </c>
      <c r="G28" s="382">
        <f>G9*100/$G$6</f>
        <v>2.6352937545433588</v>
      </c>
      <c r="H28" s="382">
        <f>H9*100/$H$6</f>
        <v>1.5025817555938037</v>
      </c>
      <c r="I28" s="382">
        <f>I9*100/$I$6</f>
        <v>1.7753926986889059</v>
      </c>
      <c r="J28" s="382">
        <f>J9*100/$J$6</f>
        <v>2.9887774490302514</v>
      </c>
      <c r="K28" s="382">
        <f>ROUNDUP(K9*100/$K$6,2)</f>
        <v>2.3499999999999996</v>
      </c>
      <c r="L28" s="382">
        <f t="shared" ref="L28:AJ28" si="2">L9*100/L$6</f>
        <v>2.9706114813637958</v>
      </c>
      <c r="M28" s="382">
        <f t="shared" si="2"/>
        <v>2.9663062068555841</v>
      </c>
      <c r="N28" s="382">
        <f t="shared" si="2"/>
        <v>3.0767982301226371</v>
      </c>
      <c r="O28" s="382">
        <f t="shared" si="2"/>
        <v>3.0277972520328125</v>
      </c>
      <c r="P28" s="382">
        <f t="shared" si="2"/>
        <v>7.7224981964083206</v>
      </c>
      <c r="Q28" s="382">
        <f t="shared" si="2"/>
        <v>3.0908161376477534</v>
      </c>
      <c r="R28" s="382">
        <f t="shared" si="2"/>
        <v>3.2279912382883245</v>
      </c>
      <c r="S28" s="382">
        <f t="shared" si="2"/>
        <v>3.7312298752129105</v>
      </c>
      <c r="T28" s="382">
        <f t="shared" si="2"/>
        <v>2.6236944510075748</v>
      </c>
      <c r="U28" s="382">
        <f t="shared" si="2"/>
        <v>3.0700193729490373</v>
      </c>
      <c r="V28" s="382">
        <f t="shared" si="2"/>
        <v>2.7129556997589011</v>
      </c>
      <c r="W28" s="382">
        <f t="shared" si="2"/>
        <v>2.0056852631857578</v>
      </c>
      <c r="X28" s="382">
        <f t="shared" si="2"/>
        <v>2.2776399513559547</v>
      </c>
      <c r="Y28" s="382">
        <f t="shared" si="2"/>
        <v>1.8320397331505873</v>
      </c>
      <c r="Z28" s="382">
        <f t="shared" si="2"/>
        <v>2.916701784638708</v>
      </c>
      <c r="AA28" s="382">
        <f t="shared" si="2"/>
        <v>2.8723461498706482</v>
      </c>
      <c r="AB28" s="382">
        <f t="shared" si="2"/>
        <v>2.130776033896352</v>
      </c>
      <c r="AC28" s="382">
        <f t="shared" si="2"/>
        <v>2.2577763553833381</v>
      </c>
      <c r="AD28" s="382">
        <f t="shared" si="2"/>
        <v>2.8957161304631169</v>
      </c>
      <c r="AE28" s="382">
        <f t="shared" si="2"/>
        <v>3.5890053391338737</v>
      </c>
      <c r="AF28" s="382">
        <f t="shared" si="2"/>
        <v>2.6745478331321908</v>
      </c>
      <c r="AG28" s="382">
        <f t="shared" si="2"/>
        <v>1.9544192737903896</v>
      </c>
      <c r="AH28" s="382">
        <f t="shared" si="2"/>
        <v>2.3629887136250178</v>
      </c>
      <c r="AI28" s="382">
        <f t="shared" si="2"/>
        <v>2.0397605203469085</v>
      </c>
      <c r="AJ28" s="382">
        <f t="shared" si="2"/>
        <v>2.1051522105906169</v>
      </c>
      <c r="AK28" s="382">
        <f>AK9*100/AK$6-0.02</f>
        <v>2.6360450200739303</v>
      </c>
      <c r="AL28" s="383">
        <f t="shared" ref="AL28:AO28" si="3">AL9*100/AL$6-0.02</f>
        <v>3.2618449674070282</v>
      </c>
      <c r="AM28" s="383">
        <f t="shared" si="3"/>
        <v>2.9731815950029672</v>
      </c>
      <c r="AN28" s="383">
        <f t="shared" si="3"/>
        <v>2.5995866513676371</v>
      </c>
      <c r="AO28" s="383">
        <f t="shared" si="3"/>
        <v>3.4232647572362787</v>
      </c>
    </row>
    <row r="29" spans="1:41">
      <c r="A29" s="385" t="s">
        <v>53</v>
      </c>
      <c r="B29" s="383">
        <f>B10*100/$B$6</f>
        <v>2.8043654134187541</v>
      </c>
      <c r="C29" s="382">
        <f>C10*100/$C$6</f>
        <v>2.8043654134187541</v>
      </c>
      <c r="D29" s="383" t="s">
        <v>149</v>
      </c>
      <c r="E29" s="382">
        <f>SUM(E10*100/E6)</f>
        <v>3.0606935170671372</v>
      </c>
      <c r="F29" s="382">
        <f>F10*100/$F$6</f>
        <v>4.7963457774189591</v>
      </c>
      <c r="G29" s="382">
        <f>G10*100/$G$6</f>
        <v>4.6118128360767168</v>
      </c>
      <c r="H29" s="382">
        <f>H10*100/$H$6</f>
        <v>4.9261809141327211</v>
      </c>
      <c r="I29" s="382">
        <f>I10*100/$I$6</f>
        <v>3.8925041952378177</v>
      </c>
      <c r="J29" s="382">
        <f>J10*100/$J$6</f>
        <v>5.9820903450315503</v>
      </c>
      <c r="K29" s="382">
        <f>K10*100/$K$6</f>
        <v>4.1428349240099429</v>
      </c>
      <c r="L29" s="382">
        <f t="shared" ref="L29:AJ29" si="4">L10*100/L$6</f>
        <v>4.4695143629715002</v>
      </c>
      <c r="M29" s="382">
        <f t="shared" si="4"/>
        <v>5.8201801391511827</v>
      </c>
      <c r="N29" s="382">
        <f t="shared" si="4"/>
        <v>4.2554748264079434</v>
      </c>
      <c r="O29" s="382">
        <f t="shared" si="4"/>
        <v>3.8096303353633165</v>
      </c>
      <c r="P29" s="382">
        <f t="shared" si="4"/>
        <v>4.328932611313177</v>
      </c>
      <c r="Q29" s="382">
        <f t="shared" si="4"/>
        <v>4.0004759848037441</v>
      </c>
      <c r="R29" s="382">
        <f t="shared" si="4"/>
        <v>3.781155799002303</v>
      </c>
      <c r="S29" s="382">
        <f t="shared" si="4"/>
        <v>3.524050649144757</v>
      </c>
      <c r="T29" s="382">
        <f t="shared" si="4"/>
        <v>3.5487874655910092</v>
      </c>
      <c r="U29" s="382">
        <f t="shared" si="4"/>
        <v>3.460019994238948</v>
      </c>
      <c r="V29" s="382">
        <f t="shared" si="4"/>
        <v>3.3983971593567328</v>
      </c>
      <c r="W29" s="382">
        <f t="shared" si="4"/>
        <v>2.6954114094841897</v>
      </c>
      <c r="X29" s="382">
        <f t="shared" si="4"/>
        <v>2.7944862274625133</v>
      </c>
      <c r="Y29" s="382">
        <f t="shared" si="4"/>
        <v>4.3475279030344831</v>
      </c>
      <c r="Z29" s="382">
        <f t="shared" si="4"/>
        <v>4.5257035044364251</v>
      </c>
      <c r="AA29" s="382">
        <f t="shared" si="4"/>
        <v>3.0985460067172688</v>
      </c>
      <c r="AB29" s="382">
        <f t="shared" si="4"/>
        <v>3.3248081380828598</v>
      </c>
      <c r="AC29" s="382">
        <f t="shared" si="4"/>
        <v>4.220832241560613</v>
      </c>
      <c r="AD29" s="382">
        <f t="shared" si="4"/>
        <v>4.7329803553190581</v>
      </c>
      <c r="AE29" s="382">
        <f t="shared" si="4"/>
        <v>4.2002768439786431</v>
      </c>
      <c r="AF29" s="382">
        <f t="shared" si="4"/>
        <v>3.6780082694953462</v>
      </c>
      <c r="AG29" s="382">
        <f t="shared" si="4"/>
        <v>3.5347702833842907</v>
      </c>
      <c r="AH29" s="382">
        <f t="shared" si="4"/>
        <v>3.6917300652400034</v>
      </c>
      <c r="AI29" s="382">
        <f t="shared" si="4"/>
        <v>4.3318864172180094</v>
      </c>
      <c r="AJ29" s="382">
        <f t="shared" si="4"/>
        <v>4.6355200871511322</v>
      </c>
      <c r="AK29" s="382">
        <f>AK10*100/AK$6</f>
        <v>2.9272865319009629</v>
      </c>
      <c r="AL29" s="383">
        <f t="shared" ref="AL29:AO29" si="5">AL10*100/AL$6</f>
        <v>4.4039991521351585</v>
      </c>
      <c r="AM29" s="383">
        <f t="shared" si="5"/>
        <v>4.2742903009576505</v>
      </c>
      <c r="AN29" s="383">
        <f t="shared" si="5"/>
        <v>4.8208261475989911</v>
      </c>
      <c r="AO29" s="383">
        <f t="shared" si="5"/>
        <v>4.328127489641008</v>
      </c>
    </row>
    <row r="30" spans="1:41">
      <c r="A30" s="385" t="s">
        <v>52</v>
      </c>
      <c r="B30" s="382"/>
      <c r="C30" s="382"/>
      <c r="D30" s="383"/>
      <c r="E30" s="382"/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382"/>
      <c r="AA30" s="382"/>
      <c r="AB30" s="382"/>
      <c r="AC30" s="382"/>
      <c r="AD30" s="382"/>
      <c r="AE30" s="382"/>
      <c r="AF30" s="382"/>
      <c r="AG30" s="382"/>
      <c r="AH30" s="382"/>
      <c r="AI30" s="382"/>
      <c r="AJ30" s="382"/>
      <c r="AK30" s="382"/>
      <c r="AL30" s="383"/>
      <c r="AM30" s="383"/>
      <c r="AN30" s="383"/>
      <c r="AO30" s="383"/>
    </row>
    <row r="31" spans="1:41">
      <c r="A31" s="385" t="s">
        <v>51</v>
      </c>
      <c r="B31" s="383">
        <f>B12*100/$B$6</f>
        <v>2.1128059779816111</v>
      </c>
      <c r="C31" s="382">
        <f>C12*100/$C$6</f>
        <v>2.1128743071423104</v>
      </c>
      <c r="D31" s="383" t="s">
        <v>149</v>
      </c>
      <c r="E31" s="382">
        <f>SUM(E12*100/E6)</f>
        <v>2.3408178872885221</v>
      </c>
      <c r="F31" s="382">
        <f>F12*100/$F$6</f>
        <v>3.0123316856465689</v>
      </c>
      <c r="G31" s="382">
        <f>G12*100/$G$6</f>
        <v>2.8701030723582561</v>
      </c>
      <c r="H31" s="382">
        <f>H12*100/$H$6</f>
        <v>2.2857780327659847</v>
      </c>
      <c r="I31" s="382">
        <f>I12*100/$I$6</f>
        <v>2.6122266048546372</v>
      </c>
      <c r="J31" s="382">
        <f>ROUNDUP(J12*100/$J$6,2)</f>
        <v>2.3499999999999996</v>
      </c>
      <c r="K31" s="382">
        <f>K12*100/$K$6</f>
        <v>2.1972342396668822</v>
      </c>
      <c r="L31" s="382">
        <f t="shared" ref="L31:AK31" si="6">L12*100/L$6</f>
        <v>1.5315201761991357</v>
      </c>
      <c r="M31" s="382">
        <f t="shared" si="6"/>
        <v>2.0743352449501389</v>
      </c>
      <c r="N31" s="382">
        <f t="shared" si="6"/>
        <v>3.388030046940862</v>
      </c>
      <c r="O31" s="382">
        <f t="shared" si="6"/>
        <v>2.3568841990888045</v>
      </c>
      <c r="P31" s="382">
        <f t="shared" si="6"/>
        <v>4.9921667231396123</v>
      </c>
      <c r="Q31" s="382">
        <f t="shared" si="6"/>
        <v>2.9398987336033939</v>
      </c>
      <c r="R31" s="382">
        <f t="shared" si="6"/>
        <v>3.63584358151267</v>
      </c>
      <c r="S31" s="382">
        <f t="shared" si="6"/>
        <v>3.4435405872011744</v>
      </c>
      <c r="T31" s="382">
        <f t="shared" si="6"/>
        <v>3.8165869127698278</v>
      </c>
      <c r="U31" s="382">
        <f t="shared" si="6"/>
        <v>3.3006026512134921</v>
      </c>
      <c r="V31" s="382">
        <f t="shared" si="6"/>
        <v>2.9971064804112051</v>
      </c>
      <c r="W31" s="382">
        <f t="shared" si="6"/>
        <v>3.2670173454957614</v>
      </c>
      <c r="X31" s="382">
        <f t="shared" si="6"/>
        <v>2.9034969037545428</v>
      </c>
      <c r="Y31" s="382">
        <f t="shared" si="6"/>
        <v>2.3419859550842554</v>
      </c>
      <c r="Z31" s="382">
        <f t="shared" si="6"/>
        <v>2.883403307601331</v>
      </c>
      <c r="AA31" s="382">
        <f t="shared" si="6"/>
        <v>3.1592750703872059</v>
      </c>
      <c r="AB31" s="382">
        <f t="shared" si="6"/>
        <v>2.4535651305171609</v>
      </c>
      <c r="AC31" s="382">
        <f t="shared" si="6"/>
        <v>3.3588154898450351</v>
      </c>
      <c r="AD31" s="382">
        <f t="shared" si="6"/>
        <v>2.8790823964469703</v>
      </c>
      <c r="AE31" s="382">
        <f t="shared" si="6"/>
        <v>2.7254894206051019</v>
      </c>
      <c r="AF31" s="382">
        <f t="shared" si="6"/>
        <v>3.052544129561793</v>
      </c>
      <c r="AG31" s="382">
        <f t="shared" si="6"/>
        <v>2.2870787157957593</v>
      </c>
      <c r="AH31" s="382">
        <f t="shared" si="6"/>
        <v>3.1162495005491935</v>
      </c>
      <c r="AI31" s="382">
        <f t="shared" si="6"/>
        <v>2.1867407981643834</v>
      </c>
      <c r="AJ31" s="382">
        <f t="shared" si="6"/>
        <v>2.6033015569186597</v>
      </c>
      <c r="AK31" s="382">
        <f t="shared" si="6"/>
        <v>2.7938825776019116</v>
      </c>
      <c r="AL31" s="383">
        <f t="shared" ref="AL31:AO31" si="7">AL12*100/AL$6</f>
        <v>3.1503583580134626</v>
      </c>
      <c r="AM31" s="383">
        <f t="shared" si="7"/>
        <v>2.6167817299194343</v>
      </c>
      <c r="AN31" s="383">
        <f t="shared" si="7"/>
        <v>3.2578859855850162</v>
      </c>
      <c r="AO31" s="383">
        <f t="shared" si="7"/>
        <v>2.0144871558507971</v>
      </c>
    </row>
    <row r="32" spans="1:41">
      <c r="A32" s="385" t="s">
        <v>50</v>
      </c>
      <c r="B32" s="383">
        <f>B13*100/$B$6</f>
        <v>3.7304988575364333</v>
      </c>
      <c r="C32" s="382">
        <f>C13*100/$C$6</f>
        <v>3.7304988575364333</v>
      </c>
      <c r="D32" s="383" t="s">
        <v>149</v>
      </c>
      <c r="E32" s="382">
        <f>SUM(E13*100/E6)</f>
        <v>3.7365738885569235</v>
      </c>
      <c r="F32" s="382">
        <f>F13*100/$F$6</f>
        <v>2.8005458900035802</v>
      </c>
      <c r="G32" s="382">
        <f>G13*100/$G$6</f>
        <v>2.3100819539462889</v>
      </c>
      <c r="H32" s="382">
        <f>H13*100/$H$6</f>
        <v>3.0490214827564226</v>
      </c>
      <c r="I32" s="382">
        <f>I13*100/$I$6</f>
        <v>2.5671184807820837</v>
      </c>
      <c r="J32" s="382">
        <f>J13*100/$J$6</f>
        <v>3.084382146963478</v>
      </c>
      <c r="K32" s="382">
        <f>K13*100/$K$6</f>
        <v>2.9042637727592826</v>
      </c>
      <c r="L32" s="382">
        <f t="shared" ref="L32:AK32" si="8">L13*100/L$6</f>
        <v>3.3553646916497977</v>
      </c>
      <c r="M32" s="382">
        <f t="shared" si="8"/>
        <v>3.0874013974521128</v>
      </c>
      <c r="N32" s="382">
        <f t="shared" si="8"/>
        <v>3.2300527943349024</v>
      </c>
      <c r="O32" s="382">
        <f t="shared" si="8"/>
        <v>3.3403840123356923</v>
      </c>
      <c r="P32" s="382">
        <f t="shared" si="8"/>
        <v>2.3159742583393452</v>
      </c>
      <c r="Q32" s="382">
        <f t="shared" si="8"/>
        <v>2.9939821921240886</v>
      </c>
      <c r="R32" s="382">
        <f t="shared" si="8"/>
        <v>3.4653369968907186</v>
      </c>
      <c r="S32" s="382">
        <f t="shared" si="8"/>
        <v>2.2421873340039067</v>
      </c>
      <c r="T32" s="382">
        <f t="shared" si="8"/>
        <v>2.0607676300709672</v>
      </c>
      <c r="U32" s="382">
        <f t="shared" si="8"/>
        <v>2.9224630191300811</v>
      </c>
      <c r="V32" s="382">
        <f t="shared" si="8"/>
        <v>3.4327284583960198</v>
      </c>
      <c r="W32" s="382">
        <f t="shared" si="8"/>
        <v>3.1887399598369361</v>
      </c>
      <c r="X32" s="382">
        <f t="shared" si="8"/>
        <v>2.3087154890589323</v>
      </c>
      <c r="Y32" s="382">
        <f t="shared" si="8"/>
        <v>1.9486433185147543</v>
      </c>
      <c r="Z32" s="382">
        <f t="shared" si="8"/>
        <v>2.1889602843661349</v>
      </c>
      <c r="AA32" s="382">
        <f t="shared" si="8"/>
        <v>2.6692138916029418</v>
      </c>
      <c r="AB32" s="382">
        <f t="shared" si="8"/>
        <v>3.2009658609535969</v>
      </c>
      <c r="AC32" s="382">
        <f t="shared" si="8"/>
        <v>2.3148924601525831</v>
      </c>
      <c r="AD32" s="382">
        <f t="shared" si="8"/>
        <v>2.8011368795597122</v>
      </c>
      <c r="AE32" s="382">
        <f t="shared" si="8"/>
        <v>2.5059125964010285</v>
      </c>
      <c r="AF32" s="382">
        <f t="shared" si="8"/>
        <v>2.4261985369354386</v>
      </c>
      <c r="AG32" s="382">
        <f t="shared" si="8"/>
        <v>2.4133628443950599</v>
      </c>
      <c r="AH32" s="382">
        <f t="shared" si="8"/>
        <v>3.5867442925107453</v>
      </c>
      <c r="AI32" s="382">
        <f t="shared" si="8"/>
        <v>2.8137022982733608</v>
      </c>
      <c r="AJ32" s="382">
        <f t="shared" si="8"/>
        <v>2.0884574757407037</v>
      </c>
      <c r="AK32" s="382">
        <f t="shared" si="8"/>
        <v>2.9920488076378318</v>
      </c>
      <c r="AL32" s="383">
        <f t="shared" ref="AL32:AO32" si="9">AL13*100/AL$6</f>
        <v>4.0106371569166432</v>
      </c>
      <c r="AM32" s="383">
        <f t="shared" si="9"/>
        <v>3.8912300026897904</v>
      </c>
      <c r="AN32" s="383">
        <f t="shared" si="9"/>
        <v>3.4470912376411094</v>
      </c>
      <c r="AO32" s="383">
        <f t="shared" si="9"/>
        <v>3.3715213849474064</v>
      </c>
    </row>
    <row r="33" spans="1:41">
      <c r="A33" s="385" t="s">
        <v>49</v>
      </c>
      <c r="B33" s="383">
        <f>ROUNDUP(B14*100/$B$6,1)</f>
        <v>23</v>
      </c>
      <c r="C33" s="382">
        <f>ROUNDUP(C14*100/$C$6,2)</f>
        <v>22.950000000000003</v>
      </c>
      <c r="D33" s="383" t="s">
        <v>149</v>
      </c>
      <c r="E33" s="382">
        <f>SUM(E14*100/E6)</f>
        <v>17.691432438012676</v>
      </c>
      <c r="F33" s="382">
        <f>F14*100/$F$6</f>
        <v>21.221106915922277</v>
      </c>
      <c r="G33" s="382">
        <f>G14*100/$G$6</f>
        <v>20.089940590752054</v>
      </c>
      <c r="H33" s="382">
        <f>H14*100/$H$6</f>
        <v>17.355453560272839</v>
      </c>
      <c r="I33" s="382">
        <f>ROUNDDOWN(I14*100/$I$6,1)</f>
        <v>17.5</v>
      </c>
      <c r="J33" s="382">
        <f>J14*100/$J$6</f>
        <v>21.734622542956043</v>
      </c>
      <c r="K33" s="382">
        <f>K14*100/$K$6</f>
        <v>19.162695325423243</v>
      </c>
      <c r="L33" s="382">
        <f t="shared" ref="L33:AK33" si="10">L14*100/L$6</f>
        <v>18.73477744449114</v>
      </c>
      <c r="M33" s="382">
        <f t="shared" si="10"/>
        <v>23.599082720947674</v>
      </c>
      <c r="N33" s="382">
        <f t="shared" si="10"/>
        <v>17.944419944112635</v>
      </c>
      <c r="O33" s="382">
        <f t="shared" si="10"/>
        <v>21.82022033538329</v>
      </c>
      <c r="P33" s="382">
        <f t="shared" si="10"/>
        <v>15.214874348737736</v>
      </c>
      <c r="Q33" s="382">
        <f t="shared" si="10"/>
        <v>16.124740758276531</v>
      </c>
      <c r="R33" s="382">
        <f t="shared" si="10"/>
        <v>19.158315474973101</v>
      </c>
      <c r="S33" s="382">
        <f t="shared" si="10"/>
        <v>18.120775355264602</v>
      </c>
      <c r="T33" s="382">
        <f t="shared" si="10"/>
        <v>16.845247075769525</v>
      </c>
      <c r="U33" s="382">
        <f t="shared" si="10"/>
        <v>18.715723153215741</v>
      </c>
      <c r="V33" s="382">
        <f t="shared" si="10"/>
        <v>19.120267269078624</v>
      </c>
      <c r="W33" s="382">
        <f t="shared" si="10"/>
        <v>17.677881048979962</v>
      </c>
      <c r="X33" s="382">
        <f t="shared" si="10"/>
        <v>17.514300258773734</v>
      </c>
      <c r="Y33" s="382">
        <f t="shared" si="10"/>
        <v>16.72396453802077</v>
      </c>
      <c r="Z33" s="382">
        <f t="shared" si="10"/>
        <v>19.516758478519947</v>
      </c>
      <c r="AA33" s="382">
        <f t="shared" si="10"/>
        <v>19.06762780567864</v>
      </c>
      <c r="AB33" s="382">
        <f t="shared" si="10"/>
        <v>20.449718369597342</v>
      </c>
      <c r="AC33" s="382">
        <f t="shared" si="10"/>
        <v>18.652863749942654</v>
      </c>
      <c r="AD33" s="382">
        <f t="shared" si="10"/>
        <v>21.229224908172949</v>
      </c>
      <c r="AE33" s="382">
        <f t="shared" si="10"/>
        <v>20.278742337354164</v>
      </c>
      <c r="AF33" s="382">
        <f t="shared" si="10"/>
        <v>19.447490761273965</v>
      </c>
      <c r="AG33" s="382">
        <f t="shared" si="10"/>
        <v>20.002650397245468</v>
      </c>
      <c r="AH33" s="382">
        <f t="shared" si="10"/>
        <v>17.14285021005243</v>
      </c>
      <c r="AI33" s="382">
        <f t="shared" si="10"/>
        <v>17.902932340371514</v>
      </c>
      <c r="AJ33" s="382">
        <f t="shared" si="10"/>
        <v>17.195961566720083</v>
      </c>
      <c r="AK33" s="382">
        <f t="shared" si="10"/>
        <v>19.050084673904525</v>
      </c>
      <c r="AL33" s="383">
        <f t="shared" ref="AL33:AO33" si="11">AL14*100/AL$6</f>
        <v>20.062306243038261</v>
      </c>
      <c r="AM33" s="383">
        <f t="shared" si="11"/>
        <v>20.971313172714424</v>
      </c>
      <c r="AN33" s="383">
        <f t="shared" si="11"/>
        <v>19.938523323004198</v>
      </c>
      <c r="AO33" s="383">
        <f t="shared" si="11"/>
        <v>18.361798489551745</v>
      </c>
    </row>
    <row r="34" spans="1:41">
      <c r="A34" s="385" t="s">
        <v>48</v>
      </c>
      <c r="B34" s="382"/>
      <c r="C34" s="382"/>
      <c r="D34" s="383"/>
      <c r="E34" s="382"/>
      <c r="F34" s="382"/>
      <c r="G34" s="382"/>
      <c r="H34" s="382"/>
      <c r="I34" s="382"/>
      <c r="J34" s="382"/>
      <c r="K34" s="382"/>
      <c r="L34" s="382"/>
      <c r="M34" s="382"/>
      <c r="N34" s="382"/>
      <c r="O34" s="382"/>
      <c r="P34" s="382"/>
      <c r="Q34" s="382"/>
      <c r="R34" s="382"/>
      <c r="S34" s="382"/>
      <c r="T34" s="382"/>
      <c r="U34" s="382"/>
      <c r="V34" s="382"/>
      <c r="W34" s="382"/>
      <c r="X34" s="382"/>
      <c r="Y34" s="382"/>
      <c r="Z34" s="382"/>
      <c r="AA34" s="382"/>
      <c r="AB34" s="382"/>
      <c r="AC34" s="382"/>
      <c r="AD34" s="382"/>
      <c r="AE34" s="382"/>
      <c r="AF34" s="382"/>
      <c r="AG34" s="382"/>
      <c r="AH34" s="382"/>
      <c r="AI34" s="382"/>
      <c r="AJ34" s="382"/>
      <c r="AK34" s="382"/>
      <c r="AL34" s="383"/>
      <c r="AM34" s="383"/>
      <c r="AN34" s="383"/>
      <c r="AO34" s="383"/>
    </row>
    <row r="35" spans="1:41">
      <c r="A35" s="386" t="s">
        <v>47</v>
      </c>
      <c r="B35" s="383">
        <f>B16*100/$B$6</f>
        <v>21.624881107260382</v>
      </c>
      <c r="C35" s="382">
        <f>C16*100/$C$6</f>
        <v>21.624881107260382</v>
      </c>
      <c r="D35" s="383" t="s">
        <v>149</v>
      </c>
      <c r="E35" s="382">
        <f>SUM(E16*100/E6)</f>
        <v>37.308107670032989</v>
      </c>
      <c r="F35" s="382">
        <f>F16*100/$F$6</f>
        <v>25.1284530970118</v>
      </c>
      <c r="G35" s="382">
        <f>G16*100/$G$6</f>
        <v>29.497826431174254</v>
      </c>
      <c r="H35" s="382">
        <f>H16*100/$H$6</f>
        <v>36.252310830624083</v>
      </c>
      <c r="I35" s="382">
        <f>I16*100/$I$6</f>
        <v>35.415756680591286</v>
      </c>
      <c r="J35" s="382">
        <f>J16*100/$J$6</f>
        <v>25.218672972593627</v>
      </c>
      <c r="K35" s="382">
        <f>K16*100/$K$6</f>
        <v>31.829724102064599</v>
      </c>
      <c r="L35" s="382">
        <f t="shared" ref="L35:AK35" si="12">L16*100/L$6</f>
        <v>33.530469681120302</v>
      </c>
      <c r="M35" s="382">
        <f t="shared" si="12"/>
        <v>30.044416008078787</v>
      </c>
      <c r="N35" s="382">
        <f t="shared" si="12"/>
        <v>25.369018232903038</v>
      </c>
      <c r="O35" s="382">
        <f t="shared" si="12"/>
        <v>25.697361421534065</v>
      </c>
      <c r="P35" s="382">
        <f t="shared" si="12"/>
        <v>36.927054875449024</v>
      </c>
      <c r="Q35" s="382">
        <f t="shared" si="12"/>
        <v>37.146584431267414</v>
      </c>
      <c r="R35" s="382">
        <f t="shared" si="12"/>
        <v>28.174490258672048</v>
      </c>
      <c r="S35" s="382">
        <f t="shared" si="12"/>
        <v>34.224863114466835</v>
      </c>
      <c r="T35" s="382">
        <f t="shared" si="12"/>
        <v>35.609640495432537</v>
      </c>
      <c r="U35" s="382">
        <f t="shared" si="12"/>
        <v>35.649050273649962</v>
      </c>
      <c r="V35" s="382">
        <f t="shared" si="12"/>
        <v>30.253244318400824</v>
      </c>
      <c r="W35" s="382">
        <f t="shared" si="12"/>
        <v>32.38115347794556</v>
      </c>
      <c r="X35" s="382">
        <f t="shared" si="12"/>
        <v>39.263396234148694</v>
      </c>
      <c r="Y35" s="382">
        <f t="shared" si="12"/>
        <v>36.539274722763189</v>
      </c>
      <c r="Z35" s="382">
        <f t="shared" si="12"/>
        <v>27.330235296791844</v>
      </c>
      <c r="AA35" s="382">
        <f t="shared" si="12"/>
        <v>27.950574387498076</v>
      </c>
      <c r="AB35" s="382">
        <f t="shared" si="12"/>
        <v>33.417110499548386</v>
      </c>
      <c r="AC35" s="382">
        <f t="shared" si="12"/>
        <v>33.296602730742869</v>
      </c>
      <c r="AD35" s="382">
        <f t="shared" si="12"/>
        <v>22.126000133391297</v>
      </c>
      <c r="AE35" s="382">
        <f t="shared" si="12"/>
        <v>30.617362072374927</v>
      </c>
      <c r="AF35" s="382">
        <f t="shared" si="12"/>
        <v>35.019307486691901</v>
      </c>
      <c r="AG35" s="382">
        <f t="shared" si="12"/>
        <v>33.021420644297372</v>
      </c>
      <c r="AH35" s="382">
        <f t="shared" si="12"/>
        <v>29.02161024557612</v>
      </c>
      <c r="AI35" s="382">
        <f t="shared" si="12"/>
        <v>30.892444127934315</v>
      </c>
      <c r="AJ35" s="382">
        <f t="shared" si="12"/>
        <v>35.341138057763786</v>
      </c>
      <c r="AK35" s="382">
        <f t="shared" si="12"/>
        <v>31.270361916615006</v>
      </c>
      <c r="AL35" s="383">
        <f t="shared" ref="AL35:AO35" si="13">AL16*100/AL$6</f>
        <v>25.847041466839954</v>
      </c>
      <c r="AM35" s="383">
        <f t="shared" si="13"/>
        <v>26.202485707820458</v>
      </c>
      <c r="AN35" s="383">
        <f t="shared" si="13"/>
        <v>31.780556261723341</v>
      </c>
      <c r="AO35" s="383">
        <f t="shared" si="13"/>
        <v>33.639549618467079</v>
      </c>
    </row>
    <row r="36" spans="1:41">
      <c r="A36" s="385" t="s">
        <v>46</v>
      </c>
      <c r="B36" s="382"/>
      <c r="C36" s="382"/>
      <c r="D36" s="383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382"/>
      <c r="AA36" s="382"/>
      <c r="AB36" s="382"/>
      <c r="AC36" s="382"/>
      <c r="AD36" s="382"/>
      <c r="AE36" s="382"/>
      <c r="AF36" s="382"/>
      <c r="AG36" s="382"/>
      <c r="AH36" s="382"/>
      <c r="AI36" s="382"/>
      <c r="AJ36" s="382"/>
      <c r="AK36" s="382"/>
      <c r="AL36" s="383"/>
      <c r="AM36" s="383"/>
      <c r="AN36" s="383"/>
      <c r="AO36" s="383"/>
    </row>
    <row r="37" spans="1:41">
      <c r="A37" s="385" t="s">
        <v>45</v>
      </c>
      <c r="B37" s="383">
        <f>B18*100/$B$6</f>
        <v>12.634130142452634</v>
      </c>
      <c r="C37" s="382">
        <f>C18*100/$C$6</f>
        <v>12.634130142452634</v>
      </c>
      <c r="D37" s="383" t="s">
        <v>149</v>
      </c>
      <c r="E37" s="382">
        <f>SUM(E18*100/E6)</f>
        <v>13.464414332420196</v>
      </c>
      <c r="F37" s="382">
        <f>F18*100/$F$6</f>
        <v>17.787296078856318</v>
      </c>
      <c r="G37" s="382">
        <f>G18*100/$G$6</f>
        <v>16.162364408924933</v>
      </c>
      <c r="H37" s="382">
        <f>H18*100/$H$6</f>
        <v>15.467138394849238</v>
      </c>
      <c r="I37" s="382">
        <f>I18*100/$I$6</f>
        <v>12.137899455856202</v>
      </c>
      <c r="J37" s="382">
        <f>J18*100/$J$6</f>
        <v>11.528714675431399</v>
      </c>
      <c r="K37" s="382">
        <f>K18*100/$K$6</f>
        <v>12.350398057335152</v>
      </c>
      <c r="L37" s="382">
        <f t="shared" ref="L37:AK37" si="14">L18*100/L$6</f>
        <v>11.84336205931168</v>
      </c>
      <c r="M37" s="382">
        <f t="shared" si="14"/>
        <v>9.5297026639704363</v>
      </c>
      <c r="N37" s="382">
        <f t="shared" si="14"/>
        <v>14.802767894499132</v>
      </c>
      <c r="O37" s="382">
        <f t="shared" si="14"/>
        <v>14.574599046726894</v>
      </c>
      <c r="P37" s="382">
        <f t="shared" si="14"/>
        <v>10.071230931003397</v>
      </c>
      <c r="Q37" s="382">
        <f t="shared" si="14"/>
        <v>9.9940438938579064</v>
      </c>
      <c r="R37" s="382">
        <f t="shared" si="14"/>
        <v>13.934115247927393</v>
      </c>
      <c r="S37" s="382">
        <f t="shared" si="14"/>
        <v>11.552585590658348</v>
      </c>
      <c r="T37" s="382">
        <f t="shared" si="14"/>
        <v>11.045250491760346</v>
      </c>
      <c r="U37" s="382">
        <f t="shared" si="14"/>
        <v>12.398263777103772</v>
      </c>
      <c r="V37" s="382">
        <f t="shared" si="14"/>
        <v>14.967151040424994</v>
      </c>
      <c r="W37" s="382">
        <f t="shared" si="14"/>
        <v>16.050401892998597</v>
      </c>
      <c r="X37" s="382">
        <f t="shared" si="14"/>
        <v>11.925252415093414</v>
      </c>
      <c r="Y37" s="382">
        <f t="shared" si="14"/>
        <v>13.60295673983669</v>
      </c>
      <c r="Z37" s="382">
        <f t="shared" si="14"/>
        <v>14.935997544775317</v>
      </c>
      <c r="AA37" s="382">
        <f t="shared" si="14"/>
        <v>15.280329362529216</v>
      </c>
      <c r="AB37" s="382">
        <f t="shared" si="14"/>
        <v>12.626771276239785</v>
      </c>
      <c r="AC37" s="382">
        <f t="shared" si="14"/>
        <v>12.37714125896942</v>
      </c>
      <c r="AD37" s="382">
        <f t="shared" si="14"/>
        <v>11.267145000357585</v>
      </c>
      <c r="AE37" s="382">
        <f t="shared" si="14"/>
        <v>11.035000988728495</v>
      </c>
      <c r="AF37" s="382">
        <f t="shared" si="14"/>
        <v>11.428842160469932</v>
      </c>
      <c r="AG37" s="382">
        <f t="shared" si="14"/>
        <v>13.700203019847439</v>
      </c>
      <c r="AH37" s="382">
        <f t="shared" si="14"/>
        <v>12.819345205838438</v>
      </c>
      <c r="AI37" s="382">
        <f t="shared" si="14"/>
        <v>13.009231574972317</v>
      </c>
      <c r="AJ37" s="382">
        <f t="shared" si="14"/>
        <v>12.815247755250571</v>
      </c>
      <c r="AK37" s="382">
        <f t="shared" si="14"/>
        <v>11.197777498038526</v>
      </c>
      <c r="AL37" s="383">
        <f t="shared" ref="AL37:AO37" si="15">AL18*100/AL$6</f>
        <v>11.92483053259255</v>
      </c>
      <c r="AM37" s="383">
        <f t="shared" si="15"/>
        <v>15.532898697372971</v>
      </c>
      <c r="AN37" s="383">
        <f t="shared" si="15"/>
        <v>13.287482049978356</v>
      </c>
      <c r="AO37" s="383">
        <f t="shared" si="15"/>
        <v>11.361313804676167</v>
      </c>
    </row>
    <row r="38" spans="1:41">
      <c r="A38" s="385" t="s">
        <v>44</v>
      </c>
      <c r="B38" s="382"/>
      <c r="C38" s="382"/>
      <c r="D38" s="383"/>
      <c r="E38" s="382"/>
      <c r="F38" s="382"/>
      <c r="G38" s="382"/>
      <c r="H38" s="382"/>
      <c r="I38" s="382"/>
      <c r="J38" s="382"/>
      <c r="K38" s="382"/>
      <c r="L38" s="382"/>
      <c r="M38" s="382"/>
      <c r="N38" s="382"/>
      <c r="O38" s="382"/>
      <c r="P38" s="382"/>
      <c r="Q38" s="382"/>
      <c r="R38" s="382"/>
      <c r="S38" s="382"/>
      <c r="T38" s="382"/>
      <c r="U38" s="382"/>
      <c r="V38" s="382"/>
      <c r="W38" s="382"/>
      <c r="X38" s="382"/>
      <c r="Y38" s="382"/>
      <c r="Z38" s="382"/>
      <c r="AA38" s="382"/>
      <c r="AB38" s="382"/>
      <c r="AC38" s="382"/>
      <c r="AD38" s="382"/>
      <c r="AE38" s="382"/>
      <c r="AF38" s="382"/>
      <c r="AG38" s="382"/>
      <c r="AH38" s="382"/>
      <c r="AI38" s="382"/>
      <c r="AJ38" s="382"/>
      <c r="AK38" s="382"/>
      <c r="AL38" s="383"/>
      <c r="AM38" s="383"/>
      <c r="AN38" s="383"/>
      <c r="AO38" s="383"/>
    </row>
    <row r="39" spans="1:41">
      <c r="A39" s="385" t="s">
        <v>43</v>
      </c>
      <c r="B39" s="383">
        <f>B20*100/$B$6</f>
        <v>11.761976735287366</v>
      </c>
      <c r="C39" s="382">
        <f>C20*100/$C$6</f>
        <v>11.761976735287366</v>
      </c>
      <c r="D39" s="383" t="s">
        <v>149</v>
      </c>
      <c r="E39" s="382">
        <f>SUM(E20*100/E6)</f>
        <v>8.704822047541894</v>
      </c>
      <c r="F39" s="382">
        <f>F20*100/$F$6</f>
        <v>9.6614360286017558</v>
      </c>
      <c r="G39" s="382">
        <f>G20*100/$G$6</f>
        <v>12.135025407124072</v>
      </c>
      <c r="H39" s="382">
        <f>H20*100/$H$6</f>
        <v>7.8036590807675141</v>
      </c>
      <c r="I39" s="382">
        <f>I20*100/$I$6</f>
        <v>8.986757518072876</v>
      </c>
      <c r="J39" s="382">
        <f>J20*100/$J$6</f>
        <v>12.308440386065335</v>
      </c>
      <c r="K39" s="382">
        <f>K20*100/$K$6</f>
        <v>10.939364025271344</v>
      </c>
      <c r="L39" s="382">
        <f t="shared" ref="L39:AK39" si="16">L20*100/L$6</f>
        <v>12.154497279077898</v>
      </c>
      <c r="M39" s="382">
        <f t="shared" si="16"/>
        <v>10.069464211018735</v>
      </c>
      <c r="N39" s="382">
        <f t="shared" si="16"/>
        <v>13.32616282898347</v>
      </c>
      <c r="O39" s="382">
        <f t="shared" si="16"/>
        <v>10.813571125638573</v>
      </c>
      <c r="P39" s="382">
        <f t="shared" si="16"/>
        <v>10.346739718902265</v>
      </c>
      <c r="Q39" s="382">
        <f t="shared" si="16"/>
        <v>10.504909065495761</v>
      </c>
      <c r="R39" s="382">
        <f t="shared" si="16"/>
        <v>11.027796797054927</v>
      </c>
      <c r="S39" s="382">
        <f t="shared" si="16"/>
        <v>9.9441018997748198</v>
      </c>
      <c r="T39" s="382">
        <f t="shared" si="16"/>
        <v>9.8192656189063712</v>
      </c>
      <c r="U39" s="382">
        <f t="shared" si="16"/>
        <v>9.7069488452479789</v>
      </c>
      <c r="V39" s="382">
        <f t="shared" si="16"/>
        <v>9.6809478236177213</v>
      </c>
      <c r="W39" s="382">
        <f t="shared" si="16"/>
        <v>9.446759370605708</v>
      </c>
      <c r="X39" s="382">
        <f t="shared" si="16"/>
        <v>9.2776666667886545</v>
      </c>
      <c r="Y39" s="382">
        <f t="shared" si="16"/>
        <v>10.339318476991071</v>
      </c>
      <c r="Z39" s="382">
        <f t="shared" si="16"/>
        <v>8.8060759155909505</v>
      </c>
      <c r="AA39" s="382">
        <f t="shared" si="16"/>
        <v>10.444138234758537</v>
      </c>
      <c r="AB39" s="382">
        <f t="shared" si="16"/>
        <v>9.8217772796655396</v>
      </c>
      <c r="AC39" s="382">
        <f t="shared" si="16"/>
        <v>8.6109211253813012</v>
      </c>
      <c r="AD39" s="382">
        <f t="shared" si="16"/>
        <v>12.324070138108207</v>
      </c>
      <c r="AE39" s="382">
        <f t="shared" si="16"/>
        <v>9.557919715246193</v>
      </c>
      <c r="AF39" s="382">
        <f t="shared" si="16"/>
        <v>9.2257980635953434</v>
      </c>
      <c r="AG39" s="382">
        <f t="shared" si="16"/>
        <v>8.2757636254281639</v>
      </c>
      <c r="AH39" s="382">
        <f t="shared" si="16"/>
        <v>10.461937400008736</v>
      </c>
      <c r="AI39" s="382">
        <f t="shared" si="16"/>
        <v>11.17082046291203</v>
      </c>
      <c r="AJ39" s="382">
        <f t="shared" si="16"/>
        <v>9.801194173614471</v>
      </c>
      <c r="AK39" s="382">
        <f t="shared" si="16"/>
        <v>10.335204155552969</v>
      </c>
      <c r="AL39" s="383">
        <f t="shared" ref="AL39:AO39" si="17">AL20*100/AL$6</f>
        <v>12.760196968123154</v>
      </c>
      <c r="AM39" s="383">
        <f t="shared" si="17"/>
        <v>10.896981030573951</v>
      </c>
      <c r="AN39" s="383">
        <f t="shared" si="17"/>
        <v>11.964677105735074</v>
      </c>
      <c r="AO39" s="383">
        <f t="shared" si="17"/>
        <v>11.934676825305722</v>
      </c>
    </row>
    <row r="40" spans="1:41">
      <c r="A40" s="385" t="s">
        <v>42</v>
      </c>
      <c r="B40" s="382"/>
      <c r="C40" s="382"/>
      <c r="D40" s="383"/>
      <c r="E40" s="382"/>
      <c r="F40" s="382"/>
      <c r="G40" s="382"/>
      <c r="H40" s="382"/>
      <c r="I40" s="382"/>
      <c r="J40" s="382"/>
      <c r="K40" s="382"/>
      <c r="L40" s="382"/>
      <c r="M40" s="382"/>
      <c r="N40" s="382"/>
      <c r="O40" s="382"/>
      <c r="P40" s="382"/>
      <c r="Q40" s="382"/>
      <c r="R40" s="382"/>
      <c r="S40" s="382"/>
      <c r="T40" s="382"/>
      <c r="U40" s="382"/>
      <c r="V40" s="382"/>
      <c r="W40" s="382"/>
      <c r="X40" s="382"/>
      <c r="Y40" s="382"/>
      <c r="Z40" s="382"/>
      <c r="AA40" s="382"/>
      <c r="AB40" s="382"/>
      <c r="AC40" s="382"/>
      <c r="AD40" s="382"/>
      <c r="AE40" s="382"/>
      <c r="AF40" s="382"/>
      <c r="AG40" s="382"/>
      <c r="AH40" s="382"/>
      <c r="AI40" s="382"/>
      <c r="AJ40" s="382"/>
      <c r="AK40" s="382"/>
      <c r="AL40" s="383"/>
      <c r="AM40" s="383"/>
      <c r="AN40" s="383"/>
      <c r="AO40" s="383"/>
    </row>
    <row r="41" spans="1:41">
      <c r="A41" s="385" t="s">
        <v>41</v>
      </c>
      <c r="B41" s="383">
        <f>B22*100/$B$6</f>
        <v>19.768036165258174</v>
      </c>
      <c r="C41" s="382">
        <f>C22*100/$C$6</f>
        <v>19.768036165258174</v>
      </c>
      <c r="D41" s="383" t="s">
        <v>149</v>
      </c>
      <c r="E41" s="382">
        <f>SUM(E22*100/E6)</f>
        <v>12.330250020421776</v>
      </c>
      <c r="F41" s="382">
        <f>F22*100/$F$6</f>
        <v>11.924352274922503</v>
      </c>
      <c r="G41" s="382">
        <f>G22*100/$G$6</f>
        <v>9.4010559898355535</v>
      </c>
      <c r="H41" s="382">
        <f>H22*100/$H$6</f>
        <v>11.142092178236757</v>
      </c>
      <c r="I41" s="382">
        <f>I22*100/$I$6</f>
        <v>13.806190974616854</v>
      </c>
      <c r="J41" s="382">
        <f>J22*100/$J$6</f>
        <v>14.814197482548725</v>
      </c>
      <c r="K41" s="382">
        <f>K22*100/$K$6</f>
        <v>14.129617373034058</v>
      </c>
      <c r="L41" s="382">
        <f t="shared" ref="L41:AK41" si="18">L22*100/L$6</f>
        <v>11.409848516740833</v>
      </c>
      <c r="M41" s="382">
        <f t="shared" si="18"/>
        <v>12.809297041490417</v>
      </c>
      <c r="N41" s="382">
        <f t="shared" si="18"/>
        <v>14.607275201695378</v>
      </c>
      <c r="O41" s="382">
        <f t="shared" si="18"/>
        <v>14.559552271896553</v>
      </c>
      <c r="P41" s="382">
        <f t="shared" si="18"/>
        <v>8.0805283367071237</v>
      </c>
      <c r="Q41" s="382">
        <f t="shared" si="18"/>
        <v>13.204548802923403</v>
      </c>
      <c r="R41" s="382">
        <f t="shared" si="18"/>
        <v>13.594954605678513</v>
      </c>
      <c r="S41" s="382">
        <f t="shared" si="18"/>
        <v>13.216674897657576</v>
      </c>
      <c r="T41" s="382">
        <f t="shared" si="18"/>
        <v>14.630759858691846</v>
      </c>
      <c r="U41" s="382">
        <f t="shared" si="18"/>
        <v>10.776908913250985</v>
      </c>
      <c r="V41" s="382">
        <f t="shared" si="18"/>
        <v>13.437202484459068</v>
      </c>
      <c r="W41" s="382">
        <f t="shared" si="18"/>
        <v>13.286949500661299</v>
      </c>
      <c r="X41" s="382">
        <f t="shared" si="18"/>
        <v>11.735046585493228</v>
      </c>
      <c r="Y41" s="382">
        <f t="shared" si="18"/>
        <v>12.324289332175104</v>
      </c>
      <c r="Z41" s="382">
        <f t="shared" si="18"/>
        <v>16.896163883279343</v>
      </c>
      <c r="AA41" s="382">
        <f t="shared" si="18"/>
        <v>15.45794909095746</v>
      </c>
      <c r="AB41" s="382">
        <f t="shared" si="18"/>
        <v>12.574507411498978</v>
      </c>
      <c r="AC41" s="382">
        <f t="shared" si="18"/>
        <v>14.91015458802219</v>
      </c>
      <c r="AD41" s="382">
        <f t="shared" si="18"/>
        <v>19.744644058181105</v>
      </c>
      <c r="AE41" s="382">
        <f t="shared" si="18"/>
        <v>15.490290686177575</v>
      </c>
      <c r="AF41" s="382">
        <f t="shared" si="18"/>
        <v>13.047262758844091</v>
      </c>
      <c r="AG41" s="382">
        <f t="shared" si="18"/>
        <v>14.810331961030652</v>
      </c>
      <c r="AH41" s="382">
        <f t="shared" si="18"/>
        <v>17.796544366599317</v>
      </c>
      <c r="AI41" s="382">
        <f t="shared" si="18"/>
        <v>15.652481459807161</v>
      </c>
      <c r="AJ41" s="382">
        <f t="shared" si="18"/>
        <v>13.414027116249978</v>
      </c>
      <c r="AK41" s="382">
        <f t="shared" si="18"/>
        <v>16.777308818674335</v>
      </c>
      <c r="AL41" s="383">
        <f t="shared" ref="AL41:AO41" si="19">AL22*100/AL$6</f>
        <v>14.558785154933789</v>
      </c>
      <c r="AM41" s="383">
        <f t="shared" si="19"/>
        <v>12.620837762948351</v>
      </c>
      <c r="AN41" s="383">
        <f t="shared" si="19"/>
        <v>8.8833712373662763</v>
      </c>
      <c r="AO41" s="383">
        <f t="shared" si="19"/>
        <v>11.545260474323797</v>
      </c>
    </row>
    <row r="42" spans="1:41">
      <c r="A42" s="384" t="s">
        <v>40</v>
      </c>
      <c r="B42" s="382">
        <f>SUM(B23*100/B6)</f>
        <v>0</v>
      </c>
      <c r="C42" s="382">
        <f>SUM(C23*100/C6)</f>
        <v>0</v>
      </c>
      <c r="D42" s="383" t="s">
        <v>149</v>
      </c>
      <c r="E42" s="382">
        <f>SUM(E23*100/E6)</f>
        <v>0</v>
      </c>
      <c r="F42" s="382">
        <f>F23*100/$F$6</f>
        <v>1.1340020093515859</v>
      </c>
      <c r="G42" s="382">
        <f>G23*100/$G$6</f>
        <v>0.28653549980445819</v>
      </c>
      <c r="H42" s="382">
        <f>H23*100/$H$6</f>
        <v>0.21584751705233632</v>
      </c>
      <c r="I42" s="382">
        <f>I23*100/$I$6</f>
        <v>1.2533197031168473</v>
      </c>
      <c r="J42" s="382">
        <f>J23*100/$J$6</f>
        <v>0</v>
      </c>
      <c r="K42" s="382">
        <f>K23*100/$K$6</f>
        <v>0</v>
      </c>
      <c r="L42" s="382">
        <f t="shared" ref="L42:AK42" si="20">L23*100/L$6</f>
        <v>0</v>
      </c>
      <c r="M42" s="382">
        <f t="shared" si="20"/>
        <v>0</v>
      </c>
      <c r="N42" s="382">
        <f t="shared" si="20"/>
        <v>0</v>
      </c>
      <c r="O42" s="382">
        <f t="shared" si="20"/>
        <v>0</v>
      </c>
      <c r="P42" s="382">
        <f t="shared" si="20"/>
        <v>0</v>
      </c>
      <c r="Q42" s="382">
        <f t="shared" si="20"/>
        <v>0</v>
      </c>
      <c r="R42" s="382">
        <f t="shared" si="20"/>
        <v>0</v>
      </c>
      <c r="S42" s="382">
        <f t="shared" si="20"/>
        <v>0</v>
      </c>
      <c r="T42" s="382">
        <f t="shared" si="20"/>
        <v>0</v>
      </c>
      <c r="U42" s="382">
        <f t="shared" si="20"/>
        <v>0</v>
      </c>
      <c r="V42" s="382">
        <f t="shared" si="20"/>
        <v>0</v>
      </c>
      <c r="W42" s="382">
        <f t="shared" si="20"/>
        <v>0</v>
      </c>
      <c r="X42" s="382">
        <f t="shared" si="20"/>
        <v>0</v>
      </c>
      <c r="Y42" s="382">
        <f t="shared" si="20"/>
        <v>0</v>
      </c>
      <c r="Z42" s="382">
        <f t="shared" si="20"/>
        <v>0</v>
      </c>
      <c r="AA42" s="382">
        <f t="shared" si="20"/>
        <v>0</v>
      </c>
      <c r="AB42" s="382">
        <f t="shared" si="20"/>
        <v>0</v>
      </c>
      <c r="AC42" s="382">
        <f t="shared" si="20"/>
        <v>0</v>
      </c>
      <c r="AD42" s="382">
        <f t="shared" si="20"/>
        <v>0</v>
      </c>
      <c r="AE42" s="382">
        <f t="shared" si="20"/>
        <v>0</v>
      </c>
      <c r="AF42" s="382">
        <f t="shared" si="20"/>
        <v>0</v>
      </c>
      <c r="AG42" s="382">
        <f t="shared" si="20"/>
        <v>0</v>
      </c>
      <c r="AH42" s="382">
        <f t="shared" si="20"/>
        <v>0</v>
      </c>
      <c r="AI42" s="382">
        <f t="shared" si="20"/>
        <v>0</v>
      </c>
      <c r="AJ42" s="382">
        <f t="shared" si="20"/>
        <v>0</v>
      </c>
      <c r="AK42" s="382">
        <f t="shared" si="20"/>
        <v>0</v>
      </c>
      <c r="AL42" s="383" t="s">
        <v>8</v>
      </c>
      <c r="AM42" s="383" t="s">
        <v>8</v>
      </c>
      <c r="AN42" s="383" t="s">
        <v>8</v>
      </c>
      <c r="AO42" s="383" t="s">
        <v>8</v>
      </c>
    </row>
    <row r="43" spans="1:41" ht="2.25" customHeight="1">
      <c r="A43" s="381"/>
      <c r="B43" s="381"/>
      <c r="C43" s="381"/>
      <c r="D43" s="381"/>
      <c r="E43" s="381"/>
      <c r="F43" s="380"/>
      <c r="G43" s="381"/>
      <c r="H43" s="381"/>
      <c r="I43" s="381"/>
      <c r="J43" s="380"/>
      <c r="K43" s="380"/>
      <c r="L43" s="380"/>
      <c r="M43" s="380"/>
      <c r="N43" s="378"/>
      <c r="O43" s="378"/>
      <c r="P43" s="379"/>
      <c r="Q43" s="380"/>
      <c r="R43" s="378"/>
      <c r="S43" s="378"/>
      <c r="T43" s="379"/>
      <c r="U43" s="378"/>
      <c r="V43" s="378"/>
      <c r="W43" s="378"/>
      <c r="X43" s="379"/>
      <c r="Y43" s="378"/>
      <c r="Z43" s="378"/>
      <c r="AA43" s="378"/>
      <c r="AB43" s="378"/>
      <c r="AC43" s="378"/>
      <c r="AD43" s="377"/>
      <c r="AE43" s="377"/>
      <c r="AF43" s="377"/>
      <c r="AG43" s="377"/>
      <c r="AH43" s="377"/>
      <c r="AI43" s="377"/>
      <c r="AJ43" s="377"/>
      <c r="AK43" s="377"/>
      <c r="AL43" s="377"/>
      <c r="AM43" s="377"/>
      <c r="AN43" s="377"/>
      <c r="AO43" s="377"/>
    </row>
    <row r="44" spans="1:41">
      <c r="T44" s="373"/>
      <c r="X44" s="373"/>
      <c r="AC44" s="376"/>
      <c r="AD44" s="375"/>
      <c r="AE44" s="375"/>
      <c r="AF44" s="375"/>
      <c r="AG44" s="375"/>
      <c r="AH44" s="375"/>
      <c r="AI44" s="375"/>
      <c r="AJ44" s="375"/>
      <c r="AK44" s="375"/>
      <c r="AL44" s="375"/>
      <c r="AM44" s="375"/>
      <c r="AN44" s="375"/>
      <c r="AO44" s="375"/>
    </row>
    <row r="45" spans="1:41">
      <c r="AC45" s="376"/>
      <c r="AD45" s="375"/>
      <c r="AE45" s="375"/>
      <c r="AF45" s="375"/>
      <c r="AG45" s="375"/>
      <c r="AH45" s="375"/>
      <c r="AI45" s="375"/>
      <c r="AJ45" s="375"/>
      <c r="AK45" s="375"/>
      <c r="AL45" s="375"/>
      <c r="AM45" s="375"/>
      <c r="AN45" s="375"/>
      <c r="AO45" s="375"/>
    </row>
    <row r="47" spans="1:41">
      <c r="AC47" s="374"/>
    </row>
    <row r="48" spans="1:41">
      <c r="AC48" s="374"/>
    </row>
    <row r="49" spans="29:41" s="370" customFormat="1" ht="21.75">
      <c r="AC49" s="374"/>
      <c r="AL49" s="636"/>
      <c r="AM49" s="636"/>
      <c r="AN49" s="636"/>
      <c r="AO49" s="636"/>
    </row>
    <row r="50" spans="29:41" s="370" customFormat="1" ht="21.75">
      <c r="AC50" s="374"/>
      <c r="AL50" s="636"/>
      <c r="AM50" s="636"/>
      <c r="AN50" s="636"/>
      <c r="AO50" s="636"/>
    </row>
  </sheetData>
  <sheetProtection selectLockedCells="1" selectUnlockedCells="1"/>
  <mergeCells count="14">
    <mergeCell ref="AL3:AO3"/>
    <mergeCell ref="A5:L5"/>
    <mergeCell ref="A24:L24"/>
    <mergeCell ref="A3:A4"/>
    <mergeCell ref="C3:E3"/>
    <mergeCell ref="F3:I3"/>
    <mergeCell ref="J3:M3"/>
    <mergeCell ref="AD3:AG3"/>
    <mergeCell ref="AH3:AK3"/>
    <mergeCell ref="Z3:AC3"/>
    <mergeCell ref="R3:U3"/>
    <mergeCell ref="Q24:AA24"/>
    <mergeCell ref="N3:Q3"/>
    <mergeCell ref="V3:Y3"/>
  </mergeCells>
  <pageMargins left="0.62" right="0.11811023622047245" top="1.0629921259842521" bottom="0.47244094488188981" header="0.43307086614173229" footer="0.51181102362204722"/>
  <pageSetup paperSize="9" scale="80" firstPageNumber="0" orientation="portrait" horizontalDpi="300" verticalDpi="300" r:id="rId1"/>
  <headerFooter alignWithMargins="0">
    <oddHeader>&amp;C&amp;"TH SarabunPSK,ธรรมดา"&amp;16 26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1"/>
  <sheetViews>
    <sheetView tabSelected="1" zoomScale="70" zoomScaleNormal="70" workbookViewId="0">
      <pane xSplit="1" topLeftCell="AF1" activePane="topRight" state="frozen"/>
      <selection activeCell="A33" sqref="A33"/>
      <selection pane="topRight" activeCell="AK33" sqref="AK33"/>
    </sheetView>
  </sheetViews>
  <sheetFormatPr defaultColWidth="8.140625" defaultRowHeight="23.25"/>
  <cols>
    <col min="1" max="1" width="28.5703125" style="424" customWidth="1"/>
    <col min="2" max="2" width="13" style="424" customWidth="1"/>
    <col min="3" max="3" width="11.28515625" style="424" customWidth="1"/>
    <col min="4" max="4" width="8.5703125" style="424" customWidth="1"/>
    <col min="5" max="5" width="10.42578125" style="424" customWidth="1"/>
    <col min="6" max="6" width="9.7109375" style="424" customWidth="1"/>
    <col min="7" max="7" width="10.5703125" style="424" customWidth="1"/>
    <col min="8" max="8" width="12.42578125" style="424" customWidth="1"/>
    <col min="9" max="15" width="10.28515625" style="424" customWidth="1"/>
    <col min="16" max="16" width="10.28515625" style="426" customWidth="1"/>
    <col min="17" max="24" width="10.28515625" style="424" customWidth="1"/>
    <col min="25" max="25" width="11" style="424" customWidth="1"/>
    <col min="26" max="27" width="10.140625" style="424" customWidth="1"/>
    <col min="28" max="28" width="11" style="424" customWidth="1"/>
    <col min="29" max="29" width="11" style="424" bestFit="1" customWidth="1"/>
    <col min="30" max="31" width="10.7109375" style="425" customWidth="1"/>
    <col min="32" max="32" width="10.5703125" style="425" customWidth="1"/>
    <col min="33" max="35" width="10.7109375" style="425" customWidth="1"/>
    <col min="36" max="36" width="10.5703125" style="425" customWidth="1"/>
    <col min="37" max="37" width="10.7109375" style="425" customWidth="1"/>
    <col min="38" max="41" width="10.42578125" style="424" customWidth="1"/>
    <col min="42" max="16384" width="8.140625" style="424"/>
  </cols>
  <sheetData>
    <row r="1" spans="1:41" s="461" customFormat="1" ht="27" customHeight="1">
      <c r="A1" s="463" t="s">
        <v>181</v>
      </c>
      <c r="B1" s="444"/>
      <c r="C1" s="444"/>
      <c r="D1" s="444"/>
      <c r="E1" s="444"/>
      <c r="F1" s="463"/>
      <c r="G1" s="463"/>
      <c r="H1" s="463"/>
      <c r="J1" s="463"/>
      <c r="K1" s="463"/>
      <c r="N1" s="424"/>
      <c r="P1" s="462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4"/>
      <c r="AC1" s="424"/>
      <c r="AD1" s="424"/>
      <c r="AE1" s="424"/>
      <c r="AF1" s="424"/>
      <c r="AG1" s="424"/>
      <c r="AH1" s="424"/>
      <c r="AI1" s="424"/>
      <c r="AJ1" s="424"/>
      <c r="AK1" s="424"/>
    </row>
    <row r="2" spans="1:41" ht="3.75" customHeight="1">
      <c r="A2" s="444"/>
      <c r="B2" s="444"/>
      <c r="C2" s="444"/>
      <c r="D2" s="444"/>
      <c r="E2" s="444"/>
      <c r="F2" s="444"/>
      <c r="G2" s="444"/>
      <c r="H2" s="444"/>
      <c r="J2" s="444"/>
      <c r="K2" s="444"/>
      <c r="P2" s="460"/>
      <c r="AD2" s="424"/>
      <c r="AE2" s="424"/>
      <c r="AF2" s="424"/>
      <c r="AG2" s="424"/>
      <c r="AH2" s="424"/>
      <c r="AI2" s="424"/>
      <c r="AJ2" s="424"/>
      <c r="AK2" s="424"/>
    </row>
    <row r="3" spans="1:41" ht="21.75">
      <c r="A3" s="662" t="s">
        <v>4</v>
      </c>
      <c r="B3" s="664" t="s">
        <v>162</v>
      </c>
      <c r="C3" s="664"/>
      <c r="D3" s="664"/>
      <c r="E3" s="664"/>
      <c r="F3" s="664" t="s">
        <v>161</v>
      </c>
      <c r="G3" s="664"/>
      <c r="H3" s="664"/>
      <c r="I3" s="664"/>
      <c r="J3" s="659" t="s">
        <v>164</v>
      </c>
      <c r="K3" s="659"/>
      <c r="L3" s="659"/>
      <c r="M3" s="659"/>
      <c r="N3" s="659" t="s">
        <v>180</v>
      </c>
      <c r="O3" s="659"/>
      <c r="P3" s="659"/>
      <c r="Q3" s="659"/>
      <c r="R3" s="659" t="s">
        <v>158</v>
      </c>
      <c r="S3" s="659"/>
      <c r="T3" s="659"/>
      <c r="U3" s="659"/>
      <c r="V3" s="659" t="s">
        <v>157</v>
      </c>
      <c r="W3" s="659"/>
      <c r="X3" s="659"/>
      <c r="Y3" s="659"/>
      <c r="Z3" s="659" t="s">
        <v>156</v>
      </c>
      <c r="AA3" s="659"/>
      <c r="AB3" s="659"/>
      <c r="AC3" s="659"/>
      <c r="AD3" s="659" t="s">
        <v>155</v>
      </c>
      <c r="AE3" s="659"/>
      <c r="AF3" s="659"/>
      <c r="AG3" s="659"/>
      <c r="AH3" s="659" t="s">
        <v>154</v>
      </c>
      <c r="AI3" s="659"/>
      <c r="AJ3" s="659"/>
      <c r="AK3" s="659"/>
      <c r="AL3" s="659" t="s">
        <v>197</v>
      </c>
      <c r="AM3" s="659"/>
      <c r="AN3" s="659"/>
      <c r="AO3" s="659"/>
    </row>
    <row r="4" spans="1:41" ht="21.75">
      <c r="A4" s="663"/>
      <c r="B4" s="458" t="s">
        <v>153</v>
      </c>
      <c r="C4" s="458" t="s">
        <v>152</v>
      </c>
      <c r="D4" s="458" t="s">
        <v>151</v>
      </c>
      <c r="E4" s="458" t="s">
        <v>150</v>
      </c>
      <c r="F4" s="459" t="s">
        <v>153</v>
      </c>
      <c r="G4" s="459" t="s">
        <v>152</v>
      </c>
      <c r="H4" s="458" t="s">
        <v>151</v>
      </c>
      <c r="I4" s="459" t="s">
        <v>150</v>
      </c>
      <c r="J4" s="458" t="s">
        <v>153</v>
      </c>
      <c r="K4" s="458" t="s">
        <v>152</v>
      </c>
      <c r="L4" s="458" t="s">
        <v>179</v>
      </c>
      <c r="M4" s="458" t="s">
        <v>150</v>
      </c>
      <c r="N4" s="458" t="s">
        <v>153</v>
      </c>
      <c r="O4" s="458" t="s">
        <v>152</v>
      </c>
      <c r="P4" s="458" t="s">
        <v>151</v>
      </c>
      <c r="Q4" s="457" t="s">
        <v>150</v>
      </c>
      <c r="R4" s="457" t="s">
        <v>153</v>
      </c>
      <c r="S4" s="457" t="s">
        <v>152</v>
      </c>
      <c r="T4" s="457" t="s">
        <v>151</v>
      </c>
      <c r="U4" s="457" t="s">
        <v>150</v>
      </c>
      <c r="V4" s="457" t="s">
        <v>153</v>
      </c>
      <c r="W4" s="457" t="s">
        <v>152</v>
      </c>
      <c r="X4" s="457" t="s">
        <v>151</v>
      </c>
      <c r="Y4" s="457" t="s">
        <v>150</v>
      </c>
      <c r="Z4" s="457" t="s">
        <v>153</v>
      </c>
      <c r="AA4" s="457" t="s">
        <v>152</v>
      </c>
      <c r="AB4" s="457" t="s">
        <v>151</v>
      </c>
      <c r="AC4" s="457" t="s">
        <v>150</v>
      </c>
      <c r="AD4" s="457" t="s">
        <v>153</v>
      </c>
      <c r="AE4" s="457" t="s">
        <v>152</v>
      </c>
      <c r="AF4" s="457" t="s">
        <v>151</v>
      </c>
      <c r="AG4" s="457" t="s">
        <v>150</v>
      </c>
      <c r="AH4" s="457" t="s">
        <v>153</v>
      </c>
      <c r="AI4" s="457" t="s">
        <v>152</v>
      </c>
      <c r="AJ4" s="457" t="s">
        <v>151</v>
      </c>
      <c r="AK4" s="457" t="s">
        <v>150</v>
      </c>
      <c r="AL4" s="457" t="s">
        <v>153</v>
      </c>
      <c r="AM4" s="457" t="s">
        <v>152</v>
      </c>
      <c r="AN4" s="457" t="s">
        <v>151</v>
      </c>
      <c r="AO4" s="457" t="s">
        <v>150</v>
      </c>
    </row>
    <row r="5" spans="1:41" s="444" customFormat="1" ht="18.75" customHeight="1">
      <c r="A5" s="660" t="s">
        <v>21</v>
      </c>
      <c r="B5" s="660"/>
      <c r="C5" s="660"/>
      <c r="D5" s="660"/>
      <c r="E5" s="660"/>
      <c r="F5" s="660"/>
      <c r="G5" s="660"/>
      <c r="H5" s="660"/>
      <c r="I5" s="660"/>
      <c r="J5" s="660"/>
      <c r="K5" s="660"/>
      <c r="N5" s="424"/>
      <c r="P5" s="456"/>
      <c r="AA5" s="446"/>
      <c r="AB5" s="446"/>
      <c r="AC5" s="446"/>
      <c r="AE5" s="446"/>
      <c r="AF5" s="446"/>
      <c r="AG5" s="446"/>
      <c r="AI5" s="446"/>
      <c r="AJ5" s="446"/>
      <c r="AK5" s="446"/>
    </row>
    <row r="6" spans="1:41" s="444" customFormat="1" ht="21.75">
      <c r="A6" s="453" t="s">
        <v>38</v>
      </c>
      <c r="B6" s="455">
        <v>1463504</v>
      </c>
      <c r="C6" s="455">
        <v>1497012</v>
      </c>
      <c r="D6" s="455">
        <v>0</v>
      </c>
      <c r="E6" s="455">
        <v>1554713</v>
      </c>
      <c r="F6" s="455">
        <v>1444247</v>
      </c>
      <c r="G6" s="454">
        <v>1502083</v>
      </c>
      <c r="H6" s="455">
        <v>1568700</v>
      </c>
      <c r="I6" s="454">
        <v>1596453</v>
      </c>
      <c r="J6" s="455">
        <v>1473724.65</v>
      </c>
      <c r="K6" s="454">
        <v>1558329.53</v>
      </c>
      <c r="L6" s="454">
        <v>1603167.91</v>
      </c>
      <c r="M6" s="454">
        <v>1616084.41</v>
      </c>
      <c r="N6" s="454">
        <v>1503381</v>
      </c>
      <c r="O6" s="454">
        <v>1501983</v>
      </c>
      <c r="P6" s="454">
        <v>1599586</v>
      </c>
      <c r="Q6" s="454">
        <v>1588286</v>
      </c>
      <c r="R6" s="454">
        <v>1349508</v>
      </c>
      <c r="S6" s="454">
        <v>1397340.87</v>
      </c>
      <c r="T6" s="454">
        <v>1405156</v>
      </c>
      <c r="U6" s="454">
        <v>1416408.19</v>
      </c>
      <c r="V6" s="454">
        <v>1362576</v>
      </c>
      <c r="W6" s="454">
        <v>1368352</v>
      </c>
      <c r="X6" s="454">
        <v>1366251.5</v>
      </c>
      <c r="Y6" s="454">
        <v>1389717</v>
      </c>
      <c r="Z6" s="454">
        <v>1280209</v>
      </c>
      <c r="AA6" s="454">
        <v>1281017.6100000001</v>
      </c>
      <c r="AB6" s="454">
        <v>1332622</v>
      </c>
      <c r="AC6" s="454">
        <v>1315215.74</v>
      </c>
      <c r="AD6" s="454">
        <v>1244459</v>
      </c>
      <c r="AE6" s="454">
        <v>1264250</v>
      </c>
      <c r="AF6" s="454">
        <v>1361389</v>
      </c>
      <c r="AG6" s="454">
        <v>1306823</v>
      </c>
      <c r="AH6" s="454">
        <v>1236358</v>
      </c>
      <c r="AI6" s="454">
        <v>1252549</v>
      </c>
      <c r="AJ6" s="454">
        <v>1299811</v>
      </c>
      <c r="AK6" s="454">
        <v>1263081</v>
      </c>
      <c r="AL6" s="454">
        <v>1184151</v>
      </c>
      <c r="AM6" s="454">
        <v>1171095</v>
      </c>
      <c r="AN6" s="454">
        <v>1164344</v>
      </c>
      <c r="AO6" s="454">
        <v>1198717</v>
      </c>
    </row>
    <row r="7" spans="1:41" ht="18" customHeight="1">
      <c r="A7" s="453"/>
      <c r="B7" s="451"/>
      <c r="C7" s="451"/>
      <c r="D7" s="448"/>
      <c r="E7" s="451"/>
      <c r="F7" s="451"/>
      <c r="G7" s="449"/>
      <c r="H7" s="452"/>
      <c r="I7" s="449"/>
      <c r="J7" s="451"/>
      <c r="K7" s="449"/>
      <c r="L7" s="449"/>
      <c r="M7" s="449"/>
      <c r="N7" s="449"/>
      <c r="O7" s="449"/>
      <c r="P7" s="449"/>
      <c r="Q7" s="449"/>
      <c r="R7" s="449"/>
      <c r="S7" s="449"/>
      <c r="T7" s="449"/>
      <c r="U7" s="449"/>
      <c r="V7" s="449"/>
      <c r="W7" s="449"/>
      <c r="X7" s="449"/>
      <c r="Y7" s="449"/>
      <c r="Z7" s="449"/>
      <c r="AA7" s="449"/>
      <c r="AB7" s="449"/>
      <c r="AC7" s="449"/>
      <c r="AD7" s="449"/>
      <c r="AE7" s="449"/>
      <c r="AF7" s="449"/>
      <c r="AG7" s="449"/>
      <c r="AH7" s="449"/>
      <c r="AI7" s="449"/>
      <c r="AJ7" s="449"/>
      <c r="AK7" s="449"/>
      <c r="AL7" s="449"/>
      <c r="AM7" s="449"/>
      <c r="AN7" s="449"/>
      <c r="AO7" s="449"/>
    </row>
    <row r="8" spans="1:41" ht="17.25" customHeight="1">
      <c r="A8" s="440" t="s">
        <v>175</v>
      </c>
      <c r="B8" s="448">
        <v>409586</v>
      </c>
      <c r="C8" s="448">
        <v>461642</v>
      </c>
      <c r="D8" s="448">
        <v>0</v>
      </c>
      <c r="E8" s="448">
        <v>645658</v>
      </c>
      <c r="F8" s="448">
        <v>421740.79</v>
      </c>
      <c r="G8" s="449">
        <v>488670</v>
      </c>
      <c r="H8" s="448">
        <v>606399.67000000004</v>
      </c>
      <c r="I8" s="449">
        <v>638086</v>
      </c>
      <c r="J8" s="448">
        <v>452463</v>
      </c>
      <c r="K8" s="449">
        <v>608318.27</v>
      </c>
      <c r="L8" s="449">
        <v>598211</v>
      </c>
      <c r="M8" s="449">
        <v>576896</v>
      </c>
      <c r="N8" s="449">
        <v>483568</v>
      </c>
      <c r="O8" s="449">
        <v>476772</v>
      </c>
      <c r="P8" s="449">
        <v>621516</v>
      </c>
      <c r="Q8" s="449">
        <v>658100</v>
      </c>
      <c r="R8" s="449">
        <v>457417</v>
      </c>
      <c r="S8" s="449">
        <v>558584.24</v>
      </c>
      <c r="T8" s="449">
        <v>579869</v>
      </c>
      <c r="U8" s="450">
        <v>552535</v>
      </c>
      <c r="V8" s="449">
        <v>505935</v>
      </c>
      <c r="W8" s="449">
        <v>518575.75</v>
      </c>
      <c r="X8" s="449">
        <v>585832</v>
      </c>
      <c r="Y8" s="450">
        <v>579589</v>
      </c>
      <c r="Z8" s="449">
        <v>443872</v>
      </c>
      <c r="AA8" s="448">
        <v>460769.16</v>
      </c>
      <c r="AB8" s="448">
        <v>500982</v>
      </c>
      <c r="AC8" s="448">
        <v>494156.34</v>
      </c>
      <c r="AD8" s="449">
        <v>390218</v>
      </c>
      <c r="AE8" s="448">
        <v>485282</v>
      </c>
      <c r="AF8" s="448">
        <v>546957</v>
      </c>
      <c r="AG8" s="448">
        <v>504903</v>
      </c>
      <c r="AH8" s="449">
        <v>453461</v>
      </c>
      <c r="AI8" s="448">
        <v>465619</v>
      </c>
      <c r="AJ8" s="448">
        <v>521593</v>
      </c>
      <c r="AK8" s="448">
        <v>474834</v>
      </c>
      <c r="AL8" s="449">
        <v>363667</v>
      </c>
      <c r="AM8" s="448">
        <v>334071</v>
      </c>
      <c r="AN8" s="448">
        <v>386337</v>
      </c>
      <c r="AO8" s="448">
        <v>439634</v>
      </c>
    </row>
    <row r="9" spans="1:41" ht="17.25" customHeight="1">
      <c r="A9" s="440" t="s">
        <v>78</v>
      </c>
      <c r="B9" s="448">
        <v>6134</v>
      </c>
      <c r="C9" s="448">
        <v>1448</v>
      </c>
      <c r="D9" s="448">
        <v>0</v>
      </c>
      <c r="E9" s="448">
        <v>0</v>
      </c>
      <c r="F9" s="448">
        <v>334.31</v>
      </c>
      <c r="G9" s="448">
        <v>2653</v>
      </c>
      <c r="H9" s="448">
        <v>1693.92</v>
      </c>
      <c r="I9" s="448">
        <v>0</v>
      </c>
      <c r="J9" s="448">
        <v>4573.84</v>
      </c>
      <c r="K9" s="448">
        <v>1196.6400000000001</v>
      </c>
      <c r="L9" s="448">
        <v>1973</v>
      </c>
      <c r="M9" s="448">
        <v>12082</v>
      </c>
      <c r="N9" s="448">
        <v>1705</v>
      </c>
      <c r="O9" s="448">
        <v>490</v>
      </c>
      <c r="P9" s="448">
        <v>6025</v>
      </c>
      <c r="Q9" s="448">
        <v>2101</v>
      </c>
      <c r="R9" s="448">
        <v>652</v>
      </c>
      <c r="S9" s="448">
        <v>888.95</v>
      </c>
      <c r="T9" s="448">
        <v>2000</v>
      </c>
      <c r="U9" s="450">
        <v>6346</v>
      </c>
      <c r="V9" s="448">
        <v>9151</v>
      </c>
      <c r="W9" s="448">
        <v>646.88</v>
      </c>
      <c r="X9" s="448">
        <v>1041.3699999999999</v>
      </c>
      <c r="Y9" s="450">
        <v>5182</v>
      </c>
      <c r="Z9" s="448">
        <v>971</v>
      </c>
      <c r="AA9" s="448">
        <v>241.6</v>
      </c>
      <c r="AB9" s="448">
        <v>204</v>
      </c>
      <c r="AC9" s="448">
        <v>1543.44</v>
      </c>
      <c r="AD9" s="448">
        <v>7243</v>
      </c>
      <c r="AE9" s="448">
        <v>5563</v>
      </c>
      <c r="AF9" s="448">
        <v>5091</v>
      </c>
      <c r="AG9" s="448">
        <v>0</v>
      </c>
      <c r="AH9" s="448">
        <v>2371</v>
      </c>
      <c r="AI9" s="448">
        <v>8881</v>
      </c>
      <c r="AJ9" s="448">
        <v>0</v>
      </c>
      <c r="AK9" s="448">
        <v>0</v>
      </c>
      <c r="AL9" s="448">
        <v>0</v>
      </c>
      <c r="AM9" s="448">
        <v>0</v>
      </c>
      <c r="AN9" s="448">
        <v>0</v>
      </c>
      <c r="AO9" s="448">
        <v>0</v>
      </c>
    </row>
    <row r="10" spans="1:41" ht="17.25" customHeight="1">
      <c r="A10" s="440" t="s">
        <v>77</v>
      </c>
      <c r="B10" s="448">
        <v>279514</v>
      </c>
      <c r="C10" s="448">
        <v>298038</v>
      </c>
      <c r="D10" s="448">
        <v>0</v>
      </c>
      <c r="E10" s="448">
        <v>292521</v>
      </c>
      <c r="F10" s="448">
        <v>307968.18</v>
      </c>
      <c r="G10" s="448">
        <v>303046</v>
      </c>
      <c r="H10" s="448">
        <v>285052</v>
      </c>
      <c r="I10" s="448">
        <v>287339</v>
      </c>
      <c r="J10" s="448">
        <v>261766.71</v>
      </c>
      <c r="K10" s="448">
        <v>256268.79999999999</v>
      </c>
      <c r="L10" s="448">
        <v>288859</v>
      </c>
      <c r="M10" s="448">
        <v>225482.52</v>
      </c>
      <c r="N10" s="448">
        <v>309081</v>
      </c>
      <c r="O10" s="448">
        <v>278017</v>
      </c>
      <c r="P10" s="448">
        <v>291101</v>
      </c>
      <c r="Q10" s="448">
        <v>265925</v>
      </c>
      <c r="R10" s="448">
        <v>264009</v>
      </c>
      <c r="S10" s="448">
        <v>225808.07</v>
      </c>
      <c r="T10" s="448">
        <v>241905</v>
      </c>
      <c r="U10" s="450">
        <v>241314</v>
      </c>
      <c r="V10" s="448">
        <v>232309</v>
      </c>
      <c r="W10" s="448">
        <v>241529</v>
      </c>
      <c r="X10" s="448">
        <v>210208.99</v>
      </c>
      <c r="Y10" s="450">
        <v>239019</v>
      </c>
      <c r="Z10" s="448">
        <v>215909</v>
      </c>
      <c r="AA10" s="448">
        <v>217602</v>
      </c>
      <c r="AB10" s="448">
        <v>227851</v>
      </c>
      <c r="AC10" s="448">
        <v>225548.72</v>
      </c>
      <c r="AD10" s="448">
        <v>210547</v>
      </c>
      <c r="AE10" s="448">
        <v>168471</v>
      </c>
      <c r="AF10" s="448">
        <v>199366</v>
      </c>
      <c r="AG10" s="448">
        <v>235046</v>
      </c>
      <c r="AH10" s="448">
        <v>222233</v>
      </c>
      <c r="AI10" s="448">
        <v>229079</v>
      </c>
      <c r="AJ10" s="448">
        <v>237044</v>
      </c>
      <c r="AK10" s="448">
        <v>224118</v>
      </c>
      <c r="AL10" s="448">
        <v>231531</v>
      </c>
      <c r="AM10" s="448">
        <v>260967</v>
      </c>
      <c r="AN10" s="448">
        <v>263063</v>
      </c>
      <c r="AO10" s="448">
        <v>248453</v>
      </c>
    </row>
    <row r="11" spans="1:41" ht="17.25" customHeight="1">
      <c r="A11" s="440" t="s">
        <v>76</v>
      </c>
      <c r="B11" s="448">
        <v>5519</v>
      </c>
      <c r="C11" s="448">
        <v>1560</v>
      </c>
      <c r="D11" s="448">
        <v>0</v>
      </c>
      <c r="E11" s="448">
        <v>2866</v>
      </c>
      <c r="F11" s="448">
        <v>1644.94</v>
      </c>
      <c r="G11" s="448">
        <v>5952</v>
      </c>
      <c r="H11" s="448">
        <v>7773</v>
      </c>
      <c r="I11" s="448">
        <v>860</v>
      </c>
      <c r="J11" s="448">
        <v>3148.24</v>
      </c>
      <c r="K11" s="448">
        <v>402.88</v>
      </c>
      <c r="L11" s="448">
        <v>744</v>
      </c>
      <c r="M11" s="448">
        <v>3209.51</v>
      </c>
      <c r="N11" s="448">
        <v>2155</v>
      </c>
      <c r="O11" s="448">
        <v>1174</v>
      </c>
      <c r="P11" s="448">
        <v>4528</v>
      </c>
      <c r="Q11" s="448">
        <v>3008</v>
      </c>
      <c r="R11" s="448">
        <v>4502</v>
      </c>
      <c r="S11" s="448">
        <v>5084.33</v>
      </c>
      <c r="T11" s="448">
        <v>4803</v>
      </c>
      <c r="U11" s="450">
        <v>7486</v>
      </c>
      <c r="V11" s="448">
        <v>7713</v>
      </c>
      <c r="W11" s="448">
        <v>4087.07</v>
      </c>
      <c r="X11" s="448">
        <v>3958.07</v>
      </c>
      <c r="Y11" s="450">
        <v>5603</v>
      </c>
      <c r="Z11" s="448">
        <v>2489</v>
      </c>
      <c r="AA11" s="448">
        <v>6030.37</v>
      </c>
      <c r="AB11" s="448">
        <v>5973</v>
      </c>
      <c r="AC11" s="448">
        <v>5163.0200000000004</v>
      </c>
      <c r="AD11" s="448">
        <v>3036</v>
      </c>
      <c r="AE11" s="448">
        <v>2262</v>
      </c>
      <c r="AF11" s="448">
        <v>3384</v>
      </c>
      <c r="AG11" s="448">
        <v>8147</v>
      </c>
      <c r="AH11" s="448">
        <v>6246</v>
      </c>
      <c r="AI11" s="448">
        <v>2977</v>
      </c>
      <c r="AJ11" s="448">
        <v>1818</v>
      </c>
      <c r="AK11" s="448">
        <v>4344</v>
      </c>
      <c r="AL11" s="448">
        <v>5526</v>
      </c>
      <c r="AM11" s="448">
        <v>7518</v>
      </c>
      <c r="AN11" s="448">
        <v>2053</v>
      </c>
      <c r="AO11" s="448">
        <v>2914</v>
      </c>
    </row>
    <row r="12" spans="1:41" ht="17.25" customHeight="1">
      <c r="A12" s="440" t="s">
        <v>75</v>
      </c>
      <c r="B12" s="448">
        <v>0</v>
      </c>
      <c r="C12" s="448">
        <v>0</v>
      </c>
      <c r="D12" s="448">
        <v>0</v>
      </c>
      <c r="E12" s="448">
        <v>0</v>
      </c>
      <c r="F12" s="448">
        <v>1522.28</v>
      </c>
      <c r="G12" s="448">
        <v>2414</v>
      </c>
      <c r="H12" s="448">
        <v>2303</v>
      </c>
      <c r="I12" s="448">
        <v>2242</v>
      </c>
      <c r="J12" s="448">
        <v>3721.77</v>
      </c>
      <c r="K12" s="448">
        <v>6438.83</v>
      </c>
      <c r="L12" s="448">
        <v>3020</v>
      </c>
      <c r="M12" s="448">
        <v>7872.65</v>
      </c>
      <c r="N12" s="448">
        <v>5518</v>
      </c>
      <c r="O12" s="448">
        <v>0</v>
      </c>
      <c r="P12" s="448">
        <v>8729</v>
      </c>
      <c r="Q12" s="448">
        <v>1281</v>
      </c>
      <c r="R12" s="448">
        <v>3514</v>
      </c>
      <c r="S12" s="448">
        <v>2709.45</v>
      </c>
      <c r="T12" s="448">
        <v>2212</v>
      </c>
      <c r="U12" s="450">
        <v>4919</v>
      </c>
      <c r="V12" s="448">
        <v>2494</v>
      </c>
      <c r="W12" s="448">
        <v>961.88</v>
      </c>
      <c r="X12" s="448">
        <v>6928.65</v>
      </c>
      <c r="Y12" s="450">
        <v>7065</v>
      </c>
      <c r="Z12" s="448">
        <v>3375</v>
      </c>
      <c r="AA12" s="448">
        <v>8444.32</v>
      </c>
      <c r="AB12" s="448">
        <v>6236</v>
      </c>
      <c r="AC12" s="448">
        <v>11418.1</v>
      </c>
      <c r="AD12" s="448">
        <v>2562</v>
      </c>
      <c r="AE12" s="448">
        <v>3398</v>
      </c>
      <c r="AF12" s="448">
        <v>9500</v>
      </c>
      <c r="AG12" s="448">
        <v>3374</v>
      </c>
      <c r="AH12" s="448">
        <v>2291</v>
      </c>
      <c r="AI12" s="448">
        <v>1231</v>
      </c>
      <c r="AJ12" s="448">
        <v>4565</v>
      </c>
      <c r="AK12" s="448">
        <v>6284</v>
      </c>
      <c r="AL12" s="448">
        <v>263</v>
      </c>
      <c r="AM12" s="448">
        <v>659</v>
      </c>
      <c r="AN12" s="448">
        <v>3356</v>
      </c>
      <c r="AO12" s="448">
        <v>10444</v>
      </c>
    </row>
    <row r="13" spans="1:41" ht="17.25" customHeight="1">
      <c r="A13" s="440" t="s">
        <v>74</v>
      </c>
      <c r="B13" s="448">
        <v>112296</v>
      </c>
      <c r="C13" s="448">
        <v>115965</v>
      </c>
      <c r="D13" s="448">
        <v>0</v>
      </c>
      <c r="E13" s="448">
        <v>71994</v>
      </c>
      <c r="F13" s="448">
        <v>130888.13</v>
      </c>
      <c r="G13" s="448">
        <v>132348</v>
      </c>
      <c r="H13" s="448">
        <v>81239</v>
      </c>
      <c r="I13" s="448">
        <v>80196</v>
      </c>
      <c r="J13" s="448">
        <v>99802.97</v>
      </c>
      <c r="K13" s="448">
        <v>109775.39</v>
      </c>
      <c r="L13" s="448">
        <v>127885</v>
      </c>
      <c r="M13" s="448">
        <v>98916</v>
      </c>
      <c r="N13" s="448">
        <v>112042</v>
      </c>
      <c r="O13" s="448">
        <v>126005</v>
      </c>
      <c r="P13" s="448">
        <v>91586</v>
      </c>
      <c r="Q13" s="448">
        <v>96628</v>
      </c>
      <c r="R13" s="448">
        <v>80842</v>
      </c>
      <c r="S13" s="448">
        <v>86217.75</v>
      </c>
      <c r="T13" s="448">
        <v>79425</v>
      </c>
      <c r="U13" s="450">
        <v>84396</v>
      </c>
      <c r="V13" s="448">
        <v>105026</v>
      </c>
      <c r="W13" s="448">
        <v>113941.31</v>
      </c>
      <c r="X13" s="448">
        <v>70881.33</v>
      </c>
      <c r="Y13" s="450">
        <v>67045</v>
      </c>
      <c r="Z13" s="448">
        <v>131115</v>
      </c>
      <c r="AA13" s="448">
        <v>123074</v>
      </c>
      <c r="AB13" s="448">
        <v>83775</v>
      </c>
      <c r="AC13" s="448">
        <v>83996.43</v>
      </c>
      <c r="AD13" s="448">
        <v>114189</v>
      </c>
      <c r="AE13" s="448">
        <v>77956</v>
      </c>
      <c r="AF13" s="448">
        <v>88293</v>
      </c>
      <c r="AG13" s="448">
        <v>84845</v>
      </c>
      <c r="AH13" s="448">
        <v>102299</v>
      </c>
      <c r="AI13" s="448">
        <v>87212</v>
      </c>
      <c r="AJ13" s="448">
        <v>75980</v>
      </c>
      <c r="AK13" s="448">
        <v>76806</v>
      </c>
      <c r="AL13" s="448">
        <v>84627</v>
      </c>
      <c r="AM13" s="448">
        <v>87215</v>
      </c>
      <c r="AN13" s="448">
        <v>53312</v>
      </c>
      <c r="AO13" s="448">
        <v>63205</v>
      </c>
    </row>
    <row r="14" spans="1:41" ht="17.25" customHeight="1">
      <c r="A14" s="440" t="s">
        <v>178</v>
      </c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448"/>
      <c r="AE14" s="448"/>
      <c r="AF14" s="448"/>
      <c r="AG14" s="448"/>
      <c r="AH14" s="448"/>
      <c r="AI14" s="448"/>
      <c r="AJ14" s="448"/>
      <c r="AK14" s="448"/>
      <c r="AL14" s="448"/>
      <c r="AM14" s="448"/>
      <c r="AN14" s="448"/>
      <c r="AO14" s="448"/>
    </row>
    <row r="15" spans="1:41" ht="21.75">
      <c r="A15" s="440" t="s">
        <v>177</v>
      </c>
      <c r="B15" s="448">
        <v>273155</v>
      </c>
      <c r="C15" s="448">
        <v>277238</v>
      </c>
      <c r="D15" s="448">
        <v>0</v>
      </c>
      <c r="E15" s="448">
        <v>253177</v>
      </c>
      <c r="F15" s="448">
        <v>238139.82</v>
      </c>
      <c r="G15" s="448">
        <v>220644</v>
      </c>
      <c r="H15" s="448">
        <v>224684</v>
      </c>
      <c r="I15" s="448">
        <v>256529</v>
      </c>
      <c r="J15" s="448">
        <f>ROUNDUP(274126.48,1)</f>
        <v>274126.5</v>
      </c>
      <c r="K15" s="448">
        <v>250349.04</v>
      </c>
      <c r="L15" s="448">
        <v>243780</v>
      </c>
      <c r="M15" s="448">
        <v>327000.98</v>
      </c>
      <c r="N15" s="448">
        <v>234241</v>
      </c>
      <c r="O15" s="448">
        <v>258890</v>
      </c>
      <c r="P15" s="448">
        <v>257121</v>
      </c>
      <c r="Q15" s="448">
        <v>248821</v>
      </c>
      <c r="R15" s="448">
        <v>212044</v>
      </c>
      <c r="S15" s="448">
        <v>202336.62</v>
      </c>
      <c r="T15" s="448">
        <v>208171</v>
      </c>
      <c r="U15" s="450">
        <v>219672</v>
      </c>
      <c r="V15" s="448">
        <v>201761</v>
      </c>
      <c r="W15" s="448">
        <v>206430.38</v>
      </c>
      <c r="X15" s="448">
        <v>197995.95</v>
      </c>
      <c r="Y15" s="450">
        <v>193183</v>
      </c>
      <c r="Z15" s="448">
        <v>205955</v>
      </c>
      <c r="AA15" s="448">
        <v>220137.12</v>
      </c>
      <c r="AB15" s="448">
        <v>227163</v>
      </c>
      <c r="AC15" s="448">
        <v>193978.62</v>
      </c>
      <c r="AD15" s="448">
        <v>213889</v>
      </c>
      <c r="AE15" s="448">
        <v>211764</v>
      </c>
      <c r="AF15" s="448">
        <v>200446</v>
      </c>
      <c r="AG15" s="448">
        <v>190490</v>
      </c>
      <c r="AH15" s="448">
        <v>198617</v>
      </c>
      <c r="AI15" s="448">
        <v>195788</v>
      </c>
      <c r="AJ15" s="448">
        <v>199458</v>
      </c>
      <c r="AK15" s="448">
        <v>193017</v>
      </c>
      <c r="AL15" s="448">
        <v>193625</v>
      </c>
      <c r="AM15" s="448">
        <v>165590</v>
      </c>
      <c r="AN15" s="448">
        <v>188017</v>
      </c>
      <c r="AO15" s="448">
        <v>195265</v>
      </c>
    </row>
    <row r="16" spans="1:41" ht="17.25" customHeight="1">
      <c r="A16" s="438" t="s">
        <v>72</v>
      </c>
      <c r="B16" s="448">
        <v>32272</v>
      </c>
      <c r="C16" s="448">
        <v>41377</v>
      </c>
      <c r="D16" s="448">
        <v>0</v>
      </c>
      <c r="E16" s="448">
        <v>19000</v>
      </c>
      <c r="F16" s="448">
        <v>28065.27</v>
      </c>
      <c r="G16" s="448">
        <v>24321</v>
      </c>
      <c r="H16" s="448">
        <v>20294</v>
      </c>
      <c r="I16" s="448">
        <v>31136</v>
      </c>
      <c r="J16" s="448">
        <v>53502.85</v>
      </c>
      <c r="K16" s="448">
        <v>25570.23</v>
      </c>
      <c r="L16" s="448">
        <v>38671</v>
      </c>
      <c r="M16" s="448">
        <v>26866</v>
      </c>
      <c r="N16" s="448">
        <v>30516</v>
      </c>
      <c r="O16" s="448">
        <v>42484</v>
      </c>
      <c r="P16" s="448">
        <v>28894</v>
      </c>
      <c r="Q16" s="448">
        <v>27182</v>
      </c>
      <c r="R16" s="448">
        <v>26663</v>
      </c>
      <c r="S16" s="448">
        <v>32318.36</v>
      </c>
      <c r="T16" s="448">
        <v>31093</v>
      </c>
      <c r="U16" s="450">
        <v>24870</v>
      </c>
      <c r="V16" s="448">
        <v>31843</v>
      </c>
      <c r="W16" s="448">
        <v>25067</v>
      </c>
      <c r="X16" s="448">
        <v>28554.33</v>
      </c>
      <c r="Y16" s="450">
        <v>21545</v>
      </c>
      <c r="Z16" s="448">
        <v>28863</v>
      </c>
      <c r="AA16" s="448">
        <v>14218.65</v>
      </c>
      <c r="AB16" s="448">
        <v>17617</v>
      </c>
      <c r="AC16" s="448">
        <v>21051.07</v>
      </c>
      <c r="AD16" s="448">
        <v>36768</v>
      </c>
      <c r="AE16" s="448">
        <v>24327</v>
      </c>
      <c r="AF16" s="448">
        <v>23494</v>
      </c>
      <c r="AG16" s="448">
        <v>25732</v>
      </c>
      <c r="AH16" s="448">
        <v>21933</v>
      </c>
      <c r="AI16" s="448">
        <v>30119</v>
      </c>
      <c r="AJ16" s="448">
        <v>18902</v>
      </c>
      <c r="AK16" s="448">
        <v>16369</v>
      </c>
      <c r="AL16" s="448">
        <v>23908</v>
      </c>
      <c r="AM16" s="448">
        <v>14889</v>
      </c>
      <c r="AN16" s="448">
        <v>14563</v>
      </c>
      <c r="AO16" s="448">
        <v>14197</v>
      </c>
    </row>
    <row r="17" spans="1:41" ht="17.25" customHeight="1">
      <c r="A17" s="436" t="s">
        <v>70</v>
      </c>
      <c r="B17" s="448">
        <v>128690</v>
      </c>
      <c r="C17" s="448">
        <v>94450</v>
      </c>
      <c r="D17" s="448">
        <v>0</v>
      </c>
      <c r="E17" s="448">
        <v>67178</v>
      </c>
      <c r="F17" s="448">
        <v>99094.75</v>
      </c>
      <c r="G17" s="448">
        <v>105118</v>
      </c>
      <c r="H17" s="448">
        <v>75818</v>
      </c>
      <c r="I17" s="448">
        <v>82073</v>
      </c>
      <c r="J17" s="448">
        <v>86488.34</v>
      </c>
      <c r="K17" s="448">
        <v>66934.600000000006</v>
      </c>
      <c r="L17" s="448">
        <v>87114</v>
      </c>
      <c r="M17" s="448">
        <v>106909.98</v>
      </c>
      <c r="N17" s="448">
        <v>98817</v>
      </c>
      <c r="O17" s="448">
        <v>102365</v>
      </c>
      <c r="P17" s="448">
        <v>60884</v>
      </c>
      <c r="Q17" s="448">
        <v>78875</v>
      </c>
      <c r="R17" s="448">
        <v>97840</v>
      </c>
      <c r="S17" s="448">
        <v>95179.11</v>
      </c>
      <c r="T17" s="448">
        <v>77857</v>
      </c>
      <c r="U17" s="450">
        <v>98982</v>
      </c>
      <c r="V17" s="448">
        <v>91196</v>
      </c>
      <c r="W17" s="448">
        <v>88211.69</v>
      </c>
      <c r="X17" s="448">
        <v>88359</v>
      </c>
      <c r="Y17" s="450">
        <v>104845</v>
      </c>
      <c r="Z17" s="448">
        <v>71599</v>
      </c>
      <c r="AA17" s="448">
        <v>74751</v>
      </c>
      <c r="AB17" s="448">
        <v>104531</v>
      </c>
      <c r="AC17" s="448">
        <v>108462.72</v>
      </c>
      <c r="AD17" s="448">
        <v>75162</v>
      </c>
      <c r="AE17" s="448">
        <v>90107</v>
      </c>
      <c r="AF17" s="448">
        <v>96207</v>
      </c>
      <c r="AG17" s="448">
        <v>80775</v>
      </c>
      <c r="AH17" s="448">
        <v>76177</v>
      </c>
      <c r="AI17" s="448">
        <v>68559</v>
      </c>
      <c r="AJ17" s="448">
        <v>74960</v>
      </c>
      <c r="AK17" s="448">
        <v>77296</v>
      </c>
      <c r="AL17" s="448">
        <v>94207</v>
      </c>
      <c r="AM17" s="448">
        <v>115453</v>
      </c>
      <c r="AN17" s="448">
        <v>79797</v>
      </c>
      <c r="AO17" s="448">
        <v>76193</v>
      </c>
    </row>
    <row r="18" spans="1:41" ht="17.25" customHeight="1">
      <c r="A18" s="436" t="s">
        <v>69</v>
      </c>
      <c r="B18" s="448">
        <v>0</v>
      </c>
      <c r="C18" s="448">
        <v>0</v>
      </c>
      <c r="D18" s="448">
        <v>0</v>
      </c>
      <c r="E18" s="448">
        <v>0</v>
      </c>
      <c r="F18" s="448">
        <v>2828.43</v>
      </c>
      <c r="G18" s="448">
        <v>3376</v>
      </c>
      <c r="H18" s="448">
        <v>1632</v>
      </c>
      <c r="I18" s="448">
        <v>2594</v>
      </c>
      <c r="J18" s="448">
        <v>15048.66</v>
      </c>
      <c r="K18" s="448">
        <v>2722.97</v>
      </c>
      <c r="L18" s="448">
        <v>3393</v>
      </c>
      <c r="M18" s="448">
        <v>5065</v>
      </c>
      <c r="N18" s="448">
        <v>25800</v>
      </c>
      <c r="O18" s="448">
        <v>9278</v>
      </c>
      <c r="P18" s="448">
        <v>4551</v>
      </c>
      <c r="Q18" s="448">
        <v>9929</v>
      </c>
      <c r="R18" s="448">
        <v>2985</v>
      </c>
      <c r="S18" s="448">
        <v>3782.95</v>
      </c>
      <c r="T18" s="448">
        <v>5680</v>
      </c>
      <c r="U18" s="450">
        <v>6113</v>
      </c>
      <c r="V18" s="448">
        <v>5466</v>
      </c>
      <c r="W18" s="448">
        <v>5983.87</v>
      </c>
      <c r="X18" s="448">
        <v>288.54000000000002</v>
      </c>
      <c r="Y18" s="450">
        <v>2108</v>
      </c>
      <c r="Z18" s="448">
        <v>4305</v>
      </c>
      <c r="AA18" s="448">
        <v>3411</v>
      </c>
      <c r="AB18" s="448">
        <v>4868</v>
      </c>
      <c r="AC18" s="448">
        <v>1666.95</v>
      </c>
      <c r="AD18" s="448">
        <v>3544</v>
      </c>
      <c r="AE18" s="448">
        <v>1331</v>
      </c>
      <c r="AF18" s="448">
        <v>2299</v>
      </c>
      <c r="AG18" s="448">
        <v>3166</v>
      </c>
      <c r="AH18" s="448">
        <v>3820</v>
      </c>
      <c r="AI18" s="448">
        <v>3580</v>
      </c>
      <c r="AJ18" s="448">
        <v>5041</v>
      </c>
      <c r="AK18" s="448">
        <v>4698</v>
      </c>
      <c r="AL18" s="448">
        <v>3793</v>
      </c>
      <c r="AM18" s="448">
        <v>211</v>
      </c>
      <c r="AN18" s="448">
        <v>3876</v>
      </c>
      <c r="AO18" s="448">
        <v>3473</v>
      </c>
    </row>
    <row r="19" spans="1:41" ht="17.25" customHeight="1">
      <c r="A19" s="436" t="s">
        <v>68</v>
      </c>
      <c r="B19" s="448">
        <v>13055</v>
      </c>
      <c r="C19" s="448">
        <v>8059</v>
      </c>
      <c r="D19" s="448">
        <v>0</v>
      </c>
      <c r="E19" s="448">
        <v>12261</v>
      </c>
      <c r="F19" s="448">
        <v>14126.95</v>
      </c>
      <c r="G19" s="448">
        <v>10523</v>
      </c>
      <c r="H19" s="448">
        <v>16889</v>
      </c>
      <c r="I19" s="448">
        <v>7198</v>
      </c>
      <c r="J19" s="448">
        <v>8723.39</v>
      </c>
      <c r="K19" s="448">
        <v>12104.99</v>
      </c>
      <c r="L19" s="448">
        <v>12075</v>
      </c>
      <c r="M19" s="448">
        <v>7670.88</v>
      </c>
      <c r="N19" s="448">
        <v>14900</v>
      </c>
      <c r="O19" s="448">
        <v>12244</v>
      </c>
      <c r="P19" s="448">
        <v>13197</v>
      </c>
      <c r="Q19" s="448">
        <v>15417</v>
      </c>
      <c r="R19" s="448">
        <v>16048</v>
      </c>
      <c r="S19" s="448">
        <v>20261.03</v>
      </c>
      <c r="T19" s="448">
        <v>5535</v>
      </c>
      <c r="U19" s="450">
        <v>7084</v>
      </c>
      <c r="V19" s="448">
        <v>8922</v>
      </c>
      <c r="W19" s="448">
        <v>14383.94</v>
      </c>
      <c r="X19" s="448">
        <v>14977.92</v>
      </c>
      <c r="Y19" s="450">
        <v>10220</v>
      </c>
      <c r="Z19" s="448">
        <v>11125</v>
      </c>
      <c r="AA19" s="448">
        <v>21084.5</v>
      </c>
      <c r="AB19" s="448">
        <v>17881</v>
      </c>
      <c r="AC19" s="448">
        <v>11518.82</v>
      </c>
      <c r="AD19" s="448">
        <v>8599</v>
      </c>
      <c r="AE19" s="448">
        <v>8784</v>
      </c>
      <c r="AF19" s="448">
        <v>13538</v>
      </c>
      <c r="AG19" s="448">
        <v>11207</v>
      </c>
      <c r="AH19" s="448">
        <v>9416</v>
      </c>
      <c r="AI19" s="448">
        <v>9538</v>
      </c>
      <c r="AJ19" s="448">
        <v>8828</v>
      </c>
      <c r="AK19" s="448">
        <v>8598</v>
      </c>
      <c r="AL19" s="448">
        <v>11787</v>
      </c>
      <c r="AM19" s="448">
        <v>13337</v>
      </c>
      <c r="AN19" s="448">
        <v>11466</v>
      </c>
      <c r="AO19" s="448">
        <v>8360</v>
      </c>
    </row>
    <row r="20" spans="1:41" ht="17.25" customHeight="1">
      <c r="A20" s="434" t="s">
        <v>176</v>
      </c>
      <c r="B20" s="448">
        <v>15219</v>
      </c>
      <c r="C20" s="448">
        <v>20517</v>
      </c>
      <c r="D20" s="448">
        <v>0</v>
      </c>
      <c r="E20" s="448">
        <v>29273</v>
      </c>
      <c r="F20" s="448">
        <v>1327.64</v>
      </c>
      <c r="G20" s="448">
        <v>2003</v>
      </c>
      <c r="H20" s="448">
        <v>1221</v>
      </c>
      <c r="I20" s="448">
        <v>1158</v>
      </c>
      <c r="J20" s="448">
        <v>1676.2</v>
      </c>
      <c r="K20" s="448">
        <v>2208.16</v>
      </c>
      <c r="L20" s="448">
        <v>3342</v>
      </c>
      <c r="M20" s="448">
        <v>3082.57</v>
      </c>
      <c r="N20" s="448">
        <v>4166</v>
      </c>
      <c r="O20" s="448">
        <v>2196</v>
      </c>
      <c r="P20" s="448">
        <v>6080</v>
      </c>
      <c r="Q20" s="448">
        <v>5178</v>
      </c>
      <c r="R20" s="448">
        <v>1896</v>
      </c>
      <c r="S20" s="448">
        <v>8274.9599999999991</v>
      </c>
      <c r="T20" s="448">
        <v>5794</v>
      </c>
      <c r="U20" s="450">
        <v>4030</v>
      </c>
      <c r="V20" s="448">
        <v>3294</v>
      </c>
      <c r="W20" s="448">
        <v>3575.52</v>
      </c>
      <c r="X20" s="448">
        <v>888.45</v>
      </c>
      <c r="Y20" s="450">
        <v>789</v>
      </c>
      <c r="Z20" s="448">
        <v>2791</v>
      </c>
      <c r="AA20" s="448">
        <v>2995.1</v>
      </c>
      <c r="AB20" s="448">
        <v>1106</v>
      </c>
      <c r="AC20" s="448">
        <v>3913.69</v>
      </c>
      <c r="AD20" s="448">
        <v>1816</v>
      </c>
      <c r="AE20" s="448">
        <v>7103</v>
      </c>
      <c r="AF20" s="448">
        <v>5013</v>
      </c>
      <c r="AG20" s="448">
        <v>7695</v>
      </c>
      <c r="AH20" s="448">
        <v>1651</v>
      </c>
      <c r="AI20" s="448">
        <v>3164</v>
      </c>
      <c r="AJ20" s="448">
        <v>590</v>
      </c>
      <c r="AK20" s="448">
        <v>1110</v>
      </c>
      <c r="AL20" s="448">
        <v>1477</v>
      </c>
      <c r="AM20" s="448">
        <v>3891</v>
      </c>
      <c r="AN20" s="448">
        <v>2495</v>
      </c>
      <c r="AO20" s="448">
        <v>3324</v>
      </c>
    </row>
    <row r="21" spans="1:41" ht="17.25" customHeight="1">
      <c r="A21" s="434" t="s">
        <v>66</v>
      </c>
      <c r="B21" s="448">
        <v>0</v>
      </c>
      <c r="C21" s="448">
        <v>0</v>
      </c>
      <c r="D21" s="448">
        <v>0</v>
      </c>
      <c r="E21" s="448">
        <v>0</v>
      </c>
      <c r="F21" s="448">
        <v>9874.0300000000007</v>
      </c>
      <c r="G21" s="448">
        <v>2624</v>
      </c>
      <c r="H21" s="448">
        <v>2266</v>
      </c>
      <c r="I21" s="448">
        <v>5003</v>
      </c>
      <c r="J21" s="448">
        <v>3498.42</v>
      </c>
      <c r="K21" s="448">
        <v>1738.45</v>
      </c>
      <c r="L21" s="448">
        <v>1870</v>
      </c>
      <c r="M21" s="448">
        <v>1476.69</v>
      </c>
      <c r="N21" s="448">
        <v>7064</v>
      </c>
      <c r="O21" s="448">
        <v>3719</v>
      </c>
      <c r="P21" s="448">
        <v>2954</v>
      </c>
      <c r="Q21" s="448">
        <v>4846</v>
      </c>
      <c r="R21" s="448">
        <v>5514</v>
      </c>
      <c r="S21" s="448">
        <v>3176.88</v>
      </c>
      <c r="T21" s="448">
        <v>2340</v>
      </c>
      <c r="U21" s="450">
        <v>5516</v>
      </c>
      <c r="V21" s="448">
        <v>4830</v>
      </c>
      <c r="W21" s="448">
        <v>6149.93</v>
      </c>
      <c r="X21" s="448">
        <v>6316.67</v>
      </c>
      <c r="Y21" s="450">
        <v>8207</v>
      </c>
      <c r="Z21" s="448">
        <v>7645</v>
      </c>
      <c r="AA21" s="448">
        <v>4039.93</v>
      </c>
      <c r="AB21" s="448">
        <v>3192</v>
      </c>
      <c r="AC21" s="448">
        <v>3026.08</v>
      </c>
      <c r="AD21" s="448">
        <v>4375</v>
      </c>
      <c r="AE21" s="448">
        <v>4378</v>
      </c>
      <c r="AF21" s="448">
        <v>1725</v>
      </c>
      <c r="AG21" s="448">
        <v>3825</v>
      </c>
      <c r="AH21" s="448">
        <v>1933</v>
      </c>
      <c r="AI21" s="448">
        <v>2584</v>
      </c>
      <c r="AJ21" s="448">
        <v>5909</v>
      </c>
      <c r="AK21" s="448">
        <v>8026</v>
      </c>
      <c r="AL21" s="448">
        <v>9091</v>
      </c>
      <c r="AM21" s="448">
        <v>3485</v>
      </c>
      <c r="AN21" s="448">
        <v>2056</v>
      </c>
      <c r="AO21" s="448">
        <v>3514</v>
      </c>
    </row>
    <row r="22" spans="1:41" ht="17.25" customHeight="1">
      <c r="A22" s="434" t="s">
        <v>65</v>
      </c>
      <c r="B22" s="448">
        <v>0</v>
      </c>
      <c r="C22" s="448">
        <v>0</v>
      </c>
      <c r="D22" s="448">
        <v>0</v>
      </c>
      <c r="E22" s="448">
        <v>0</v>
      </c>
      <c r="F22" s="448">
        <v>12213.21</v>
      </c>
      <c r="G22" s="448">
        <v>12725</v>
      </c>
      <c r="H22" s="448">
        <v>21821</v>
      </c>
      <c r="I22" s="448">
        <v>10482</v>
      </c>
      <c r="J22" s="448">
        <v>5627.67</v>
      </c>
      <c r="K22" s="448">
        <v>6331.73</v>
      </c>
      <c r="L22" s="448">
        <v>4694</v>
      </c>
      <c r="M22" s="448">
        <v>9031</v>
      </c>
      <c r="N22" s="448">
        <v>7613</v>
      </c>
      <c r="O22" s="448">
        <v>9019</v>
      </c>
      <c r="P22" s="448">
        <v>8096</v>
      </c>
      <c r="Q22" s="448">
        <v>5905</v>
      </c>
      <c r="R22" s="448">
        <v>9249</v>
      </c>
      <c r="S22" s="448">
        <v>9429.93</v>
      </c>
      <c r="T22" s="448">
        <v>9144</v>
      </c>
      <c r="U22" s="450">
        <v>3465</v>
      </c>
      <c r="V22" s="448">
        <v>2548</v>
      </c>
      <c r="W22" s="448">
        <v>4103.05</v>
      </c>
      <c r="X22" s="448">
        <v>2569.83</v>
      </c>
      <c r="Y22" s="450">
        <v>6019</v>
      </c>
      <c r="Z22" s="448">
        <v>10399</v>
      </c>
      <c r="AA22" s="449">
        <v>4149</v>
      </c>
      <c r="AB22" s="449">
        <v>9205</v>
      </c>
      <c r="AC22" s="448">
        <v>10881.75</v>
      </c>
      <c r="AD22" s="448">
        <v>12737</v>
      </c>
      <c r="AE22" s="449">
        <v>11102</v>
      </c>
      <c r="AF22" s="449">
        <v>13958</v>
      </c>
      <c r="AG22" s="448">
        <v>5450</v>
      </c>
      <c r="AH22" s="448">
        <v>7070</v>
      </c>
      <c r="AI22" s="449">
        <v>9769</v>
      </c>
      <c r="AJ22" s="449">
        <v>3962</v>
      </c>
      <c r="AK22" s="448">
        <v>11005</v>
      </c>
      <c r="AL22" s="448">
        <v>3971</v>
      </c>
      <c r="AM22" s="448">
        <v>6831</v>
      </c>
      <c r="AN22" s="448">
        <v>2067</v>
      </c>
      <c r="AO22" s="448">
        <v>4014</v>
      </c>
    </row>
    <row r="23" spans="1:41" ht="17.25" customHeight="1">
      <c r="A23" s="434" t="s">
        <v>172</v>
      </c>
      <c r="B23" s="449"/>
      <c r="C23" s="449"/>
      <c r="D23" s="448"/>
      <c r="E23" s="449"/>
      <c r="F23" s="449"/>
      <c r="G23" s="449"/>
      <c r="H23" s="449"/>
      <c r="I23" s="449"/>
      <c r="J23" s="449"/>
      <c r="K23" s="449"/>
      <c r="L23" s="449"/>
      <c r="M23" s="449"/>
      <c r="N23" s="449"/>
      <c r="O23" s="449"/>
      <c r="P23" s="449"/>
      <c r="Q23" s="449"/>
      <c r="R23" s="449"/>
      <c r="S23" s="449"/>
      <c r="T23" s="449"/>
      <c r="U23" s="449"/>
      <c r="V23" s="449"/>
      <c r="W23" s="449"/>
      <c r="X23" s="449"/>
      <c r="Y23" s="449"/>
      <c r="Z23" s="449"/>
      <c r="AA23" s="449"/>
      <c r="AB23" s="449"/>
      <c r="AC23" s="449"/>
      <c r="AD23" s="449"/>
      <c r="AE23" s="449"/>
      <c r="AF23" s="449"/>
      <c r="AG23" s="449"/>
      <c r="AH23" s="449"/>
      <c r="AI23" s="449"/>
      <c r="AJ23" s="449"/>
      <c r="AK23" s="449"/>
      <c r="AL23" s="448"/>
      <c r="AM23" s="448"/>
      <c r="AN23" s="448"/>
      <c r="AO23" s="448"/>
    </row>
    <row r="24" spans="1:41" ht="21.75">
      <c r="A24" s="434" t="s">
        <v>171</v>
      </c>
      <c r="B24" s="448">
        <v>61377</v>
      </c>
      <c r="C24" s="448">
        <v>53263</v>
      </c>
      <c r="D24" s="448">
        <v>0</v>
      </c>
      <c r="E24" s="448">
        <v>65207</v>
      </c>
      <c r="F24" s="448">
        <v>58616.19</v>
      </c>
      <c r="G24" s="449">
        <v>57081</v>
      </c>
      <c r="H24" s="448">
        <v>57587</v>
      </c>
      <c r="I24" s="449">
        <v>74779</v>
      </c>
      <c r="J24" s="448">
        <v>76852.84</v>
      </c>
      <c r="K24" s="449">
        <v>76037.64</v>
      </c>
      <c r="L24" s="449">
        <v>86949</v>
      </c>
      <c r="M24" s="449">
        <v>96448.8</v>
      </c>
      <c r="N24" s="449">
        <v>67118</v>
      </c>
      <c r="O24" s="449">
        <v>65358</v>
      </c>
      <c r="P24" s="449">
        <v>78794</v>
      </c>
      <c r="Q24" s="449">
        <v>63134</v>
      </c>
      <c r="R24" s="449">
        <v>66856</v>
      </c>
      <c r="S24" s="449">
        <v>63145.79</v>
      </c>
      <c r="T24" s="449">
        <v>56134</v>
      </c>
      <c r="U24" s="450">
        <v>66390</v>
      </c>
      <c r="V24" s="449">
        <v>64352</v>
      </c>
      <c r="W24" s="449">
        <v>54966</v>
      </c>
      <c r="X24" s="449">
        <v>50596</v>
      </c>
      <c r="Y24" s="450">
        <v>51770</v>
      </c>
      <c r="Z24" s="449">
        <v>51588</v>
      </c>
      <c r="AA24" s="449">
        <v>47521.83</v>
      </c>
      <c r="AB24" s="449">
        <v>46935</v>
      </c>
      <c r="AC24" s="449">
        <v>49001.08</v>
      </c>
      <c r="AD24" s="449">
        <v>53958</v>
      </c>
      <c r="AE24" s="449">
        <v>65956</v>
      </c>
      <c r="AF24" s="449">
        <v>58832</v>
      </c>
      <c r="AG24" s="449">
        <v>43022</v>
      </c>
      <c r="AH24" s="449">
        <v>39154</v>
      </c>
      <c r="AI24" s="449">
        <v>43774</v>
      </c>
      <c r="AJ24" s="449">
        <v>41723</v>
      </c>
      <c r="AK24" s="449">
        <v>43125</v>
      </c>
      <c r="AL24" s="448">
        <v>35526</v>
      </c>
      <c r="AM24" s="449">
        <v>50135</v>
      </c>
      <c r="AN24" s="449">
        <v>60283</v>
      </c>
      <c r="AO24" s="448">
        <v>44097</v>
      </c>
    </row>
    <row r="25" spans="1:41" ht="18" customHeight="1">
      <c r="A25" s="434" t="s">
        <v>63</v>
      </c>
      <c r="B25" s="448">
        <v>54757</v>
      </c>
      <c r="C25" s="448">
        <v>53139</v>
      </c>
      <c r="D25" s="448">
        <v>0</v>
      </c>
      <c r="E25" s="448">
        <v>37450</v>
      </c>
      <c r="F25" s="448">
        <v>66201.350000000006</v>
      </c>
      <c r="G25" s="449">
        <v>63735</v>
      </c>
      <c r="H25" s="448">
        <v>55520</v>
      </c>
      <c r="I25" s="449">
        <v>38580</v>
      </c>
      <c r="J25" s="448">
        <v>54444.39</v>
      </c>
      <c r="K25" s="449">
        <v>49571.11</v>
      </c>
      <c r="L25" s="449">
        <v>50057</v>
      </c>
      <c r="M25" s="449">
        <v>42904.93</v>
      </c>
      <c r="N25" s="449">
        <v>36388</v>
      </c>
      <c r="O25" s="449">
        <v>38268</v>
      </c>
      <c r="P25" s="449">
        <v>49544</v>
      </c>
      <c r="Q25" s="449">
        <v>43031</v>
      </c>
      <c r="R25" s="449">
        <v>29206</v>
      </c>
      <c r="S25" s="449">
        <v>32902.49</v>
      </c>
      <c r="T25" s="449">
        <v>44575</v>
      </c>
      <c r="U25" s="450">
        <v>33356</v>
      </c>
      <c r="V25" s="449">
        <v>34406</v>
      </c>
      <c r="W25" s="449">
        <v>20985.09</v>
      </c>
      <c r="X25" s="449">
        <v>29960.07</v>
      </c>
      <c r="Y25" s="450">
        <v>40132</v>
      </c>
      <c r="Z25" s="449">
        <v>45011</v>
      </c>
      <c r="AA25" s="449">
        <v>28487.31</v>
      </c>
      <c r="AB25" s="449">
        <v>33122</v>
      </c>
      <c r="AC25" s="449">
        <v>39705.65</v>
      </c>
      <c r="AD25" s="449">
        <v>49959</v>
      </c>
      <c r="AE25" s="449">
        <v>48348</v>
      </c>
      <c r="AF25" s="449">
        <v>36540</v>
      </c>
      <c r="AG25" s="449">
        <v>37324</v>
      </c>
      <c r="AH25" s="449">
        <v>39800</v>
      </c>
      <c r="AI25" s="449">
        <v>41427</v>
      </c>
      <c r="AJ25" s="449">
        <v>36903</v>
      </c>
      <c r="AK25" s="449">
        <v>32084</v>
      </c>
      <c r="AL25" s="449">
        <v>43355</v>
      </c>
      <c r="AM25" s="449">
        <v>39741</v>
      </c>
      <c r="AN25" s="449">
        <v>51483</v>
      </c>
      <c r="AO25" s="449">
        <v>38459</v>
      </c>
    </row>
    <row r="26" spans="1:41" ht="18" customHeight="1">
      <c r="A26" s="434" t="s">
        <v>62</v>
      </c>
      <c r="B26" s="448">
        <v>31581</v>
      </c>
      <c r="C26" s="448">
        <v>26379</v>
      </c>
      <c r="D26" s="448">
        <v>0</v>
      </c>
      <c r="E26" s="448">
        <v>31603</v>
      </c>
      <c r="F26" s="448">
        <v>18778.52</v>
      </c>
      <c r="G26" s="449">
        <v>24929</v>
      </c>
      <c r="H26" s="448">
        <v>41296</v>
      </c>
      <c r="I26" s="449">
        <v>25672</v>
      </c>
      <c r="J26" s="448">
        <v>25979.86</v>
      </c>
      <c r="K26" s="449">
        <v>32646.25</v>
      </c>
      <c r="L26" s="449">
        <v>23184</v>
      </c>
      <c r="M26" s="449">
        <v>24499</v>
      </c>
      <c r="N26" s="449">
        <v>24344</v>
      </c>
      <c r="O26" s="449">
        <v>41276</v>
      </c>
      <c r="P26" s="449">
        <v>37222</v>
      </c>
      <c r="Q26" s="449">
        <v>22796</v>
      </c>
      <c r="R26" s="449">
        <v>26582</v>
      </c>
      <c r="S26" s="449">
        <v>23267.360000000001</v>
      </c>
      <c r="T26" s="449">
        <v>23219</v>
      </c>
      <c r="U26" s="450">
        <v>26327</v>
      </c>
      <c r="V26" s="449">
        <v>19441</v>
      </c>
      <c r="W26" s="449">
        <v>18310.310000000001</v>
      </c>
      <c r="X26" s="449">
        <v>22773.7</v>
      </c>
      <c r="Y26" s="450">
        <v>22695</v>
      </c>
      <c r="Z26" s="449">
        <v>17243</v>
      </c>
      <c r="AA26" s="449">
        <v>17309.689999999999</v>
      </c>
      <c r="AB26" s="449">
        <v>14889</v>
      </c>
      <c r="AC26" s="449">
        <v>14081.86</v>
      </c>
      <c r="AD26" s="449">
        <v>18248</v>
      </c>
      <c r="AE26" s="449">
        <v>19390</v>
      </c>
      <c r="AF26" s="449">
        <v>21529</v>
      </c>
      <c r="AG26" s="449">
        <v>25793</v>
      </c>
      <c r="AH26" s="449">
        <v>10539</v>
      </c>
      <c r="AI26" s="449">
        <v>21127</v>
      </c>
      <c r="AJ26" s="449">
        <v>22511</v>
      </c>
      <c r="AK26" s="449">
        <v>13608</v>
      </c>
      <c r="AL26" s="449">
        <v>20071</v>
      </c>
      <c r="AM26" s="449">
        <v>17743</v>
      </c>
      <c r="AN26" s="449">
        <v>15606</v>
      </c>
      <c r="AO26" s="449">
        <v>13830</v>
      </c>
    </row>
    <row r="27" spans="1:41" ht="18" customHeight="1">
      <c r="A27" s="436" t="s">
        <v>61</v>
      </c>
      <c r="B27" s="448">
        <v>0</v>
      </c>
      <c r="C27" s="448">
        <v>0</v>
      </c>
      <c r="D27" s="448">
        <v>0</v>
      </c>
      <c r="E27" s="448">
        <v>0</v>
      </c>
      <c r="F27" s="448">
        <v>6875.58</v>
      </c>
      <c r="G27" s="449">
        <v>6502</v>
      </c>
      <c r="H27" s="448">
        <v>7483</v>
      </c>
      <c r="I27" s="449">
        <v>4991</v>
      </c>
      <c r="J27" s="448">
        <f>ROUNDUP(9570.44,1)</f>
        <v>9570.5</v>
      </c>
      <c r="K27" s="449">
        <v>9633.56</v>
      </c>
      <c r="L27" s="449">
        <v>4218</v>
      </c>
      <c r="M27" s="449">
        <v>11684.02</v>
      </c>
      <c r="N27" s="449">
        <v>15391</v>
      </c>
      <c r="O27" s="449">
        <v>6763</v>
      </c>
      <c r="P27" s="449">
        <v>11379</v>
      </c>
      <c r="Q27" s="449">
        <v>13451</v>
      </c>
      <c r="R27" s="449">
        <v>10315</v>
      </c>
      <c r="S27" s="449">
        <v>2518.52</v>
      </c>
      <c r="T27" s="449">
        <v>4756</v>
      </c>
      <c r="U27" s="450">
        <v>2799</v>
      </c>
      <c r="V27" s="449">
        <v>6032</v>
      </c>
      <c r="W27" s="449">
        <v>7320.66</v>
      </c>
      <c r="X27" s="449">
        <v>15213.44</v>
      </c>
      <c r="Y27" s="450">
        <v>3748</v>
      </c>
      <c r="Z27" s="449">
        <v>5943</v>
      </c>
      <c r="AA27" s="449">
        <v>656</v>
      </c>
      <c r="AB27" s="449">
        <v>1802</v>
      </c>
      <c r="AC27" s="449">
        <v>8690.24</v>
      </c>
      <c r="AD27" s="449">
        <v>3652</v>
      </c>
      <c r="AE27" s="449">
        <v>4577</v>
      </c>
      <c r="AF27" s="449">
        <v>9206</v>
      </c>
      <c r="AG27" s="449">
        <v>7619</v>
      </c>
      <c r="AH27" s="449">
        <v>7833</v>
      </c>
      <c r="AI27" s="449">
        <v>6256</v>
      </c>
      <c r="AJ27" s="449">
        <v>11164</v>
      </c>
      <c r="AK27" s="449">
        <v>16719</v>
      </c>
      <c r="AL27" s="449">
        <v>6238</v>
      </c>
      <c r="AM27" s="449">
        <v>12641</v>
      </c>
      <c r="AN27" s="449">
        <v>9886</v>
      </c>
      <c r="AO27" s="449">
        <v>7309</v>
      </c>
    </row>
    <row r="28" spans="1:41" ht="18" customHeight="1">
      <c r="A28" s="436" t="s">
        <v>60</v>
      </c>
      <c r="B28" s="449">
        <v>33153</v>
      </c>
      <c r="C28" s="449">
        <v>37001</v>
      </c>
      <c r="D28" s="448">
        <v>0</v>
      </c>
      <c r="E28" s="448">
        <v>18631</v>
      </c>
      <c r="F28" s="449">
        <f>ROUNDUP(15300.43,1)</f>
        <v>15300.5</v>
      </c>
      <c r="G28" s="449">
        <v>27782</v>
      </c>
      <c r="H28" s="449">
        <v>53831</v>
      </c>
      <c r="I28" s="449">
        <v>31196</v>
      </c>
      <c r="J28" s="449">
        <v>16312.14</v>
      </c>
      <c r="K28" s="449">
        <v>27620.49</v>
      </c>
      <c r="L28" s="449">
        <v>14495</v>
      </c>
      <c r="M28" s="449">
        <v>26234.38</v>
      </c>
      <c r="N28" s="449">
        <v>19776</v>
      </c>
      <c r="O28" s="449">
        <v>22322</v>
      </c>
      <c r="P28" s="449">
        <v>13864</v>
      </c>
      <c r="Q28" s="449">
        <v>18355</v>
      </c>
      <c r="R28" s="449">
        <v>25000</v>
      </c>
      <c r="S28" s="449">
        <v>16100.43</v>
      </c>
      <c r="T28" s="449">
        <v>18455</v>
      </c>
      <c r="U28" s="450">
        <v>16724</v>
      </c>
      <c r="V28" s="449">
        <v>21011</v>
      </c>
      <c r="W28" s="449">
        <v>30921.45</v>
      </c>
      <c r="X28" s="449">
        <v>23546</v>
      </c>
      <c r="Y28" s="450">
        <v>15376</v>
      </c>
      <c r="Z28" s="449">
        <v>19288</v>
      </c>
      <c r="AA28" s="449">
        <v>24257.16</v>
      </c>
      <c r="AB28" s="449">
        <v>22156</v>
      </c>
      <c r="AC28" s="449">
        <v>25515.49</v>
      </c>
      <c r="AD28" s="449">
        <v>27225</v>
      </c>
      <c r="AE28" s="449">
        <v>18827</v>
      </c>
      <c r="AF28" s="449">
        <v>21025</v>
      </c>
      <c r="AG28" s="449">
        <v>23396</v>
      </c>
      <c r="AH28" s="449">
        <v>24252</v>
      </c>
      <c r="AI28" s="449">
        <v>15672</v>
      </c>
      <c r="AJ28" s="449">
        <v>22355</v>
      </c>
      <c r="AK28" s="449">
        <v>45839</v>
      </c>
      <c r="AL28" s="449">
        <v>46328</v>
      </c>
      <c r="AM28" s="449">
        <v>26172</v>
      </c>
      <c r="AN28" s="449">
        <v>10717</v>
      </c>
      <c r="AO28" s="449">
        <v>13316</v>
      </c>
    </row>
    <row r="29" spans="1:41" ht="18" customHeight="1">
      <c r="A29" s="434" t="s">
        <v>59</v>
      </c>
      <c r="B29" s="449">
        <v>7197</v>
      </c>
      <c r="C29" s="449">
        <v>6935</v>
      </c>
      <c r="D29" s="448">
        <v>0</v>
      </c>
      <c r="E29" s="448">
        <v>7893</v>
      </c>
      <c r="F29" s="449">
        <v>8706.17</v>
      </c>
      <c r="G29" s="449">
        <v>5637</v>
      </c>
      <c r="H29" s="449">
        <v>3900</v>
      </c>
      <c r="I29" s="449">
        <v>16339</v>
      </c>
      <c r="J29" s="449">
        <v>16396.07</v>
      </c>
      <c r="K29" s="449">
        <v>12459.5</v>
      </c>
      <c r="L29" s="449">
        <v>8634</v>
      </c>
      <c r="M29" s="449">
        <v>2751</v>
      </c>
      <c r="N29" s="449">
        <v>3178</v>
      </c>
      <c r="O29" s="449">
        <v>5343</v>
      </c>
      <c r="P29" s="449">
        <v>3521</v>
      </c>
      <c r="Q29" s="449">
        <v>4323</v>
      </c>
      <c r="R29" s="449">
        <v>8374</v>
      </c>
      <c r="S29" s="449">
        <v>5353.63</v>
      </c>
      <c r="T29" s="449">
        <v>2189</v>
      </c>
      <c r="U29" s="450">
        <v>4084</v>
      </c>
      <c r="V29" s="449">
        <v>4846</v>
      </c>
      <c r="W29" s="449">
        <v>2200.98</v>
      </c>
      <c r="X29" s="449">
        <v>5362.46</v>
      </c>
      <c r="Y29" s="450">
        <v>5577</v>
      </c>
      <c r="Z29" s="449">
        <v>723</v>
      </c>
      <c r="AA29" s="448">
        <v>1838.08</v>
      </c>
      <c r="AB29" s="448">
        <v>3134</v>
      </c>
      <c r="AC29" s="448">
        <v>1895.68</v>
      </c>
      <c r="AD29" s="449">
        <v>6732</v>
      </c>
      <c r="AE29" s="448">
        <v>5324</v>
      </c>
      <c r="AF29" s="448">
        <v>4986</v>
      </c>
      <c r="AG29" s="448">
        <v>5014</v>
      </c>
      <c r="AH29" s="449">
        <v>5262</v>
      </c>
      <c r="AI29" s="448">
        <v>6193</v>
      </c>
      <c r="AJ29" s="448">
        <v>6505</v>
      </c>
      <c r="AK29" s="448">
        <v>5201</v>
      </c>
      <c r="AL29" s="449">
        <v>5160</v>
      </c>
      <c r="AM29" s="449">
        <v>10546</v>
      </c>
      <c r="AN29" s="449">
        <v>3911</v>
      </c>
      <c r="AO29" s="449">
        <v>8716</v>
      </c>
    </row>
    <row r="30" spans="1:41" ht="18" customHeight="1">
      <c r="A30" s="434" t="s">
        <v>58</v>
      </c>
      <c r="B30" s="448">
        <v>0</v>
      </c>
      <c r="C30" s="448">
        <v>0</v>
      </c>
      <c r="D30" s="448">
        <v>0</v>
      </c>
      <c r="E30" s="448">
        <v>0</v>
      </c>
      <c r="F30" s="448">
        <v>0</v>
      </c>
      <c r="G30" s="448">
        <v>0</v>
      </c>
      <c r="H30" s="448">
        <v>0</v>
      </c>
      <c r="I30" s="448">
        <v>0</v>
      </c>
      <c r="J30" s="448">
        <v>0</v>
      </c>
      <c r="K30" s="448">
        <v>0</v>
      </c>
      <c r="L30" s="448">
        <v>0</v>
      </c>
      <c r="M30" s="448">
        <v>0</v>
      </c>
      <c r="N30" s="448">
        <v>0</v>
      </c>
      <c r="O30" s="448">
        <v>0</v>
      </c>
      <c r="P30" s="448">
        <v>0</v>
      </c>
      <c r="Q30" s="448">
        <v>0</v>
      </c>
      <c r="R30" s="448">
        <v>0</v>
      </c>
      <c r="S30" s="448">
        <v>0</v>
      </c>
      <c r="T30" s="448">
        <v>0</v>
      </c>
      <c r="U30" s="448">
        <v>0</v>
      </c>
      <c r="V30" s="448">
        <v>0</v>
      </c>
      <c r="W30" s="448">
        <v>0</v>
      </c>
      <c r="X30" s="448">
        <v>0</v>
      </c>
      <c r="Y30" s="448">
        <v>0</v>
      </c>
      <c r="Z30" s="448">
        <v>0</v>
      </c>
      <c r="AA30" s="448">
        <v>0</v>
      </c>
      <c r="AB30" s="448">
        <v>0</v>
      </c>
      <c r="AC30" s="448">
        <v>0</v>
      </c>
      <c r="AD30" s="448">
        <v>0</v>
      </c>
      <c r="AE30" s="448">
        <v>0</v>
      </c>
      <c r="AF30" s="448">
        <v>0</v>
      </c>
      <c r="AG30" s="448">
        <v>0</v>
      </c>
      <c r="AH30" s="448">
        <v>0</v>
      </c>
      <c r="AI30" s="448">
        <v>0</v>
      </c>
      <c r="AJ30" s="448">
        <v>0</v>
      </c>
      <c r="AK30" s="448">
        <v>0</v>
      </c>
      <c r="AL30" s="449">
        <v>0</v>
      </c>
      <c r="AM30" s="449">
        <v>0</v>
      </c>
      <c r="AN30" s="449">
        <v>0</v>
      </c>
      <c r="AO30" s="449">
        <v>0</v>
      </c>
    </row>
    <row r="31" spans="1:41" ht="18" customHeight="1">
      <c r="A31" s="434" t="s">
        <v>57</v>
      </c>
      <c r="B31" s="448">
        <v>0</v>
      </c>
      <c r="C31" s="448">
        <v>0</v>
      </c>
      <c r="D31" s="448">
        <v>0</v>
      </c>
      <c r="E31" s="448">
        <v>0</v>
      </c>
      <c r="F31" s="448">
        <v>0</v>
      </c>
      <c r="G31" s="448">
        <v>0</v>
      </c>
      <c r="H31" s="448">
        <v>0</v>
      </c>
      <c r="I31" s="448">
        <v>0</v>
      </c>
      <c r="J31" s="448">
        <v>0</v>
      </c>
      <c r="K31" s="448">
        <v>0</v>
      </c>
      <c r="L31" s="448">
        <v>0</v>
      </c>
      <c r="M31" s="448">
        <v>0</v>
      </c>
      <c r="N31" s="448">
        <v>0</v>
      </c>
      <c r="O31" s="448">
        <v>0</v>
      </c>
      <c r="P31" s="448">
        <v>0</v>
      </c>
      <c r="Q31" s="448">
        <v>0</v>
      </c>
      <c r="R31" s="448">
        <v>0</v>
      </c>
      <c r="S31" s="448">
        <v>0</v>
      </c>
      <c r="T31" s="448">
        <v>0</v>
      </c>
      <c r="U31" s="448">
        <v>0</v>
      </c>
      <c r="V31" s="448">
        <v>0</v>
      </c>
      <c r="W31" s="448">
        <v>0</v>
      </c>
      <c r="X31" s="448">
        <v>0</v>
      </c>
      <c r="Y31" s="448">
        <v>0</v>
      </c>
      <c r="Z31" s="448">
        <v>0</v>
      </c>
      <c r="AA31" s="448">
        <v>0</v>
      </c>
      <c r="AB31" s="448">
        <v>0</v>
      </c>
      <c r="AC31" s="448">
        <v>0</v>
      </c>
      <c r="AD31" s="448">
        <v>0</v>
      </c>
      <c r="AE31" s="448">
        <v>0</v>
      </c>
      <c r="AF31" s="448">
        <v>0</v>
      </c>
      <c r="AG31" s="448">
        <v>0</v>
      </c>
      <c r="AH31" s="448">
        <v>0</v>
      </c>
      <c r="AI31" s="448">
        <v>0</v>
      </c>
      <c r="AJ31" s="448">
        <v>0</v>
      </c>
      <c r="AK31" s="448">
        <v>0</v>
      </c>
      <c r="AL31" s="449">
        <v>0</v>
      </c>
      <c r="AM31" s="448">
        <v>0</v>
      </c>
      <c r="AN31" s="448">
        <v>0</v>
      </c>
      <c r="AO31" s="448">
        <v>0</v>
      </c>
    </row>
    <row r="32" spans="1:41" s="444" customFormat="1" ht="23.25" customHeight="1">
      <c r="A32" s="661" t="s">
        <v>20</v>
      </c>
      <c r="B32" s="661"/>
      <c r="C32" s="661"/>
      <c r="D32" s="661"/>
      <c r="E32" s="661"/>
      <c r="F32" s="661"/>
      <c r="G32" s="661"/>
      <c r="H32" s="661"/>
      <c r="I32" s="661"/>
      <c r="J32" s="661"/>
      <c r="K32" s="661"/>
      <c r="L32" s="424"/>
      <c r="M32" s="447"/>
      <c r="N32" s="447"/>
      <c r="O32" s="447" t="s">
        <v>20</v>
      </c>
      <c r="P32" s="424"/>
      <c r="Q32" s="447"/>
      <c r="R32" s="447"/>
      <c r="S32" s="447"/>
      <c r="T32" s="424"/>
      <c r="U32" s="447"/>
      <c r="V32" s="447"/>
      <c r="W32" s="447"/>
      <c r="X32" s="424"/>
      <c r="Y32" s="447"/>
      <c r="Z32" s="447"/>
      <c r="AA32" s="446"/>
      <c r="AB32" s="446"/>
      <c r="AC32" s="446"/>
      <c r="AD32" s="445"/>
      <c r="AE32" s="445"/>
      <c r="AF32" s="445"/>
      <c r="AG32" s="445"/>
      <c r="AH32" s="445"/>
      <c r="AI32" s="445"/>
      <c r="AJ32" s="445"/>
      <c r="AK32" s="445"/>
      <c r="AL32" s="424"/>
      <c r="AM32" s="424"/>
      <c r="AN32" s="424"/>
      <c r="AO32" s="424"/>
    </row>
    <row r="33" spans="1:41" ht="20.25" customHeight="1">
      <c r="A33" s="442" t="s">
        <v>38</v>
      </c>
      <c r="B33" s="443">
        <f>ROUNDUP(SUM(B35:B57),0)</f>
        <v>100</v>
      </c>
      <c r="C33" s="443">
        <f>ROUNDUP(SUM(C35:C57),0)</f>
        <v>100</v>
      </c>
      <c r="D33" s="443"/>
      <c r="E33" s="443">
        <f>ROUNDDOWN(SUM(E35:E57),1)</f>
        <v>100</v>
      </c>
      <c r="F33" s="443">
        <f>ROUNDUP(SUM(F35:F57),1)</f>
        <v>100</v>
      </c>
      <c r="G33" s="443">
        <f>ROUNDDOWN(SUM(G35:G57),1)</f>
        <v>100</v>
      </c>
      <c r="H33" s="443">
        <f>ROUNDDOWN(SUM(H35:H57),0)</f>
        <v>100</v>
      </c>
      <c r="I33" s="443">
        <f>ROUNDUP(SUM(I35:I57),0)</f>
        <v>100</v>
      </c>
      <c r="J33" s="443">
        <f>SUM(J35:J57)</f>
        <v>99.999980321968565</v>
      </c>
      <c r="K33" s="443">
        <f>ROUNDDOWN(SUM(K35:K57),1)</f>
        <v>100</v>
      </c>
      <c r="L33" s="443">
        <f t="shared" ref="L33:Y33" si="0">ROUNDDOWN(SUM(L35:L57),0)</f>
        <v>100</v>
      </c>
      <c r="M33" s="443">
        <f t="shared" si="0"/>
        <v>100</v>
      </c>
      <c r="N33" s="443">
        <f t="shared" si="0"/>
        <v>100</v>
      </c>
      <c r="O33" s="443">
        <f t="shared" si="0"/>
        <v>100</v>
      </c>
      <c r="P33" s="443">
        <f t="shared" si="0"/>
        <v>100</v>
      </c>
      <c r="Q33" s="443">
        <f t="shared" si="0"/>
        <v>100</v>
      </c>
      <c r="R33" s="443">
        <f t="shared" si="0"/>
        <v>100</v>
      </c>
      <c r="S33" s="443">
        <f t="shared" si="0"/>
        <v>100</v>
      </c>
      <c r="T33" s="443">
        <f t="shared" si="0"/>
        <v>100</v>
      </c>
      <c r="U33" s="443">
        <f t="shared" si="0"/>
        <v>100</v>
      </c>
      <c r="V33" s="443">
        <f t="shared" si="0"/>
        <v>100</v>
      </c>
      <c r="W33" s="443">
        <f t="shared" si="0"/>
        <v>100</v>
      </c>
      <c r="X33" s="443">
        <f t="shared" si="0"/>
        <v>100</v>
      </c>
      <c r="Y33" s="443">
        <f t="shared" si="0"/>
        <v>100</v>
      </c>
      <c r="Z33" s="443">
        <f>SUM(Z35:Z57)-0.09</f>
        <v>100.02345601382274</v>
      </c>
      <c r="AA33" s="443">
        <f t="shared" ref="AA33:AK33" si="1">ROUNDDOWN(SUM(AA35:AA57),0)</f>
        <v>100</v>
      </c>
      <c r="AB33" s="443">
        <f t="shared" si="1"/>
        <v>100</v>
      </c>
      <c r="AC33" s="443">
        <f t="shared" si="1"/>
        <v>100</v>
      </c>
      <c r="AD33" s="443">
        <f t="shared" si="1"/>
        <v>100</v>
      </c>
      <c r="AE33" s="443">
        <f t="shared" si="1"/>
        <v>100</v>
      </c>
      <c r="AF33" s="443">
        <f t="shared" si="1"/>
        <v>100</v>
      </c>
      <c r="AG33" s="443">
        <f t="shared" si="1"/>
        <v>100</v>
      </c>
      <c r="AH33" s="443">
        <v>100</v>
      </c>
      <c r="AI33" s="443">
        <v>100</v>
      </c>
      <c r="AJ33" s="443">
        <f t="shared" si="1"/>
        <v>100</v>
      </c>
      <c r="AK33" s="443">
        <f t="shared" si="1"/>
        <v>100</v>
      </c>
      <c r="AL33" s="443">
        <f t="shared" ref="AL33:AO33" si="2">ROUNDDOWN(SUM(AL35:AL57),0)</f>
        <v>100</v>
      </c>
      <c r="AM33" s="443">
        <f t="shared" si="2"/>
        <v>100</v>
      </c>
      <c r="AN33" s="443">
        <f t="shared" si="2"/>
        <v>100</v>
      </c>
      <c r="AO33" s="443">
        <f t="shared" si="2"/>
        <v>100</v>
      </c>
    </row>
    <row r="34" spans="1:41" ht="20.25" customHeight="1">
      <c r="A34" s="442"/>
      <c r="F34" s="441"/>
      <c r="G34" s="441"/>
      <c r="H34" s="441"/>
      <c r="I34" s="441"/>
      <c r="J34" s="441"/>
      <c r="K34" s="441"/>
      <c r="L34" s="441"/>
      <c r="M34" s="441"/>
      <c r="N34" s="441"/>
      <c r="O34" s="441"/>
      <c r="P34" s="441"/>
      <c r="Q34" s="441"/>
      <c r="R34" s="441"/>
      <c r="S34" s="441"/>
      <c r="T34" s="441"/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  <c r="AL34" s="441"/>
      <c r="AM34" s="441"/>
      <c r="AN34" s="441"/>
      <c r="AO34" s="441"/>
    </row>
    <row r="35" spans="1:41" ht="17.25" customHeight="1">
      <c r="A35" s="440" t="s">
        <v>175</v>
      </c>
      <c r="B35" s="429">
        <f t="shared" ref="B35:B40" si="3">B8*100/$B$6</f>
        <v>27.986667614164361</v>
      </c>
      <c r="C35" s="429">
        <f t="shared" ref="C35:C40" si="4">C8*100/$C$6</f>
        <v>30.837561756351988</v>
      </c>
      <c r="D35" s="435" t="s">
        <v>170</v>
      </c>
      <c r="E35" s="429">
        <f t="shared" ref="E35:E40" si="5">SUM(E8*100/$E$6)</f>
        <v>41.529079643638411</v>
      </c>
      <c r="F35" s="429">
        <f t="shared" ref="F35:F40" si="6">F8/$F$6*100</f>
        <v>29.2014309186725</v>
      </c>
      <c r="G35" s="429">
        <f t="shared" ref="G35:G40" si="7">G8/$G$6*100</f>
        <v>32.532822753469681</v>
      </c>
      <c r="H35" s="429">
        <f t="shared" ref="H35:H40" si="8">H8/$H$6*100</f>
        <v>38.656191113660995</v>
      </c>
      <c r="I35" s="429">
        <f t="shared" ref="I35:I40" si="9">I8/$I$6*100</f>
        <v>39.968981235275955</v>
      </c>
      <c r="J35" s="429">
        <f t="shared" ref="J35:J40" si="10">J8/$J$6*100</f>
        <v>30.702003932688516</v>
      </c>
      <c r="K35" s="429">
        <f>K8/$K$6*100</f>
        <v>39.03656179832516</v>
      </c>
      <c r="L35" s="429">
        <f t="shared" ref="L35:AK35" si="11">L8/L$6*100</f>
        <v>37.31430727053413</v>
      </c>
      <c r="M35" s="429">
        <f t="shared" si="11"/>
        <v>35.697145299483459</v>
      </c>
      <c r="N35" s="429">
        <f t="shared" si="11"/>
        <v>32.165365931856257</v>
      </c>
      <c r="O35" s="429">
        <f t="shared" si="11"/>
        <v>31.742835970846539</v>
      </c>
      <c r="P35" s="429">
        <f t="shared" si="11"/>
        <v>38.854803680452314</v>
      </c>
      <c r="Q35" s="429">
        <f t="shared" si="11"/>
        <v>41.434603087856978</v>
      </c>
      <c r="R35" s="429">
        <f t="shared" si="11"/>
        <v>33.89509361930422</v>
      </c>
      <c r="S35" s="429">
        <f t="shared" si="11"/>
        <v>39.974801567208146</v>
      </c>
      <c r="T35" s="429">
        <f t="shared" si="11"/>
        <v>41.267232962034107</v>
      </c>
      <c r="U35" s="429">
        <f t="shared" si="11"/>
        <v>39.009588048202403</v>
      </c>
      <c r="V35" s="429">
        <f t="shared" si="11"/>
        <v>37.130772888998486</v>
      </c>
      <c r="W35" s="429">
        <f t="shared" si="11"/>
        <v>37.897832575243797</v>
      </c>
      <c r="X35" s="429">
        <f t="shared" si="11"/>
        <v>42.878781834823236</v>
      </c>
      <c r="Y35" s="429">
        <f t="shared" si="11"/>
        <v>41.705541487943229</v>
      </c>
      <c r="Z35" s="429">
        <f t="shared" si="11"/>
        <v>34.671838738830921</v>
      </c>
      <c r="AA35" s="429">
        <f t="shared" si="11"/>
        <v>35.96899499297281</v>
      </c>
      <c r="AB35" s="429">
        <f t="shared" si="11"/>
        <v>37.593706242280255</v>
      </c>
      <c r="AC35" s="429">
        <f t="shared" si="11"/>
        <v>37.572264760152585</v>
      </c>
      <c r="AD35" s="429">
        <f t="shared" si="11"/>
        <v>31.35643681310513</v>
      </c>
      <c r="AE35" s="429">
        <f t="shared" si="11"/>
        <v>38.384971326873639</v>
      </c>
      <c r="AF35" s="429">
        <f t="shared" si="11"/>
        <v>40.176393374707743</v>
      </c>
      <c r="AG35" s="429">
        <f t="shared" si="11"/>
        <v>38.635913203241756</v>
      </c>
      <c r="AH35" s="429">
        <f t="shared" si="11"/>
        <v>36.677159851758148</v>
      </c>
      <c r="AI35" s="429">
        <f t="shared" si="11"/>
        <v>37.173715359638628</v>
      </c>
      <c r="AJ35" s="429">
        <f t="shared" si="11"/>
        <v>40.128372509541769</v>
      </c>
      <c r="AK35" s="429">
        <f t="shared" si="11"/>
        <v>37.593313492958885</v>
      </c>
      <c r="AL35" s="429">
        <f t="shared" ref="AL35:AO35" si="12">AL8/AL$6*100</f>
        <v>30.711201527507892</v>
      </c>
      <c r="AM35" s="429">
        <f t="shared" si="12"/>
        <v>28.52637915796754</v>
      </c>
      <c r="AN35" s="429">
        <f t="shared" si="12"/>
        <v>33.180657949884228</v>
      </c>
      <c r="AO35" s="429">
        <f t="shared" si="12"/>
        <v>36.675378759123298</v>
      </c>
    </row>
    <row r="36" spans="1:41" ht="17.25" customHeight="1">
      <c r="A36" s="440" t="s">
        <v>78</v>
      </c>
      <c r="B36" s="429">
        <f t="shared" si="3"/>
        <v>0.41913107172921976</v>
      </c>
      <c r="C36" s="429">
        <f t="shared" si="4"/>
        <v>9.6726011548337626E-2</v>
      </c>
      <c r="D36" s="435" t="s">
        <v>170</v>
      </c>
      <c r="E36" s="429">
        <f t="shared" si="5"/>
        <v>0</v>
      </c>
      <c r="F36" s="429">
        <f t="shared" si="6"/>
        <v>2.3147702574421135E-2</v>
      </c>
      <c r="G36" s="429">
        <f t="shared" si="7"/>
        <v>0.17662139841806346</v>
      </c>
      <c r="H36" s="429">
        <f t="shared" si="8"/>
        <v>0.10798240581373113</v>
      </c>
      <c r="I36" s="429">
        <f t="shared" si="9"/>
        <v>0</v>
      </c>
      <c r="J36" s="429">
        <f t="shared" si="10"/>
        <v>0.31035919769680181</v>
      </c>
      <c r="K36" s="429">
        <f>K9/$K$6*100</f>
        <v>7.6789920037002704E-2</v>
      </c>
      <c r="L36" s="429">
        <f t="shared" ref="L36:AK36" si="13">L9/L$6*100</f>
        <v>0.12306883063795858</v>
      </c>
      <c r="M36" s="429">
        <f t="shared" si="13"/>
        <v>0.74760946428534636</v>
      </c>
      <c r="N36" s="429">
        <f t="shared" si="13"/>
        <v>0.11341103818659408</v>
      </c>
      <c r="O36" s="429">
        <f t="shared" si="13"/>
        <v>3.2623538348969333E-2</v>
      </c>
      <c r="P36" s="429">
        <f t="shared" si="13"/>
        <v>0.37665996076484792</v>
      </c>
      <c r="Q36" s="429">
        <f t="shared" si="13"/>
        <v>0.13228096199299119</v>
      </c>
      <c r="R36" s="429">
        <f t="shared" si="13"/>
        <v>4.8313904030209527E-2</v>
      </c>
      <c r="S36" s="429">
        <f t="shared" si="13"/>
        <v>6.3617261835331562E-2</v>
      </c>
      <c r="T36" s="429">
        <f t="shared" si="13"/>
        <v>0.14233295093213849</v>
      </c>
      <c r="U36" s="429">
        <f t="shared" si="13"/>
        <v>0.44803468694995335</v>
      </c>
      <c r="V36" s="429">
        <f t="shared" si="13"/>
        <v>0.67159556604549031</v>
      </c>
      <c r="W36" s="429">
        <f t="shared" si="13"/>
        <v>4.7274385538224079E-2</v>
      </c>
      <c r="X36" s="429">
        <f t="shared" si="13"/>
        <v>7.622095931825143E-2</v>
      </c>
      <c r="Y36" s="429">
        <f t="shared" si="13"/>
        <v>0.37288167303127184</v>
      </c>
      <c r="Z36" s="429">
        <f t="shared" si="13"/>
        <v>7.5846990608564702E-2</v>
      </c>
      <c r="AA36" s="429">
        <f t="shared" si="13"/>
        <v>1.8860006147768723E-2</v>
      </c>
      <c r="AB36" s="429">
        <f t="shared" si="13"/>
        <v>1.5308166907044909E-2</v>
      </c>
      <c r="AC36" s="429">
        <f t="shared" si="13"/>
        <v>0.11735261015048376</v>
      </c>
      <c r="AD36" s="429">
        <f t="shared" si="13"/>
        <v>0.58201997815918405</v>
      </c>
      <c r="AE36" s="429">
        <f t="shared" si="13"/>
        <v>0.44002372948388369</v>
      </c>
      <c r="AF36" s="429">
        <f t="shared" si="13"/>
        <v>0.37395630492093002</v>
      </c>
      <c r="AG36" s="429">
        <f t="shared" si="13"/>
        <v>0</v>
      </c>
      <c r="AH36" s="429">
        <f t="shared" si="13"/>
        <v>0.19177293308248905</v>
      </c>
      <c r="AI36" s="429">
        <f t="shared" si="13"/>
        <v>0.70903413758663336</v>
      </c>
      <c r="AJ36" s="429">
        <f t="shared" si="13"/>
        <v>0</v>
      </c>
      <c r="AK36" s="429">
        <f t="shared" si="13"/>
        <v>0</v>
      </c>
      <c r="AL36" s="429">
        <f t="shared" ref="AL36:AO36" si="14">AL9/AL$6*100</f>
        <v>0</v>
      </c>
      <c r="AM36" s="429">
        <f t="shared" si="14"/>
        <v>0</v>
      </c>
      <c r="AN36" s="429">
        <f t="shared" si="14"/>
        <v>0</v>
      </c>
      <c r="AO36" s="429">
        <f t="shared" si="14"/>
        <v>0</v>
      </c>
    </row>
    <row r="37" spans="1:41" ht="17.25" customHeight="1">
      <c r="A37" s="440" t="s">
        <v>77</v>
      </c>
      <c r="B37" s="429">
        <f t="shared" si="3"/>
        <v>19.098957023691085</v>
      </c>
      <c r="C37" s="429">
        <f t="shared" si="4"/>
        <v>19.908858446024482</v>
      </c>
      <c r="D37" s="435" t="s">
        <v>170</v>
      </c>
      <c r="E37" s="429">
        <f t="shared" si="5"/>
        <v>18.815112499863318</v>
      </c>
      <c r="F37" s="429">
        <f t="shared" si="6"/>
        <v>21.323788797899528</v>
      </c>
      <c r="G37" s="429">
        <f t="shared" si="7"/>
        <v>20.175050246890486</v>
      </c>
      <c r="H37" s="429">
        <f t="shared" si="8"/>
        <v>18.171224580863136</v>
      </c>
      <c r="I37" s="429">
        <f t="shared" si="9"/>
        <v>17.998588120038612</v>
      </c>
      <c r="J37" s="429">
        <f t="shared" si="10"/>
        <v>17.762253620443953</v>
      </c>
      <c r="K37" s="429">
        <f>ROUNDUP(K10/$K$6*100,1)</f>
        <v>16.5</v>
      </c>
      <c r="L37" s="429">
        <f t="shared" ref="L37:AJ37" si="15">L10/L$6*100</f>
        <v>18.018012848074036</v>
      </c>
      <c r="M37" s="429">
        <f t="shared" si="15"/>
        <v>13.952397449338678</v>
      </c>
      <c r="N37" s="429">
        <f t="shared" si="15"/>
        <v>20.55905987903266</v>
      </c>
      <c r="O37" s="429">
        <f t="shared" si="15"/>
        <v>18.509996451357971</v>
      </c>
      <c r="P37" s="429">
        <f t="shared" si="15"/>
        <v>18.198521367403817</v>
      </c>
      <c r="Q37" s="429">
        <f t="shared" si="15"/>
        <v>16.742891393615508</v>
      </c>
      <c r="R37" s="429">
        <f t="shared" si="15"/>
        <v>19.563351977165013</v>
      </c>
      <c r="S37" s="429">
        <f t="shared" si="15"/>
        <v>16.15984151383191</v>
      </c>
      <c r="T37" s="429">
        <f t="shared" si="15"/>
        <v>17.215526247619479</v>
      </c>
      <c r="U37" s="429">
        <f t="shared" si="15"/>
        <v>17.03703788948015</v>
      </c>
      <c r="V37" s="429">
        <f t="shared" si="15"/>
        <v>17.049250830779346</v>
      </c>
      <c r="W37" s="429">
        <f t="shared" si="15"/>
        <v>17.651086854844365</v>
      </c>
      <c r="X37" s="429">
        <f t="shared" si="15"/>
        <v>15.38581952151562</v>
      </c>
      <c r="Y37" s="429">
        <f t="shared" si="15"/>
        <v>17.199113200745188</v>
      </c>
      <c r="Z37" s="429">
        <f t="shared" si="15"/>
        <v>16.865136864371362</v>
      </c>
      <c r="AA37" s="429">
        <f t="shared" si="15"/>
        <v>16.986651729167093</v>
      </c>
      <c r="AB37" s="429">
        <f t="shared" si="15"/>
        <v>17.097946754593575</v>
      </c>
      <c r="AC37" s="429">
        <f t="shared" si="15"/>
        <v>17.149180407466837</v>
      </c>
      <c r="AD37" s="429">
        <f t="shared" si="15"/>
        <v>16.918757468104616</v>
      </c>
      <c r="AE37" s="429">
        <f t="shared" si="15"/>
        <v>13.325766264583747</v>
      </c>
      <c r="AF37" s="429">
        <f t="shared" si="15"/>
        <v>14.644308129417821</v>
      </c>
      <c r="AG37" s="429">
        <f t="shared" si="15"/>
        <v>17.986062381822173</v>
      </c>
      <c r="AH37" s="429">
        <f t="shared" si="15"/>
        <v>17.974809885162713</v>
      </c>
      <c r="AI37" s="429">
        <f t="shared" si="15"/>
        <v>18.289025020178851</v>
      </c>
      <c r="AJ37" s="429">
        <f t="shared" si="15"/>
        <v>18.236805197063266</v>
      </c>
      <c r="AK37" s="429">
        <f>AK10/AK$6*100+0.02</f>
        <v>17.763755151094824</v>
      </c>
      <c r="AL37" s="429">
        <f t="shared" ref="AL37:AO37" si="16">AL10/AL$6*100+0.02</f>
        <v>19.572489505139124</v>
      </c>
      <c r="AM37" s="429">
        <f t="shared" si="16"/>
        <v>22.304016241210149</v>
      </c>
      <c r="AN37" s="429">
        <f t="shared" si="16"/>
        <v>22.613237050218835</v>
      </c>
      <c r="AO37" s="429">
        <f t="shared" si="16"/>
        <v>20.746576831729257</v>
      </c>
    </row>
    <row r="38" spans="1:41" ht="17.25" customHeight="1">
      <c r="A38" s="440" t="s">
        <v>76</v>
      </c>
      <c r="B38" s="429">
        <f t="shared" si="3"/>
        <v>0.37710863789917898</v>
      </c>
      <c r="C38" s="429">
        <f t="shared" si="4"/>
        <v>0.10420758150235268</v>
      </c>
      <c r="D38" s="435" t="s">
        <v>170</v>
      </c>
      <c r="E38" s="429">
        <f t="shared" si="5"/>
        <v>0.18434270505231512</v>
      </c>
      <c r="F38" s="429">
        <f t="shared" si="6"/>
        <v>0.11389603024967336</v>
      </c>
      <c r="G38" s="429">
        <f t="shared" si="7"/>
        <v>0.39624974119273038</v>
      </c>
      <c r="H38" s="429">
        <f t="shared" si="8"/>
        <v>0.49550583285523042</v>
      </c>
      <c r="I38" s="429">
        <f t="shared" si="9"/>
        <v>5.3869421774396117E-2</v>
      </c>
      <c r="J38" s="429">
        <f t="shared" si="10"/>
        <v>0.21362470933766359</v>
      </c>
      <c r="K38" s="429">
        <f>K11/$K$6*100</f>
        <v>2.5853325130789251E-2</v>
      </c>
      <c r="L38" s="429">
        <f t="shared" ref="L38:AJ38" si="17">L11/L$6*100</f>
        <v>4.6408114543659999E-2</v>
      </c>
      <c r="M38" s="429">
        <f t="shared" si="17"/>
        <v>0.19859791853322814</v>
      </c>
      <c r="N38" s="429">
        <f t="shared" si="17"/>
        <v>0.14334357025930219</v>
      </c>
      <c r="O38" s="429">
        <f t="shared" si="17"/>
        <v>7.8163334738142839E-2</v>
      </c>
      <c r="P38" s="429">
        <f t="shared" si="17"/>
        <v>0.28307324520219607</v>
      </c>
      <c r="Q38" s="429">
        <f t="shared" si="17"/>
        <v>0.18938654625174559</v>
      </c>
      <c r="R38" s="429">
        <f t="shared" si="17"/>
        <v>0.33360306126380873</v>
      </c>
      <c r="S38" s="429">
        <f t="shared" si="17"/>
        <v>0.36385753177032598</v>
      </c>
      <c r="T38" s="429">
        <f t="shared" si="17"/>
        <v>0.34181258166353062</v>
      </c>
      <c r="U38" s="429">
        <f t="shared" si="17"/>
        <v>0.52851996005473545</v>
      </c>
      <c r="V38" s="429">
        <f t="shared" si="17"/>
        <v>0.56606016838693762</v>
      </c>
      <c r="W38" s="429">
        <f t="shared" si="17"/>
        <v>0.29868557213348612</v>
      </c>
      <c r="X38" s="429">
        <f t="shared" si="17"/>
        <v>0.28970288413224066</v>
      </c>
      <c r="Y38" s="429">
        <f t="shared" si="17"/>
        <v>0.40317561057395135</v>
      </c>
      <c r="Z38" s="429">
        <f t="shared" si="17"/>
        <v>0.19442137963410661</v>
      </c>
      <c r="AA38" s="429">
        <f t="shared" si="17"/>
        <v>0.47074840758824538</v>
      </c>
      <c r="AB38" s="429">
        <f t="shared" si="17"/>
        <v>0.44821412223421198</v>
      </c>
      <c r="AC38" s="429">
        <f t="shared" si="17"/>
        <v>0.39256069122165471</v>
      </c>
      <c r="AD38" s="429">
        <f t="shared" si="17"/>
        <v>0.24396143223681938</v>
      </c>
      <c r="AE38" s="429">
        <f t="shared" si="17"/>
        <v>0.17892030848329049</v>
      </c>
      <c r="AF38" s="429">
        <f t="shared" si="17"/>
        <v>0.24856965936995232</v>
      </c>
      <c r="AG38" s="429">
        <f t="shared" si="17"/>
        <v>0.62342031017207389</v>
      </c>
      <c r="AH38" s="429">
        <f t="shared" si="17"/>
        <v>0.50519347955850979</v>
      </c>
      <c r="AI38" s="429">
        <f t="shared" si="17"/>
        <v>0.23767533246204339</v>
      </c>
      <c r="AJ38" s="429">
        <f t="shared" si="17"/>
        <v>0.13986648828175788</v>
      </c>
      <c r="AK38" s="429">
        <f>AK11/AK$6*100</f>
        <v>0.34392093618699038</v>
      </c>
      <c r="AL38" s="429">
        <f t="shared" ref="AL38:AO38" si="18">AL11/AL$6*100</f>
        <v>0.46666345761646955</v>
      </c>
      <c r="AM38" s="429">
        <f t="shared" si="18"/>
        <v>0.64196329076633407</v>
      </c>
      <c r="AN38" s="429">
        <f t="shared" si="18"/>
        <v>0.17632246140315919</v>
      </c>
      <c r="AO38" s="429">
        <f t="shared" si="18"/>
        <v>0.2430932405229925</v>
      </c>
    </row>
    <row r="39" spans="1:41" ht="17.25" customHeight="1">
      <c r="A39" s="440" t="s">
        <v>75</v>
      </c>
      <c r="B39" s="429">
        <f t="shared" si="3"/>
        <v>0</v>
      </c>
      <c r="C39" s="429">
        <f t="shared" si="4"/>
        <v>0</v>
      </c>
      <c r="D39" s="435" t="s">
        <v>170</v>
      </c>
      <c r="E39" s="429">
        <f t="shared" si="5"/>
        <v>0</v>
      </c>
      <c r="F39" s="429">
        <f t="shared" si="6"/>
        <v>0.10540302316708984</v>
      </c>
      <c r="G39" s="429">
        <f t="shared" si="7"/>
        <v>0.16071016049046558</v>
      </c>
      <c r="H39" s="429">
        <f t="shared" si="8"/>
        <v>0.14680946006247211</v>
      </c>
      <c r="I39" s="429">
        <f t="shared" si="9"/>
        <v>0.1404363297886001</v>
      </c>
      <c r="J39" s="429">
        <f t="shared" si="10"/>
        <v>0.25254174855526779</v>
      </c>
      <c r="K39" s="429">
        <f>K12/$K$6*100</f>
        <v>0.41318796031542826</v>
      </c>
      <c r="L39" s="429">
        <f t="shared" ref="L39:AJ39" si="19">L12/L$6*100</f>
        <v>0.18837702408851237</v>
      </c>
      <c r="M39" s="429">
        <f t="shared" si="19"/>
        <v>0.4871434902339043</v>
      </c>
      <c r="N39" s="429">
        <f t="shared" si="19"/>
        <v>0.36703935994934084</v>
      </c>
      <c r="O39" s="429">
        <f t="shared" si="19"/>
        <v>0</v>
      </c>
      <c r="P39" s="429">
        <f t="shared" si="19"/>
        <v>0.54570370083259045</v>
      </c>
      <c r="Q39" s="429">
        <f t="shared" si="19"/>
        <v>8.0652980634470114E-2</v>
      </c>
      <c r="R39" s="429">
        <f t="shared" si="19"/>
        <v>0.26039119442048508</v>
      </c>
      <c r="S39" s="429">
        <f t="shared" si="19"/>
        <v>0.193900433184925</v>
      </c>
      <c r="T39" s="429">
        <f t="shared" si="19"/>
        <v>0.15742024373094518</v>
      </c>
      <c r="U39" s="429">
        <f t="shared" si="19"/>
        <v>0.34728689333545865</v>
      </c>
      <c r="V39" s="429">
        <f t="shared" si="19"/>
        <v>0.18303566186399878</v>
      </c>
      <c r="W39" s="429">
        <f t="shared" si="19"/>
        <v>7.0294777951872028E-2</v>
      </c>
      <c r="X39" s="429">
        <f t="shared" si="19"/>
        <v>0.50712844597059914</v>
      </c>
      <c r="Y39" s="429">
        <f t="shared" si="19"/>
        <v>0.50837688536586945</v>
      </c>
      <c r="Z39" s="429">
        <f t="shared" si="19"/>
        <v>0.26362882935520687</v>
      </c>
      <c r="AA39" s="429">
        <f t="shared" si="19"/>
        <v>0.65918844004025823</v>
      </c>
      <c r="AB39" s="429">
        <f t="shared" si="19"/>
        <v>0.46794965113888265</v>
      </c>
      <c r="AC39" s="429">
        <f t="shared" si="19"/>
        <v>0.86815414785105893</v>
      </c>
      <c r="AD39" s="429">
        <f t="shared" si="19"/>
        <v>0.20587259202593258</v>
      </c>
      <c r="AE39" s="429">
        <f t="shared" si="19"/>
        <v>0.26877595412299782</v>
      </c>
      <c r="AF39" s="429">
        <f t="shared" si="19"/>
        <v>0.69781671513432242</v>
      </c>
      <c r="AG39" s="429">
        <f t="shared" si="19"/>
        <v>0.25818339591513156</v>
      </c>
      <c r="AH39" s="429">
        <f t="shared" si="19"/>
        <v>0.18530231534879057</v>
      </c>
      <c r="AI39" s="429">
        <f t="shared" si="19"/>
        <v>9.8279588263612827E-2</v>
      </c>
      <c r="AJ39" s="429">
        <f t="shared" si="19"/>
        <v>0.35120490594401799</v>
      </c>
      <c r="AK39" s="429">
        <f>AK12/AK$6*100</f>
        <v>0.4975136194749189</v>
      </c>
      <c r="AL39" s="429">
        <f t="shared" ref="AL39:AO39" si="20">AL12/AL$6*100</f>
        <v>2.2210005311822566E-2</v>
      </c>
      <c r="AM39" s="429">
        <f t="shared" si="20"/>
        <v>5.6272121390664294E-2</v>
      </c>
      <c r="AN39" s="429">
        <f t="shared" si="20"/>
        <v>0.28823096954164751</v>
      </c>
      <c r="AO39" s="429">
        <f t="shared" si="20"/>
        <v>0.8712648606802107</v>
      </c>
    </row>
    <row r="40" spans="1:41" ht="17.25" customHeight="1">
      <c r="A40" s="440" t="s">
        <v>74</v>
      </c>
      <c r="B40" s="429">
        <f t="shared" si="3"/>
        <v>7.6730914298833488</v>
      </c>
      <c r="C40" s="429">
        <f t="shared" si="4"/>
        <v>7.7464308903335448</v>
      </c>
      <c r="D40" s="435" t="s">
        <v>170</v>
      </c>
      <c r="E40" s="429">
        <f t="shared" si="5"/>
        <v>4.6306938965583999</v>
      </c>
      <c r="F40" s="429">
        <f t="shared" si="6"/>
        <v>9.0627247278339507</v>
      </c>
      <c r="G40" s="429">
        <f t="shared" si="7"/>
        <v>8.8109645072875473</v>
      </c>
      <c r="H40" s="429">
        <f t="shared" si="8"/>
        <v>5.1787467329636003</v>
      </c>
      <c r="I40" s="429">
        <f t="shared" si="9"/>
        <v>5.0233862193249665</v>
      </c>
      <c r="J40" s="429">
        <f t="shared" si="10"/>
        <v>6.7721585575704388</v>
      </c>
      <c r="K40" s="429">
        <f>K13/$K$6*100</f>
        <v>7.0444272463989046</v>
      </c>
      <c r="L40" s="429">
        <f t="shared" ref="L40:AJ40" si="21">L13/L$6*100</f>
        <v>7.977018452171988</v>
      </c>
      <c r="M40" s="429">
        <f t="shared" si="21"/>
        <v>6.1207198948228205</v>
      </c>
      <c r="N40" s="429">
        <f t="shared" si="21"/>
        <v>7.4526683522008055</v>
      </c>
      <c r="O40" s="429">
        <f t="shared" si="21"/>
        <v>8.3892427544120007</v>
      </c>
      <c r="P40" s="429">
        <f t="shared" si="21"/>
        <v>5.7256065006820522</v>
      </c>
      <c r="Q40" s="429">
        <f t="shared" si="21"/>
        <v>6.0837909545258224</v>
      </c>
      <c r="R40" s="429">
        <f t="shared" si="21"/>
        <v>5.9904794932671752</v>
      </c>
      <c r="S40" s="429">
        <f t="shared" si="21"/>
        <v>6.170130127232305</v>
      </c>
      <c r="T40" s="429">
        <f t="shared" si="21"/>
        <v>5.6523973138925498</v>
      </c>
      <c r="U40" s="429">
        <f t="shared" si="21"/>
        <v>5.9584518499571795</v>
      </c>
      <c r="V40" s="429">
        <f t="shared" si="21"/>
        <v>7.7079003299632465</v>
      </c>
      <c r="W40" s="429">
        <f t="shared" si="21"/>
        <v>8.3269005343654268</v>
      </c>
      <c r="X40" s="429">
        <f t="shared" si="21"/>
        <v>5.1880147981539269</v>
      </c>
      <c r="Y40" s="429">
        <f t="shared" si="21"/>
        <v>4.824363521493944</v>
      </c>
      <c r="Z40" s="429">
        <f t="shared" si="21"/>
        <v>10.241687099528281</v>
      </c>
      <c r="AA40" s="429">
        <f t="shared" si="21"/>
        <v>9.6075181979738744</v>
      </c>
      <c r="AB40" s="429">
        <f t="shared" si="21"/>
        <v>6.286478836459251</v>
      </c>
      <c r="AC40" s="429">
        <f t="shared" si="21"/>
        <v>6.3865134399927417</v>
      </c>
      <c r="AD40" s="429">
        <f t="shared" si="21"/>
        <v>9.1757944616897795</v>
      </c>
      <c r="AE40" s="429">
        <f t="shared" si="21"/>
        <v>6.1661854854656912</v>
      </c>
      <c r="AF40" s="429">
        <f t="shared" si="21"/>
        <v>6.485508550458392</v>
      </c>
      <c r="AG40" s="429">
        <f t="shared" si="21"/>
        <v>6.4924630190928685</v>
      </c>
      <c r="AH40" s="429">
        <f t="shared" si="21"/>
        <v>8.2742215442452753</v>
      </c>
      <c r="AI40" s="429">
        <f t="shared" si="21"/>
        <v>6.9627615366744138</v>
      </c>
      <c r="AJ40" s="429">
        <f t="shared" si="21"/>
        <v>5.8454652253289137</v>
      </c>
      <c r="AK40" s="429">
        <f>AK13/AK$6*100</f>
        <v>6.0808451714498117</v>
      </c>
      <c r="AL40" s="429">
        <f t="shared" ref="AL40:AO40" si="22">AL13/AL$6*100</f>
        <v>7.1466392377323498</v>
      </c>
      <c r="AM40" s="429">
        <f t="shared" si="22"/>
        <v>7.4473035919374597</v>
      </c>
      <c r="AN40" s="429">
        <f t="shared" si="22"/>
        <v>4.5787155685948484</v>
      </c>
      <c r="AO40" s="429">
        <f t="shared" si="22"/>
        <v>5.2727207506025193</v>
      </c>
    </row>
    <row r="41" spans="1:41" ht="17.25" customHeight="1">
      <c r="A41" s="440" t="s">
        <v>174</v>
      </c>
      <c r="B41" s="429"/>
      <c r="C41" s="429"/>
      <c r="D41" s="435"/>
      <c r="E41" s="429"/>
      <c r="F41" s="429"/>
      <c r="G41" s="429"/>
      <c r="H41" s="429"/>
      <c r="I41" s="429"/>
      <c r="J41" s="429"/>
      <c r="K41" s="429"/>
      <c r="L41" s="429"/>
      <c r="M41" s="429"/>
      <c r="N41" s="429"/>
      <c r="O41" s="429"/>
      <c r="P41" s="429"/>
      <c r="Q41" s="429"/>
      <c r="R41" s="429"/>
      <c r="S41" s="429"/>
      <c r="T41" s="429"/>
      <c r="U41" s="429"/>
      <c r="V41" s="429"/>
      <c r="W41" s="429"/>
      <c r="X41" s="429"/>
      <c r="Y41" s="429"/>
      <c r="Z41" s="429"/>
      <c r="AA41" s="429"/>
      <c r="AB41" s="429"/>
      <c r="AC41" s="429"/>
      <c r="AD41" s="429"/>
      <c r="AE41" s="429"/>
      <c r="AF41" s="429"/>
      <c r="AG41" s="429"/>
      <c r="AH41" s="429"/>
      <c r="AI41" s="429"/>
      <c r="AJ41" s="429"/>
      <c r="AK41" s="429"/>
      <c r="AL41" s="429"/>
      <c r="AM41" s="429"/>
      <c r="AN41" s="429"/>
      <c r="AO41" s="429"/>
    </row>
    <row r="42" spans="1:41" ht="17.25" customHeight="1">
      <c r="A42" s="439" t="s">
        <v>173</v>
      </c>
      <c r="B42" s="429">
        <f t="shared" ref="B42:B49" si="23">B15*100/$B$6</f>
        <v>18.664451890804536</v>
      </c>
      <c r="C42" s="429">
        <f t="shared" ref="C42:C49" si="24">C15*100/$C$6</f>
        <v>18.519424025993111</v>
      </c>
      <c r="D42" s="435" t="s">
        <v>170</v>
      </c>
      <c r="E42" s="429">
        <f>SUM(E15*100/$E$6)</f>
        <v>16.284484660512906</v>
      </c>
      <c r="F42" s="429">
        <f t="shared" ref="F42:F49" si="25">F15/$F$6*100</f>
        <v>16.488856822967264</v>
      </c>
      <c r="G42" s="429">
        <f t="shared" ref="G42:G49" si="26">G15/$G$6*100</f>
        <v>14.689201595384544</v>
      </c>
      <c r="H42" s="429">
        <f t="shared" ref="H42:H49" si="27">H15/$H$6*100</f>
        <v>14.322942563906418</v>
      </c>
      <c r="I42" s="429">
        <f>I15/$I$6*100</f>
        <v>16.068684765539608</v>
      </c>
      <c r="J42" s="429">
        <f t="shared" ref="J42:J49" si="28">J15/$J$6*100</f>
        <v>18.600930641962186</v>
      </c>
      <c r="K42" s="429">
        <f t="shared" ref="K42:K49" si="29">K15/$K$6*100</f>
        <v>16.06521824687491</v>
      </c>
      <c r="L42" s="429">
        <f t="shared" ref="L42:AG42" si="30">L15/L$6*100</f>
        <v>15.206142692813756</v>
      </c>
      <c r="M42" s="429">
        <f t="shared" si="30"/>
        <v>20.234152249510284</v>
      </c>
      <c r="N42" s="429">
        <f t="shared" si="30"/>
        <v>15.580947211651605</v>
      </c>
      <c r="O42" s="429">
        <f t="shared" si="30"/>
        <v>17.236546618703407</v>
      </c>
      <c r="P42" s="429">
        <f t="shared" si="30"/>
        <v>16.074221704866133</v>
      </c>
      <c r="Q42" s="429">
        <f t="shared" si="30"/>
        <v>15.66600725562021</v>
      </c>
      <c r="R42" s="429">
        <f t="shared" si="30"/>
        <v>15.712689365309432</v>
      </c>
      <c r="S42" s="429">
        <f t="shared" si="30"/>
        <v>14.480118941915723</v>
      </c>
      <c r="T42" s="429">
        <f t="shared" si="30"/>
        <v>14.814796364247101</v>
      </c>
      <c r="U42" s="429">
        <f t="shared" si="30"/>
        <v>15.509088520590947</v>
      </c>
      <c r="V42" s="429">
        <f t="shared" si="30"/>
        <v>14.807320839351345</v>
      </c>
      <c r="W42" s="429">
        <f t="shared" si="30"/>
        <v>15.08605826570941</v>
      </c>
      <c r="X42" s="429">
        <f t="shared" si="30"/>
        <v>14.491910896346683</v>
      </c>
      <c r="Y42" s="429">
        <f t="shared" si="30"/>
        <v>13.900887734697065</v>
      </c>
      <c r="Z42" s="429">
        <f t="shared" si="30"/>
        <v>16.087607570326405</v>
      </c>
      <c r="AA42" s="429">
        <f t="shared" si="30"/>
        <v>17.184550647980551</v>
      </c>
      <c r="AB42" s="429">
        <f t="shared" si="30"/>
        <v>17.046319211299227</v>
      </c>
      <c r="AC42" s="429">
        <f t="shared" si="30"/>
        <v>14.748806154038272</v>
      </c>
      <c r="AD42" s="429">
        <f t="shared" si="30"/>
        <v>17.187307898452257</v>
      </c>
      <c r="AE42" s="429">
        <f t="shared" si="30"/>
        <v>16.750168083844176</v>
      </c>
      <c r="AF42" s="429">
        <f t="shared" si="30"/>
        <v>14.723638871769934</v>
      </c>
      <c r="AG42" s="429">
        <f t="shared" si="30"/>
        <v>14.576572343768055</v>
      </c>
      <c r="AH42" s="429">
        <f>AH15/AH$6*100-0.02</f>
        <v>16.044683530174918</v>
      </c>
      <c r="AI42" s="429">
        <f t="shared" ref="AI42:AK46" si="31">AI15/AI$6*100</f>
        <v>15.631164928477848</v>
      </c>
      <c r="AJ42" s="429">
        <f t="shared" si="31"/>
        <v>15.3451540262392</v>
      </c>
      <c r="AK42" s="429">
        <f t="shared" si="31"/>
        <v>15.281442757827882</v>
      </c>
      <c r="AL42" s="429">
        <f t="shared" ref="AL42:AO42" si="32">AL15/AL$6*100</f>
        <v>16.351377484797126</v>
      </c>
      <c r="AM42" s="429">
        <f t="shared" si="32"/>
        <v>14.139758089651139</v>
      </c>
      <c r="AN42" s="429">
        <f t="shared" si="32"/>
        <v>16.147891001284844</v>
      </c>
      <c r="AO42" s="429">
        <f t="shared" si="32"/>
        <v>16.289499523240263</v>
      </c>
    </row>
    <row r="43" spans="1:41" ht="18.75" customHeight="1">
      <c r="A43" s="438" t="s">
        <v>72</v>
      </c>
      <c r="B43" s="429">
        <f t="shared" si="23"/>
        <v>2.2051186740863025</v>
      </c>
      <c r="C43" s="429">
        <f t="shared" si="24"/>
        <v>2.7639724998864406</v>
      </c>
      <c r="D43" s="435" t="s">
        <v>170</v>
      </c>
      <c r="E43" s="429">
        <f>SUM(E16*100/$E$6)</f>
        <v>1.2220905080230242</v>
      </c>
      <c r="F43" s="429">
        <f t="shared" si="25"/>
        <v>1.9432458575299099</v>
      </c>
      <c r="G43" s="429">
        <f t="shared" si="26"/>
        <v>1.619151538230577</v>
      </c>
      <c r="H43" s="429">
        <f t="shared" si="27"/>
        <v>1.293682667176643</v>
      </c>
      <c r="I43" s="429">
        <f>ROUNDDOWN(I16/$I$6*100,1)</f>
        <v>1.9</v>
      </c>
      <c r="J43" s="429">
        <f t="shared" si="28"/>
        <v>3.6304509122514852</v>
      </c>
      <c r="K43" s="429">
        <f t="shared" si="29"/>
        <v>1.6408743791180034</v>
      </c>
      <c r="L43" s="429">
        <f t="shared" ref="L43:Y43" si="33">L16/L$6*100</f>
        <v>2.4121615558035963</v>
      </c>
      <c r="M43" s="429">
        <f t="shared" si="33"/>
        <v>1.6624131656588408</v>
      </c>
      <c r="N43" s="429">
        <f t="shared" si="33"/>
        <v>2.0298247749572464</v>
      </c>
      <c r="O43" s="429">
        <f t="shared" si="33"/>
        <v>2.8285273535053328</v>
      </c>
      <c r="P43" s="429">
        <f t="shared" si="33"/>
        <v>1.8063423910936955</v>
      </c>
      <c r="Q43" s="429">
        <f t="shared" si="33"/>
        <v>1.7114046210820972</v>
      </c>
      <c r="R43" s="429">
        <f t="shared" si="33"/>
        <v>1.9757570907323261</v>
      </c>
      <c r="S43" s="429">
        <f t="shared" si="33"/>
        <v>2.3128472582355655</v>
      </c>
      <c r="T43" s="429">
        <f t="shared" si="33"/>
        <v>2.2127792216664912</v>
      </c>
      <c r="U43" s="429">
        <f t="shared" si="33"/>
        <v>1.7558497737859029</v>
      </c>
      <c r="V43" s="429">
        <f t="shared" si="33"/>
        <v>2.3369705616420662</v>
      </c>
      <c r="W43" s="429">
        <f t="shared" si="33"/>
        <v>1.831911671850518</v>
      </c>
      <c r="X43" s="429">
        <f t="shared" si="33"/>
        <v>2.0899761134754473</v>
      </c>
      <c r="Y43" s="429">
        <f t="shared" si="33"/>
        <v>1.5503156398029239</v>
      </c>
      <c r="Z43" s="429">
        <f>Z16/Z$6*100-0.01</f>
        <v>2.2445537486457292</v>
      </c>
      <c r="AA43" s="429">
        <f t="shared" ref="AA43:AH45" si="34">AA16/AA$6*100</f>
        <v>1.1099496126364725</v>
      </c>
      <c r="AB43" s="429">
        <f t="shared" si="34"/>
        <v>1.3219802764775008</v>
      </c>
      <c r="AC43" s="429">
        <f t="shared" si="34"/>
        <v>1.6005792327272481</v>
      </c>
      <c r="AD43" s="429">
        <f t="shared" si="34"/>
        <v>2.9545368710419551</v>
      </c>
      <c r="AE43" s="429">
        <f t="shared" si="34"/>
        <v>1.9242238481313032</v>
      </c>
      <c r="AF43" s="429">
        <f t="shared" si="34"/>
        <v>1.7257374637227128</v>
      </c>
      <c r="AG43" s="429">
        <f t="shared" si="34"/>
        <v>1.9690501315021238</v>
      </c>
      <c r="AH43" s="429">
        <f t="shared" si="34"/>
        <v>1.7740007344151127</v>
      </c>
      <c r="AI43" s="429">
        <f t="shared" si="31"/>
        <v>2.4046165060209219</v>
      </c>
      <c r="AJ43" s="429">
        <f t="shared" si="31"/>
        <v>1.4542114199679799</v>
      </c>
      <c r="AK43" s="429">
        <f t="shared" si="31"/>
        <v>1.2959580581134544</v>
      </c>
      <c r="AL43" s="429">
        <f t="shared" ref="AL43:AO43" si="35">AL16/AL$6*100</f>
        <v>2.0189992661408889</v>
      </c>
      <c r="AM43" s="429">
        <f t="shared" si="35"/>
        <v>1.2713742266852819</v>
      </c>
      <c r="AN43" s="429">
        <f t="shared" si="35"/>
        <v>1.2507472018578702</v>
      </c>
      <c r="AO43" s="429">
        <f t="shared" si="35"/>
        <v>1.184349600447812</v>
      </c>
    </row>
    <row r="44" spans="1:41" ht="19.5" customHeight="1">
      <c r="A44" s="436" t="s">
        <v>70</v>
      </c>
      <c r="B44" s="429">
        <f t="shared" si="23"/>
        <v>8.7932796903869068</v>
      </c>
      <c r="C44" s="429">
        <f t="shared" si="24"/>
        <v>6.3092346621135968</v>
      </c>
      <c r="D44" s="435" t="s">
        <v>170</v>
      </c>
      <c r="E44" s="429">
        <f>SUM(E17*100/$E$6)</f>
        <v>4.3209261130510903</v>
      </c>
      <c r="F44" s="429">
        <f t="shared" si="25"/>
        <v>6.8613436621298156</v>
      </c>
      <c r="G44" s="429">
        <f t="shared" si="26"/>
        <v>6.9981485710177136</v>
      </c>
      <c r="H44" s="429">
        <f t="shared" si="27"/>
        <v>4.8331739657040869</v>
      </c>
      <c r="I44" s="429">
        <f>I17/$I$6*100</f>
        <v>5.1409593642907119</v>
      </c>
      <c r="J44" s="429">
        <f t="shared" si="28"/>
        <v>5.868690599699204</v>
      </c>
      <c r="K44" s="429">
        <f t="shared" si="29"/>
        <v>4.2952789324347851</v>
      </c>
      <c r="L44" s="429">
        <f t="shared" ref="L44:Y44" si="36">L17/L$6*100</f>
        <v>5.4338662504790278</v>
      </c>
      <c r="M44" s="429">
        <f t="shared" si="36"/>
        <v>6.615371037457134</v>
      </c>
      <c r="N44" s="429">
        <f t="shared" si="36"/>
        <v>6.5729844929528838</v>
      </c>
      <c r="O44" s="429">
        <f t="shared" si="36"/>
        <v>6.8153234756984595</v>
      </c>
      <c r="P44" s="429">
        <f t="shared" si="36"/>
        <v>3.8062348632708716</v>
      </c>
      <c r="Q44" s="429">
        <f t="shared" si="36"/>
        <v>4.9660451581138414</v>
      </c>
      <c r="R44" s="429">
        <f t="shared" si="36"/>
        <v>7.2500496477234666</v>
      </c>
      <c r="S44" s="429">
        <f t="shared" si="36"/>
        <v>6.8114453705200795</v>
      </c>
      <c r="T44" s="429">
        <f t="shared" si="36"/>
        <v>5.5408082803617535</v>
      </c>
      <c r="U44" s="429">
        <f t="shared" si="36"/>
        <v>6.9882397389978381</v>
      </c>
      <c r="V44" s="429">
        <f t="shared" si="36"/>
        <v>6.6929110743180562</v>
      </c>
      <c r="W44" s="429">
        <f t="shared" si="36"/>
        <v>6.4465641881621103</v>
      </c>
      <c r="X44" s="429">
        <f t="shared" si="36"/>
        <v>6.4672573095070716</v>
      </c>
      <c r="Y44" s="429">
        <f t="shared" si="36"/>
        <v>7.5443417616680231</v>
      </c>
      <c r="Z44" s="429">
        <f t="shared" ref="Z44:Z49" si="37">Z17/Z$6*100</f>
        <v>5.592758682371394</v>
      </c>
      <c r="AA44" s="429">
        <f t="shared" si="34"/>
        <v>5.8352827796020694</v>
      </c>
      <c r="AB44" s="429">
        <f t="shared" si="34"/>
        <v>7.8440097792172123</v>
      </c>
      <c r="AC44" s="429">
        <f t="shared" si="34"/>
        <v>8.2467626185799752</v>
      </c>
      <c r="AD44" s="429">
        <f t="shared" si="34"/>
        <v>6.0397329281237875</v>
      </c>
      <c r="AE44" s="429">
        <f t="shared" si="34"/>
        <v>7.1273086810361876</v>
      </c>
      <c r="AF44" s="429">
        <f t="shared" si="34"/>
        <v>7.0668266013608161</v>
      </c>
      <c r="AG44" s="429">
        <f t="shared" si="34"/>
        <v>6.1810206891063286</v>
      </c>
      <c r="AH44" s="429">
        <f t="shared" si="34"/>
        <v>6.1614030887493749</v>
      </c>
      <c r="AI44" s="429">
        <f t="shared" si="31"/>
        <v>5.4735583198741127</v>
      </c>
      <c r="AJ44" s="429">
        <f t="shared" si="31"/>
        <v>5.7669922781081251</v>
      </c>
      <c r="AK44" s="429">
        <f t="shared" si="31"/>
        <v>6.1196391997029487</v>
      </c>
      <c r="AL44" s="429">
        <f t="shared" ref="AL44:AO44" si="38">AL17/AL$6*100</f>
        <v>7.9556576821706013</v>
      </c>
      <c r="AM44" s="429">
        <f t="shared" si="38"/>
        <v>9.8585511850020708</v>
      </c>
      <c r="AN44" s="429">
        <f t="shared" si="38"/>
        <v>6.853386971547927</v>
      </c>
      <c r="AO44" s="429">
        <f t="shared" si="38"/>
        <v>6.3562125172163242</v>
      </c>
    </row>
    <row r="45" spans="1:41" ht="19.5" customHeight="1">
      <c r="A45" s="436" t="s">
        <v>69</v>
      </c>
      <c r="B45" s="429">
        <f t="shared" si="23"/>
        <v>0</v>
      </c>
      <c r="C45" s="429">
        <f t="shared" si="24"/>
        <v>0</v>
      </c>
      <c r="D45" s="435" t="s">
        <v>170</v>
      </c>
      <c r="E45" s="429" t="s">
        <v>170</v>
      </c>
      <c r="F45" s="429">
        <f t="shared" si="25"/>
        <v>0.19584115459474727</v>
      </c>
      <c r="G45" s="429">
        <f t="shared" si="26"/>
        <v>0.22475455750447879</v>
      </c>
      <c r="H45" s="429">
        <f t="shared" si="27"/>
        <v>0.10403518837253778</v>
      </c>
      <c r="I45" s="429">
        <f>I18/$I$6*100</f>
        <v>0.16248520939858549</v>
      </c>
      <c r="J45" s="429">
        <f t="shared" si="28"/>
        <v>1.021131050498477</v>
      </c>
      <c r="K45" s="429">
        <f t="shared" si="29"/>
        <v>0.17473646924986397</v>
      </c>
      <c r="L45" s="429">
        <f t="shared" ref="L45:Y45" si="39">L18/L$6*100</f>
        <v>0.21164345785838493</v>
      </c>
      <c r="M45" s="429">
        <f t="shared" si="39"/>
        <v>0.3134118470952888</v>
      </c>
      <c r="N45" s="429">
        <f t="shared" si="39"/>
        <v>1.7161318388352653</v>
      </c>
      <c r="O45" s="429">
        <f t="shared" si="39"/>
        <v>0.61771671184028043</v>
      </c>
      <c r="P45" s="429">
        <f t="shared" si="39"/>
        <v>0.28451111725158884</v>
      </c>
      <c r="Q45" s="429">
        <f t="shared" si="39"/>
        <v>0.62513930110823868</v>
      </c>
      <c r="R45" s="429">
        <f t="shared" si="39"/>
        <v>0.22119172320579059</v>
      </c>
      <c r="S45" s="429">
        <f t="shared" si="39"/>
        <v>0.27072492340397941</v>
      </c>
      <c r="T45" s="429">
        <f t="shared" si="39"/>
        <v>0.40422558064727332</v>
      </c>
      <c r="U45" s="429">
        <f t="shared" si="39"/>
        <v>0.43158462674520404</v>
      </c>
      <c r="V45" s="429">
        <f t="shared" si="39"/>
        <v>0.4011519357452355</v>
      </c>
      <c r="W45" s="429">
        <f t="shared" si="39"/>
        <v>0.43730487476906527</v>
      </c>
      <c r="X45" s="429">
        <f t="shared" si="39"/>
        <v>2.111909849687265E-2</v>
      </c>
      <c r="Y45" s="429">
        <f t="shared" si="39"/>
        <v>0.15168555900230046</v>
      </c>
      <c r="Z45" s="429">
        <f t="shared" si="37"/>
        <v>0.33627321788864162</v>
      </c>
      <c r="AA45" s="429">
        <f t="shared" si="34"/>
        <v>0.26627268613426791</v>
      </c>
      <c r="AB45" s="429">
        <f t="shared" si="34"/>
        <v>0.36529488482105199</v>
      </c>
      <c r="AC45" s="429">
        <f t="shared" si="34"/>
        <v>0.12674346491625776</v>
      </c>
      <c r="AD45" s="429">
        <f t="shared" si="34"/>
        <v>0.28478238334890904</v>
      </c>
      <c r="AE45" s="429">
        <f t="shared" si="34"/>
        <v>0.10527981016412893</v>
      </c>
      <c r="AF45" s="429">
        <f t="shared" si="34"/>
        <v>0.16887164506250602</v>
      </c>
      <c r="AG45" s="429">
        <f t="shared" si="34"/>
        <v>0.24226693285930842</v>
      </c>
      <c r="AH45" s="429">
        <f t="shared" si="34"/>
        <v>0.30897199678410298</v>
      </c>
      <c r="AI45" s="429">
        <f t="shared" si="31"/>
        <v>0.28581716164397558</v>
      </c>
      <c r="AJ45" s="429">
        <f t="shared" si="31"/>
        <v>0.38782561464705256</v>
      </c>
      <c r="AK45" s="429">
        <f t="shared" si="31"/>
        <v>0.37194764231272576</v>
      </c>
      <c r="AL45" s="429">
        <f t="shared" ref="AL45:AO45" si="40">AL18/AL$6*100</f>
        <v>0.32031387888875656</v>
      </c>
      <c r="AM45" s="429">
        <f t="shared" si="40"/>
        <v>1.8017325665296156E-2</v>
      </c>
      <c r="AN45" s="429">
        <f t="shared" si="40"/>
        <v>0.3328913104718193</v>
      </c>
      <c r="AO45" s="429">
        <f t="shared" si="40"/>
        <v>0.28972643251075941</v>
      </c>
    </row>
    <row r="46" spans="1:41" ht="19.5" customHeight="1">
      <c r="A46" s="436" t="s">
        <v>68</v>
      </c>
      <c r="B46" s="429">
        <f t="shared" si="23"/>
        <v>0.89203719292875183</v>
      </c>
      <c r="C46" s="429">
        <f t="shared" si="24"/>
        <v>0.53833903803042327</v>
      </c>
      <c r="D46" s="435" t="s">
        <v>170</v>
      </c>
      <c r="E46" s="429">
        <f>SUM(E19*100/$E$6)</f>
        <v>0.78863430099317366</v>
      </c>
      <c r="F46" s="429">
        <f t="shared" si="25"/>
        <v>0.97815332141939715</v>
      </c>
      <c r="G46" s="429">
        <f t="shared" si="26"/>
        <v>0.70056048833519846</v>
      </c>
      <c r="H46" s="429">
        <f t="shared" si="27"/>
        <v>1.0766239561420283</v>
      </c>
      <c r="I46" s="429">
        <f>ROUNDDOWN(I19/$I$6*100,1)</f>
        <v>0.4</v>
      </c>
      <c r="J46" s="429">
        <f t="shared" si="28"/>
        <v>0.59192807828789451</v>
      </c>
      <c r="K46" s="429">
        <f t="shared" si="29"/>
        <v>0.77679269801169715</v>
      </c>
      <c r="L46" s="429">
        <f t="shared" ref="L46:Y46" si="41">L19/L$6*100</f>
        <v>0.75319621386383673</v>
      </c>
      <c r="M46" s="429">
        <f t="shared" si="41"/>
        <v>0.47465837505356551</v>
      </c>
      <c r="N46" s="429">
        <f t="shared" si="41"/>
        <v>0.99109939529633539</v>
      </c>
      <c r="O46" s="429">
        <f t="shared" si="41"/>
        <v>0.81518898682608254</v>
      </c>
      <c r="P46" s="429">
        <f t="shared" si="41"/>
        <v>0.82502597547115319</v>
      </c>
      <c r="Q46" s="429">
        <f t="shared" si="41"/>
        <v>0.97066901049307242</v>
      </c>
      <c r="R46" s="429">
        <f t="shared" si="41"/>
        <v>1.1891741286454027</v>
      </c>
      <c r="S46" s="429">
        <f t="shared" si="41"/>
        <v>1.4499704714140365</v>
      </c>
      <c r="T46" s="429">
        <f t="shared" si="41"/>
        <v>0.39390644170469324</v>
      </c>
      <c r="U46" s="429">
        <f t="shared" si="41"/>
        <v>0.50013831111778595</v>
      </c>
      <c r="V46" s="429">
        <f t="shared" si="41"/>
        <v>0.65478916405396836</v>
      </c>
      <c r="W46" s="429">
        <f t="shared" si="41"/>
        <v>1.051187121442436</v>
      </c>
      <c r="X46" s="429">
        <f t="shared" si="41"/>
        <v>1.0962783938389089</v>
      </c>
      <c r="Y46" s="429">
        <f t="shared" si="41"/>
        <v>0.73540152419521387</v>
      </c>
      <c r="Z46" s="429">
        <f t="shared" si="37"/>
        <v>0.86899873380049653</v>
      </c>
      <c r="AA46" s="429">
        <f t="shared" ref="AA46:AG49" si="42">AA19/AA$6*100</f>
        <v>1.6459180447956527</v>
      </c>
      <c r="AB46" s="429">
        <f t="shared" si="42"/>
        <v>1.3417908454160294</v>
      </c>
      <c r="AC46" s="429">
        <f t="shared" si="42"/>
        <v>0.87581220705281404</v>
      </c>
      <c r="AD46" s="429">
        <f t="shared" si="42"/>
        <v>0.69098298939539193</v>
      </c>
      <c r="AE46" s="429">
        <f t="shared" si="42"/>
        <v>0.69479928811548353</v>
      </c>
      <c r="AF46" s="429">
        <f t="shared" si="42"/>
        <v>0.99442554626194279</v>
      </c>
      <c r="AG46" s="429">
        <f t="shared" si="42"/>
        <v>0.85757596858947238</v>
      </c>
      <c r="AH46" s="429">
        <f>AH19/AH$6*100-0.04</f>
        <v>0.72159170725631239</v>
      </c>
      <c r="AI46" s="429">
        <f t="shared" si="31"/>
        <v>0.76148717535202215</v>
      </c>
      <c r="AJ46" s="429">
        <f t="shared" si="31"/>
        <v>0.67917566476972424</v>
      </c>
      <c r="AK46" s="429">
        <f t="shared" si="31"/>
        <v>0.68071643861320053</v>
      </c>
      <c r="AL46" s="429">
        <f t="shared" ref="AL46:AO46" si="43">AL19/AL$6*100</f>
        <v>0.99539670194088414</v>
      </c>
      <c r="AM46" s="429">
        <f t="shared" si="43"/>
        <v>1.1388486843509706</v>
      </c>
      <c r="AN46" s="429">
        <f t="shared" si="43"/>
        <v>0.98476051751028915</v>
      </c>
      <c r="AO46" s="429">
        <f t="shared" si="43"/>
        <v>0.69741231666857151</v>
      </c>
    </row>
    <row r="47" spans="1:41" ht="19.5" customHeight="1">
      <c r="A47" s="434" t="s">
        <v>67</v>
      </c>
      <c r="B47" s="429">
        <f t="shared" si="23"/>
        <v>1.039901496681936</v>
      </c>
      <c r="C47" s="429">
        <f t="shared" si="24"/>
        <v>1.3705300959511346</v>
      </c>
      <c r="D47" s="435" t="s">
        <v>170</v>
      </c>
      <c r="E47" s="429">
        <f>SUM(E20*100/$E$6)</f>
        <v>1.8828555495451571</v>
      </c>
      <c r="F47" s="429">
        <f t="shared" si="25"/>
        <v>9.1926104052838617E-2</v>
      </c>
      <c r="G47" s="429">
        <f t="shared" si="26"/>
        <v>0.13334815719237886</v>
      </c>
      <c r="H47" s="429">
        <f t="shared" si="27"/>
        <v>7.7835150124306751E-2</v>
      </c>
      <c r="I47" s="429">
        <f>I20/$I$6*100</f>
        <v>7.2535802807849645E-2</v>
      </c>
      <c r="J47" s="429">
        <f t="shared" si="28"/>
        <v>0.11373902173652317</v>
      </c>
      <c r="K47" s="429">
        <f t="shared" si="29"/>
        <v>0.14170045279190724</v>
      </c>
      <c r="L47" s="429">
        <f t="shared" ref="L47:Y47" si="44">L20/L$6*100</f>
        <v>0.20846225645821467</v>
      </c>
      <c r="M47" s="429">
        <f t="shared" si="44"/>
        <v>0.19074313079970867</v>
      </c>
      <c r="N47" s="429">
        <f t="shared" si="44"/>
        <v>0.27710873025533778</v>
      </c>
      <c r="O47" s="429">
        <f t="shared" si="44"/>
        <v>0.14620671472313601</v>
      </c>
      <c r="P47" s="429">
        <f t="shared" si="44"/>
        <v>0.38009835044817847</v>
      </c>
      <c r="Q47" s="429">
        <f t="shared" si="44"/>
        <v>0.32601181399319767</v>
      </c>
      <c r="R47" s="429">
        <f t="shared" si="44"/>
        <v>0.1404956473025725</v>
      </c>
      <c r="S47" s="429">
        <f t="shared" si="44"/>
        <v>0.59219337082726276</v>
      </c>
      <c r="T47" s="429">
        <f t="shared" si="44"/>
        <v>0.41233855885040521</v>
      </c>
      <c r="U47" s="429">
        <f t="shared" si="44"/>
        <v>0.28452250053708034</v>
      </c>
      <c r="V47" s="429">
        <f t="shared" si="44"/>
        <v>0.24174798323176103</v>
      </c>
      <c r="W47" s="429">
        <f t="shared" si="44"/>
        <v>0.26130118565983018</v>
      </c>
      <c r="X47" s="429">
        <f t="shared" si="44"/>
        <v>6.502829091130001E-2</v>
      </c>
      <c r="Y47" s="429">
        <f t="shared" si="44"/>
        <v>5.6774148981411331E-2</v>
      </c>
      <c r="Z47" s="429">
        <f t="shared" si="37"/>
        <v>0.21801127784603921</v>
      </c>
      <c r="AA47" s="429">
        <f t="shared" si="42"/>
        <v>0.23380630965721072</v>
      </c>
      <c r="AB47" s="429">
        <f t="shared" si="42"/>
        <v>8.2994277447017983E-2</v>
      </c>
      <c r="AC47" s="429">
        <f t="shared" si="42"/>
        <v>0.29757019179226063</v>
      </c>
      <c r="AD47" s="429">
        <f t="shared" si="42"/>
        <v>0.14592686460542292</v>
      </c>
      <c r="AE47" s="429">
        <f t="shared" si="42"/>
        <v>0.56183508008700811</v>
      </c>
      <c r="AF47" s="429">
        <f t="shared" si="42"/>
        <v>0.3682268624177219</v>
      </c>
      <c r="AG47" s="429">
        <f t="shared" si="42"/>
        <v>0.58883261160845801</v>
      </c>
      <c r="AH47" s="429">
        <f>AH20/AH$6*100</f>
        <v>0.13353737347920261</v>
      </c>
      <c r="AI47" s="429">
        <f>AI20/AI$6*100-0.02</f>
        <v>0.23260488811216171</v>
      </c>
      <c r="AJ47" s="429">
        <f>AJ20/AJ$6*100+0.02</f>
        <v>6.5391214568887329E-2</v>
      </c>
      <c r="AK47" s="429">
        <f>AK20/AK$6*100</f>
        <v>8.7880349716288983E-2</v>
      </c>
      <c r="AL47" s="429">
        <f t="shared" ref="AL47:AO47" si="45">AL20/AL$6*100</f>
        <v>0.12473071424168032</v>
      </c>
      <c r="AM47" s="429">
        <f t="shared" si="45"/>
        <v>0.33225314769510583</v>
      </c>
      <c r="AN47" s="429">
        <f t="shared" si="45"/>
        <v>0.21428375119380527</v>
      </c>
      <c r="AO47" s="429">
        <f t="shared" si="45"/>
        <v>0.2772964761490827</v>
      </c>
    </row>
    <row r="48" spans="1:41" ht="19.5" customHeight="1">
      <c r="A48" s="434" t="s">
        <v>66</v>
      </c>
      <c r="B48" s="429">
        <f t="shared" si="23"/>
        <v>0</v>
      </c>
      <c r="C48" s="429">
        <f t="shared" si="24"/>
        <v>0</v>
      </c>
      <c r="D48" s="435" t="s">
        <v>170</v>
      </c>
      <c r="E48" s="429" t="s">
        <v>170</v>
      </c>
      <c r="F48" s="429">
        <f t="shared" si="25"/>
        <v>0.6836801461245896</v>
      </c>
      <c r="G48" s="429">
        <f t="shared" si="26"/>
        <v>0.17469074611722521</v>
      </c>
      <c r="H48" s="429">
        <f t="shared" si="27"/>
        <v>0.14445081914961433</v>
      </c>
      <c r="I48" s="429">
        <f>I21/$I$6*100</f>
        <v>0.31338222922942299</v>
      </c>
      <c r="J48" s="429">
        <f t="shared" si="28"/>
        <v>0.23738627158065112</v>
      </c>
      <c r="K48" s="429">
        <f t="shared" si="29"/>
        <v>0.11155856104453081</v>
      </c>
      <c r="L48" s="429">
        <f t="shared" ref="L48:Y48" si="46">L21/L$6*100</f>
        <v>0.11664405133957553</v>
      </c>
      <c r="M48" s="429">
        <f t="shared" si="46"/>
        <v>9.1374558832604549E-2</v>
      </c>
      <c r="N48" s="429">
        <f t="shared" si="46"/>
        <v>0.46987423680357804</v>
      </c>
      <c r="O48" s="429">
        <f t="shared" si="46"/>
        <v>0.24760599820370802</v>
      </c>
      <c r="P48" s="429">
        <f t="shared" si="46"/>
        <v>0.18467278408288143</v>
      </c>
      <c r="Q48" s="429">
        <f t="shared" si="46"/>
        <v>0.30510877763828431</v>
      </c>
      <c r="R48" s="429">
        <f t="shared" si="46"/>
        <v>0.4085933540223548</v>
      </c>
      <c r="S48" s="429">
        <f t="shared" si="46"/>
        <v>0.22735182718873742</v>
      </c>
      <c r="T48" s="429">
        <f t="shared" si="46"/>
        <v>0.16652955259060204</v>
      </c>
      <c r="U48" s="429">
        <f t="shared" si="46"/>
        <v>0.38943576004033131</v>
      </c>
      <c r="V48" s="429">
        <f t="shared" si="46"/>
        <v>0.35447564025786454</v>
      </c>
      <c r="W48" s="429">
        <f t="shared" si="46"/>
        <v>0.44944064100465375</v>
      </c>
      <c r="X48" s="429">
        <f t="shared" si="46"/>
        <v>0.46233581445290267</v>
      </c>
      <c r="Y48" s="429">
        <f t="shared" si="46"/>
        <v>0.59055188934149905</v>
      </c>
      <c r="Z48" s="429">
        <f t="shared" si="37"/>
        <v>0.5971681186431278</v>
      </c>
      <c r="AA48" s="429">
        <f t="shared" si="42"/>
        <v>0.31536881058176863</v>
      </c>
      <c r="AB48" s="429">
        <f t="shared" si="42"/>
        <v>0.23952778807493796</v>
      </c>
      <c r="AC48" s="429">
        <f t="shared" si="42"/>
        <v>0.23008240457949505</v>
      </c>
      <c r="AD48" s="429">
        <f t="shared" si="42"/>
        <v>0.35155838802242584</v>
      </c>
      <c r="AE48" s="429">
        <f t="shared" si="42"/>
        <v>0.34629226814316788</v>
      </c>
      <c r="AF48" s="429">
        <f t="shared" si="42"/>
        <v>0.1267088245901796</v>
      </c>
      <c r="AG48" s="429">
        <f t="shared" si="42"/>
        <v>0.29269457302174817</v>
      </c>
      <c r="AH48" s="429">
        <f>AH21/AH$6*100</f>
        <v>0.15634630099048979</v>
      </c>
      <c r="AI48" s="429">
        <f>AI21/AI$6*100</f>
        <v>0.20629931443799801</v>
      </c>
      <c r="AJ48" s="429">
        <f>AJ21/AJ$6*100</f>
        <v>0.45460455404670369</v>
      </c>
      <c r="AK48" s="429">
        <f>AK21/AK$6*100</f>
        <v>0.63543034848913094</v>
      </c>
      <c r="AL48" s="429">
        <f t="shared" ref="AL48:AO48" si="47">AL21/AL$6*100</f>
        <v>0.76772303532235331</v>
      </c>
      <c r="AM48" s="429">
        <f t="shared" si="47"/>
        <v>0.29758473906899097</v>
      </c>
      <c r="AN48" s="429">
        <f t="shared" si="47"/>
        <v>0.17658011721621789</v>
      </c>
      <c r="AO48" s="429">
        <f t="shared" si="47"/>
        <v>0.29314675607336843</v>
      </c>
    </row>
    <row r="49" spans="1:41" ht="19.5" customHeight="1">
      <c r="A49" s="434" t="s">
        <v>65</v>
      </c>
      <c r="B49" s="429">
        <f t="shared" si="23"/>
        <v>0</v>
      </c>
      <c r="C49" s="429">
        <f t="shared" si="24"/>
        <v>0</v>
      </c>
      <c r="D49" s="435" t="s">
        <v>170</v>
      </c>
      <c r="E49" s="429" t="s">
        <v>170</v>
      </c>
      <c r="F49" s="429">
        <f t="shared" si="25"/>
        <v>0.84564551631403762</v>
      </c>
      <c r="G49" s="429">
        <f t="shared" si="26"/>
        <v>0.84715691476436383</v>
      </c>
      <c r="H49" s="429">
        <f t="shared" si="27"/>
        <v>1.3910244151208007</v>
      </c>
      <c r="I49" s="429">
        <f>I22/$I$6*100</f>
        <v>0.65658055702234897</v>
      </c>
      <c r="J49" s="429">
        <f t="shared" si="28"/>
        <v>0.38186712829971325</v>
      </c>
      <c r="K49" s="429">
        <f t="shared" si="29"/>
        <v>0.40631521626879519</v>
      </c>
      <c r="L49" s="429">
        <f t="shared" ref="L49:Y49" si="48">L22/L$6*100</f>
        <v>0.29279528181174735</v>
      </c>
      <c r="M49" s="429">
        <f t="shared" si="48"/>
        <v>0.55881982055627899</v>
      </c>
      <c r="N49" s="429">
        <f t="shared" si="48"/>
        <v>0.50639192593228188</v>
      </c>
      <c r="O49" s="429">
        <f t="shared" si="48"/>
        <v>0.60047284157011094</v>
      </c>
      <c r="P49" s="429">
        <f t="shared" si="48"/>
        <v>0.50613096138625868</v>
      </c>
      <c r="Q49" s="429">
        <f t="shared" si="48"/>
        <v>0.37178442673422796</v>
      </c>
      <c r="R49" s="429">
        <f t="shared" si="48"/>
        <v>0.68536088707884657</v>
      </c>
      <c r="S49" s="429">
        <f t="shared" si="48"/>
        <v>0.67484822082102269</v>
      </c>
      <c r="T49" s="429">
        <f t="shared" si="48"/>
        <v>0.65074625166173716</v>
      </c>
      <c r="U49" s="429">
        <f t="shared" si="48"/>
        <v>0.24463286956848224</v>
      </c>
      <c r="V49" s="429">
        <f t="shared" si="48"/>
        <v>0.18699874355632273</v>
      </c>
      <c r="W49" s="429">
        <f t="shared" si="48"/>
        <v>0.29985340029466101</v>
      </c>
      <c r="X49" s="429">
        <f t="shared" si="48"/>
        <v>0.18809348059270198</v>
      </c>
      <c r="Y49" s="429">
        <f t="shared" si="48"/>
        <v>0.43310976263512641</v>
      </c>
      <c r="Z49" s="429">
        <f t="shared" si="37"/>
        <v>0.81228924339697661</v>
      </c>
      <c r="AA49" s="429">
        <f t="shared" si="42"/>
        <v>0.32388313537703828</v>
      </c>
      <c r="AB49" s="429">
        <f t="shared" si="42"/>
        <v>0.69074351166347248</v>
      </c>
      <c r="AC49" s="429">
        <f t="shared" si="42"/>
        <v>0.82737376607126079</v>
      </c>
      <c r="AD49" s="429">
        <f t="shared" si="42"/>
        <v>1.0234969573123742</v>
      </c>
      <c r="AE49" s="429">
        <f t="shared" si="42"/>
        <v>0.87814910025706938</v>
      </c>
      <c r="AF49" s="429">
        <f t="shared" si="42"/>
        <v>1.0252763905099864</v>
      </c>
      <c r="AG49" s="429">
        <f t="shared" si="42"/>
        <v>0.41704194064536665</v>
      </c>
      <c r="AH49" s="429">
        <f>AH22/AH$6*100</f>
        <v>0.57184084221560427</v>
      </c>
      <c r="AI49" s="429">
        <f>AI22/AI$6*100</f>
        <v>0.77992956762569765</v>
      </c>
      <c r="AJ49" s="429">
        <f>AJ22/AJ$6*100</f>
        <v>0.30481354596937554</v>
      </c>
      <c r="AK49" s="429">
        <f>AK22/AK$6*100</f>
        <v>0.87128220597095518</v>
      </c>
      <c r="AL49" s="429">
        <f t="shared" ref="AL49:AO49" si="49">AL22/AL$6*100</f>
        <v>0.33534574560170111</v>
      </c>
      <c r="AM49" s="429">
        <f t="shared" si="49"/>
        <v>0.58330024464283425</v>
      </c>
      <c r="AN49" s="429">
        <f t="shared" si="49"/>
        <v>0.17752485519743308</v>
      </c>
      <c r="AO49" s="429">
        <f t="shared" si="49"/>
        <v>0.33485801903201506</v>
      </c>
    </row>
    <row r="50" spans="1:41" ht="19.5" customHeight="1">
      <c r="A50" s="434" t="s">
        <v>172</v>
      </c>
      <c r="B50" s="435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5"/>
      <c r="T50" s="435"/>
      <c r="U50" s="435"/>
      <c r="V50" s="435"/>
      <c r="W50" s="435"/>
      <c r="X50" s="435"/>
      <c r="Y50" s="435"/>
      <c r="Z50" s="437"/>
      <c r="AA50" s="435"/>
      <c r="AB50" s="435"/>
      <c r="AC50" s="435"/>
      <c r="AD50" s="435"/>
      <c r="AE50" s="435"/>
      <c r="AF50" s="435"/>
      <c r="AG50" s="435"/>
      <c r="AH50" s="435"/>
      <c r="AI50" s="435"/>
      <c r="AJ50" s="435"/>
      <c r="AK50" s="435"/>
      <c r="AL50" s="435"/>
      <c r="AM50" s="435"/>
      <c r="AN50" s="435"/>
      <c r="AO50" s="435"/>
    </row>
    <row r="51" spans="1:41" ht="18.75" customHeight="1">
      <c r="A51" s="434" t="s">
        <v>171</v>
      </c>
      <c r="B51" s="429">
        <f>B24*100/$B$6</f>
        <v>4.1938388962380699</v>
      </c>
      <c r="C51" s="429">
        <f t="shared" ref="C51:C56" si="50">C24*100/$C$6</f>
        <v>3.5579541112562891</v>
      </c>
      <c r="D51" s="435" t="s">
        <v>170</v>
      </c>
      <c r="E51" s="429">
        <f>SUM(E24*100/$E$6)</f>
        <v>4.1941503029819653</v>
      </c>
      <c r="F51" s="429">
        <f>F24/$F$6*100</f>
        <v>4.0585987022995376</v>
      </c>
      <c r="G51" s="429">
        <f>G24/$G$6*100</f>
        <v>3.8001228960050808</v>
      </c>
      <c r="H51" s="429">
        <f>H24/$H$6*100</f>
        <v>3.6710014661821888</v>
      </c>
      <c r="I51" s="429">
        <f t="shared" ref="I51:I58" si="51">I24/$I$6*100</f>
        <v>4.6840715010087992</v>
      </c>
      <c r="J51" s="429">
        <f t="shared" ref="J51:J58" si="52">J24/$J$6*100</f>
        <v>5.2148710412084105</v>
      </c>
      <c r="K51" s="429">
        <f t="shared" ref="K51:K56" si="53">K24/$K$6*100</f>
        <v>4.8794326576099731</v>
      </c>
      <c r="L51" s="429">
        <f t="shared" ref="L51:AI51" si="54">ROUNDUP(L24/L$6*100,1)</f>
        <v>5.5</v>
      </c>
      <c r="M51" s="429">
        <f t="shared" si="54"/>
        <v>6</v>
      </c>
      <c r="N51" s="429">
        <f t="shared" si="54"/>
        <v>4.5</v>
      </c>
      <c r="O51" s="429">
        <f t="shared" si="54"/>
        <v>4.3999999999999995</v>
      </c>
      <c r="P51" s="429">
        <f t="shared" si="54"/>
        <v>5</v>
      </c>
      <c r="Q51" s="429">
        <f t="shared" si="54"/>
        <v>4</v>
      </c>
      <c r="R51" s="429">
        <f t="shared" si="54"/>
        <v>5</v>
      </c>
      <c r="S51" s="429">
        <f t="shared" si="54"/>
        <v>4.5999999999999996</v>
      </c>
      <c r="T51" s="429">
        <f t="shared" si="54"/>
        <v>4</v>
      </c>
      <c r="U51" s="429">
        <f t="shared" si="54"/>
        <v>4.6999999999999993</v>
      </c>
      <c r="V51" s="429">
        <f t="shared" si="54"/>
        <v>4.8</v>
      </c>
      <c r="W51" s="429">
        <f t="shared" si="54"/>
        <v>4.0999999999999996</v>
      </c>
      <c r="X51" s="429">
        <f t="shared" si="54"/>
        <v>3.8000000000000003</v>
      </c>
      <c r="Y51" s="429">
        <f t="shared" si="54"/>
        <v>3.8000000000000003</v>
      </c>
      <c r="Z51" s="429">
        <f t="shared" si="54"/>
        <v>4.0999999999999996</v>
      </c>
      <c r="AA51" s="429">
        <f t="shared" si="54"/>
        <v>3.8000000000000003</v>
      </c>
      <c r="AB51" s="429">
        <f t="shared" si="54"/>
        <v>3.6</v>
      </c>
      <c r="AC51" s="429">
        <f t="shared" si="54"/>
        <v>3.8000000000000003</v>
      </c>
      <c r="AD51" s="429">
        <f t="shared" si="54"/>
        <v>4.3999999999999995</v>
      </c>
      <c r="AE51" s="429">
        <f t="shared" si="54"/>
        <v>5.3</v>
      </c>
      <c r="AF51" s="429">
        <f t="shared" si="54"/>
        <v>4.3999999999999995</v>
      </c>
      <c r="AG51" s="429">
        <f t="shared" si="54"/>
        <v>3.3000000000000003</v>
      </c>
      <c r="AH51" s="429">
        <f t="shared" si="54"/>
        <v>3.2</v>
      </c>
      <c r="AI51" s="429">
        <f t="shared" si="54"/>
        <v>3.5</v>
      </c>
      <c r="AJ51" s="429">
        <f>(AJ24/AJ$6*100)</f>
        <v>3.2099282126401452</v>
      </c>
      <c r="AK51" s="429">
        <f>(AK24/AK$6*100)</f>
        <v>3.4142703437071731</v>
      </c>
      <c r="AL51" s="429">
        <f t="shared" ref="AL51:AO51" si="55">(AL24/AL$6*100)</f>
        <v>3.0001241395734159</v>
      </c>
      <c r="AM51" s="429">
        <f t="shared" si="55"/>
        <v>4.281036124311008</v>
      </c>
      <c r="AN51" s="429">
        <f t="shared" si="55"/>
        <v>5.1774217928722095</v>
      </c>
      <c r="AO51" s="429">
        <f t="shared" si="55"/>
        <v>3.6786831253748797</v>
      </c>
    </row>
    <row r="52" spans="1:41" ht="17.25" customHeight="1">
      <c r="A52" s="434" t="s">
        <v>63</v>
      </c>
      <c r="B52" s="429">
        <f>B25*100/$B$6</f>
        <v>3.7414998524090128</v>
      </c>
      <c r="C52" s="429">
        <f t="shared" si="50"/>
        <v>3.5496709445214867</v>
      </c>
      <c r="D52" s="435" t="s">
        <v>170</v>
      </c>
      <c r="E52" s="429">
        <f>SUM(E25*100/$E$6)</f>
        <v>2.4088047118664346</v>
      </c>
      <c r="F52" s="429">
        <f>F25/$F$6*100</f>
        <v>4.5837969543990749</v>
      </c>
      <c r="G52" s="429">
        <f>G25/$G$6*100</f>
        <v>4.2431077377215507</v>
      </c>
      <c r="H52" s="429">
        <f>H25/$H$6*100</f>
        <v>3.5392363103206472</v>
      </c>
      <c r="I52" s="429">
        <f t="shared" si="51"/>
        <v>2.4166073163444208</v>
      </c>
      <c r="J52" s="429">
        <f t="shared" si="52"/>
        <v>3.6943393733693743</v>
      </c>
      <c r="K52" s="429">
        <f t="shared" si="53"/>
        <v>3.1810415605741618</v>
      </c>
      <c r="L52" s="429">
        <f t="shared" ref="L52:AK52" si="56">L25/L$6*100</f>
        <v>3.1223803625161137</v>
      </c>
      <c r="M52" s="429">
        <f t="shared" si="56"/>
        <v>2.6548693703443376</v>
      </c>
      <c r="N52" s="429">
        <f t="shared" si="56"/>
        <v>2.4204110601371176</v>
      </c>
      <c r="O52" s="429">
        <f t="shared" si="56"/>
        <v>2.5478317664048129</v>
      </c>
      <c r="P52" s="429">
        <f t="shared" si="56"/>
        <v>3.0973014267441701</v>
      </c>
      <c r="Q52" s="429">
        <f t="shared" si="56"/>
        <v>2.7092727632177076</v>
      </c>
      <c r="R52" s="429">
        <f t="shared" si="56"/>
        <v>2.1641961366661038</v>
      </c>
      <c r="S52" s="429">
        <f t="shared" si="56"/>
        <v>2.3546502293316585</v>
      </c>
      <c r="T52" s="429">
        <f t="shared" si="56"/>
        <v>3.1722456439000366</v>
      </c>
      <c r="U52" s="429">
        <f t="shared" si="56"/>
        <v>2.3549708505992188</v>
      </c>
      <c r="V52" s="429">
        <f t="shared" si="56"/>
        <v>2.5250701612240345</v>
      </c>
      <c r="W52" s="429">
        <f t="shared" si="56"/>
        <v>1.5336031956689506</v>
      </c>
      <c r="X52" s="429">
        <f t="shared" si="56"/>
        <v>2.1928663939252768</v>
      </c>
      <c r="Y52" s="429">
        <f t="shared" si="56"/>
        <v>2.887782188747781</v>
      </c>
      <c r="Z52" s="429">
        <f t="shared" si="56"/>
        <v>3.5159102927725083</v>
      </c>
      <c r="AA52" s="429">
        <f t="shared" si="56"/>
        <v>2.2238031528700062</v>
      </c>
      <c r="AB52" s="429">
        <f t="shared" si="56"/>
        <v>2.4854760014467718</v>
      </c>
      <c r="AC52" s="429">
        <f t="shared" si="56"/>
        <v>3.0189457738697687</v>
      </c>
      <c r="AD52" s="429">
        <f t="shared" si="56"/>
        <v>4.0145155445056844</v>
      </c>
      <c r="AE52" s="429">
        <f t="shared" si="56"/>
        <v>3.8242436227012058</v>
      </c>
      <c r="AF52" s="429">
        <f t="shared" si="56"/>
        <v>2.6840234495798043</v>
      </c>
      <c r="AG52" s="429">
        <f t="shared" si="56"/>
        <v>2.8560868610362689</v>
      </c>
      <c r="AH52" s="429">
        <f t="shared" si="56"/>
        <v>3.2191323225149997</v>
      </c>
      <c r="AI52" s="429">
        <f t="shared" si="56"/>
        <v>3.3074155182751337</v>
      </c>
      <c r="AJ52" s="429">
        <f t="shared" si="56"/>
        <v>2.8391050698909304</v>
      </c>
      <c r="AK52" s="429">
        <f t="shared" si="56"/>
        <v>2.540137964231906</v>
      </c>
      <c r="AL52" s="429">
        <f t="shared" ref="AL52:AO52" si="57">AL25/AL$6*100</f>
        <v>3.6612729288747801</v>
      </c>
      <c r="AM52" s="429">
        <f t="shared" si="57"/>
        <v>3.3934907074148555</v>
      </c>
      <c r="AN52" s="429">
        <f t="shared" si="57"/>
        <v>4.4216314079000707</v>
      </c>
      <c r="AO52" s="429">
        <f t="shared" si="57"/>
        <v>3.2083469242531804</v>
      </c>
    </row>
    <row r="53" spans="1:41" ht="17.25" customHeight="1">
      <c r="A53" s="434" t="s">
        <v>62</v>
      </c>
      <c r="B53" s="429">
        <f>ROUNDDOWN(B26*100/$B$6,1)</f>
        <v>2.1</v>
      </c>
      <c r="C53" s="429">
        <f t="shared" si="50"/>
        <v>1.7621101233657446</v>
      </c>
      <c r="D53" s="435" t="s">
        <v>170</v>
      </c>
      <c r="E53" s="429">
        <f>ROUNDUP(SUM(E26*100/$E$6),1)</f>
        <v>2.1</v>
      </c>
      <c r="F53" s="429">
        <f>F26/$F$6*100</f>
        <v>1.3002291159337704</v>
      </c>
      <c r="G53" s="429">
        <f>G26/$G$6*100</f>
        <v>1.6596286623309098</v>
      </c>
      <c r="H53" s="429">
        <f>H26/$H$6*100</f>
        <v>2.6324982469560783</v>
      </c>
      <c r="I53" s="429">
        <f t="shared" si="51"/>
        <v>1.6080648788282526</v>
      </c>
      <c r="J53" s="429">
        <f t="shared" si="52"/>
        <v>1.7628706963678731</v>
      </c>
      <c r="K53" s="429">
        <f t="shared" si="53"/>
        <v>2.0949516370905199</v>
      </c>
      <c r="L53" s="429">
        <f t="shared" ref="L53:AG53" si="58">ROUNDUP(L26/L$6*100,1)</f>
        <v>1.5</v>
      </c>
      <c r="M53" s="429">
        <f t="shared" si="58"/>
        <v>1.6</v>
      </c>
      <c r="N53" s="429">
        <f t="shared" si="58"/>
        <v>1.7000000000000002</v>
      </c>
      <c r="O53" s="429">
        <f t="shared" si="58"/>
        <v>2.8000000000000003</v>
      </c>
      <c r="P53" s="429">
        <f t="shared" si="58"/>
        <v>2.4</v>
      </c>
      <c r="Q53" s="429">
        <f t="shared" si="58"/>
        <v>1.5</v>
      </c>
      <c r="R53" s="429">
        <f t="shared" si="58"/>
        <v>2</v>
      </c>
      <c r="S53" s="429">
        <f t="shared" si="58"/>
        <v>1.7000000000000002</v>
      </c>
      <c r="T53" s="429">
        <f t="shared" si="58"/>
        <v>1.7000000000000002</v>
      </c>
      <c r="U53" s="429">
        <f t="shared" si="58"/>
        <v>1.9000000000000001</v>
      </c>
      <c r="V53" s="429">
        <f t="shared" si="58"/>
        <v>1.5</v>
      </c>
      <c r="W53" s="429">
        <f t="shared" si="58"/>
        <v>1.4000000000000001</v>
      </c>
      <c r="X53" s="429">
        <f t="shared" si="58"/>
        <v>1.7000000000000002</v>
      </c>
      <c r="Y53" s="429">
        <f t="shared" si="58"/>
        <v>1.7000000000000002</v>
      </c>
      <c r="Z53" s="429">
        <f t="shared" si="58"/>
        <v>1.4000000000000001</v>
      </c>
      <c r="AA53" s="429">
        <f t="shared" si="58"/>
        <v>1.4000000000000001</v>
      </c>
      <c r="AB53" s="429">
        <f t="shared" si="58"/>
        <v>1.2000000000000002</v>
      </c>
      <c r="AC53" s="429">
        <f t="shared" si="58"/>
        <v>1.1000000000000001</v>
      </c>
      <c r="AD53" s="429">
        <f t="shared" si="58"/>
        <v>1.5</v>
      </c>
      <c r="AE53" s="429">
        <f t="shared" si="58"/>
        <v>1.6</v>
      </c>
      <c r="AF53" s="429">
        <f t="shared" si="58"/>
        <v>1.6</v>
      </c>
      <c r="AG53" s="429">
        <f t="shared" si="58"/>
        <v>2</v>
      </c>
      <c r="AH53" s="429">
        <f>(AH26/AH$6*100)-0.02</f>
        <v>0.83242300369310507</v>
      </c>
      <c r="AI53" s="429">
        <f>ROUNDUP(AI26/AI$6*100,1)</f>
        <v>1.7000000000000002</v>
      </c>
      <c r="AJ53" s="429">
        <f>(AJ26/AJ$6*100)</f>
        <v>1.7318671714580041</v>
      </c>
      <c r="AK53" s="429">
        <f>ROUNDUP(AK26/AK$6*100,1)</f>
        <v>1.1000000000000001</v>
      </c>
      <c r="AL53" s="429">
        <f t="shared" ref="AL53:AO53" si="59">ROUNDUP(AL26/AL$6*100,1)</f>
        <v>1.7000000000000002</v>
      </c>
      <c r="AM53" s="429">
        <f t="shared" si="59"/>
        <v>1.6</v>
      </c>
      <c r="AN53" s="429">
        <f t="shared" si="59"/>
        <v>1.4000000000000001</v>
      </c>
      <c r="AO53" s="429">
        <f t="shared" si="59"/>
        <v>1.2000000000000002</v>
      </c>
    </row>
    <row r="54" spans="1:41" ht="17.25" customHeight="1">
      <c r="A54" s="436" t="s">
        <v>61</v>
      </c>
      <c r="B54" s="429">
        <f>B27*100/$B$6</f>
        <v>0</v>
      </c>
      <c r="C54" s="429">
        <f t="shared" si="50"/>
        <v>0</v>
      </c>
      <c r="D54" s="435" t="s">
        <v>170</v>
      </c>
      <c r="E54" s="429">
        <f>SUM(E27*100/$E$6)</f>
        <v>0</v>
      </c>
      <c r="F54" s="429">
        <f>F27/$F$6*100</f>
        <v>0.47606676697268546</v>
      </c>
      <c r="G54" s="429">
        <f>G27/$G$6*100</f>
        <v>0.43286556069138654</v>
      </c>
      <c r="H54" s="429">
        <f>H27/$H$6*100</f>
        <v>0.47701918786256131</v>
      </c>
      <c r="I54" s="429">
        <f t="shared" si="51"/>
        <v>0.31263056287908259</v>
      </c>
      <c r="J54" s="429">
        <f t="shared" si="52"/>
        <v>0.64940896523648428</v>
      </c>
      <c r="K54" s="429">
        <f t="shared" si="53"/>
        <v>0.61819787243587687</v>
      </c>
      <c r="L54" s="429">
        <f t="shared" ref="L54:AK54" si="60">L27/L$6*100</f>
        <v>0.26310406874349179</v>
      </c>
      <c r="M54" s="429">
        <f t="shared" si="60"/>
        <v>0.72298327535997953</v>
      </c>
      <c r="N54" s="429">
        <f t="shared" si="60"/>
        <v>1.023759113624557</v>
      </c>
      <c r="O54" s="429">
        <f t="shared" si="60"/>
        <v>0.45027140786546849</v>
      </c>
      <c r="P54" s="429">
        <f t="shared" si="60"/>
        <v>0.71137156739306295</v>
      </c>
      <c r="Q54" s="429">
        <f t="shared" si="60"/>
        <v>0.84688777713837426</v>
      </c>
      <c r="R54" s="429">
        <f t="shared" si="60"/>
        <v>0.76435263814664312</v>
      </c>
      <c r="S54" s="429">
        <f t="shared" si="60"/>
        <v>0.18023662329435763</v>
      </c>
      <c r="T54" s="429">
        <f t="shared" si="60"/>
        <v>0.33846775731662537</v>
      </c>
      <c r="U54" s="429">
        <f t="shared" si="60"/>
        <v>0.19761252580726749</v>
      </c>
      <c r="V54" s="429">
        <f t="shared" si="60"/>
        <v>0.44269090311292725</v>
      </c>
      <c r="W54" s="429">
        <f t="shared" si="60"/>
        <v>0.53499830452982855</v>
      </c>
      <c r="X54" s="429">
        <f t="shared" si="60"/>
        <v>1.1135168012624324</v>
      </c>
      <c r="Y54" s="429">
        <f t="shared" si="60"/>
        <v>0.26969519693577904</v>
      </c>
      <c r="Z54" s="429">
        <f t="shared" si="60"/>
        <v>0.4642210764023687</v>
      </c>
      <c r="AA54" s="429">
        <f t="shared" si="60"/>
        <v>5.120928821579588E-2</v>
      </c>
      <c r="AB54" s="429">
        <f t="shared" si="60"/>
        <v>0.13522214101223004</v>
      </c>
      <c r="AC54" s="429">
        <f t="shared" si="60"/>
        <v>0.66074635025277295</v>
      </c>
      <c r="AD54" s="429">
        <f t="shared" si="60"/>
        <v>0.29346085327037691</v>
      </c>
      <c r="AE54" s="429">
        <f t="shared" si="60"/>
        <v>0.36203282578603913</v>
      </c>
      <c r="AF54" s="429">
        <f t="shared" si="60"/>
        <v>0.67622112416069169</v>
      </c>
      <c r="AG54" s="429">
        <f t="shared" si="60"/>
        <v>0.58301698087652276</v>
      </c>
      <c r="AH54" s="429">
        <f t="shared" si="60"/>
        <v>0.63355435885075362</v>
      </c>
      <c r="AI54" s="429">
        <f t="shared" si="60"/>
        <v>0.49946149811304785</v>
      </c>
      <c r="AJ54" s="429">
        <f t="shared" si="60"/>
        <v>0.85889410075772554</v>
      </c>
      <c r="AK54" s="429">
        <f t="shared" si="60"/>
        <v>1.323668078294266</v>
      </c>
      <c r="AL54" s="429">
        <f t="shared" ref="AL54:AO54" si="61">AL27/AL$6*100</f>
        <v>0.52679092446824771</v>
      </c>
      <c r="AM54" s="429">
        <f t="shared" si="61"/>
        <v>1.0794171267062023</v>
      </c>
      <c r="AN54" s="429">
        <f t="shared" si="61"/>
        <v>0.84906178929938236</v>
      </c>
      <c r="AO54" s="429">
        <f t="shared" si="61"/>
        <v>0.60973524192949624</v>
      </c>
    </row>
    <row r="55" spans="1:41" ht="17.25" customHeight="1">
      <c r="A55" s="436" t="s">
        <v>60</v>
      </c>
      <c r="B55" s="429">
        <f>B28*100/$B$6</f>
        <v>2.2653166646623446</v>
      </c>
      <c r="C55" s="429">
        <f t="shared" si="50"/>
        <v>2.4716568738259945</v>
      </c>
      <c r="D55" s="435" t="s">
        <v>170</v>
      </c>
      <c r="E55" s="429">
        <f>SUM(E28*100/$E$6)</f>
        <v>1.198356223946156</v>
      </c>
      <c r="F55" s="429">
        <f>ROUNDDOWN(F28/$F$6*100,0)</f>
        <v>1</v>
      </c>
      <c r="G55" s="429">
        <f>ROUNDUP(G28/$G$6*100,1)</f>
        <v>1.9000000000000001</v>
      </c>
      <c r="H55" s="429">
        <f>H28/$H$6*100</f>
        <v>3.4315675400012751</v>
      </c>
      <c r="I55" s="429">
        <f t="shared" si="51"/>
        <v>1.9540819554349549</v>
      </c>
      <c r="J55" s="429">
        <f t="shared" si="52"/>
        <v>1.1068648407285582</v>
      </c>
      <c r="K55" s="429">
        <f t="shared" si="53"/>
        <v>1.7724421868588989</v>
      </c>
      <c r="L55" s="429">
        <f t="shared" ref="L55:AH55" si="62">L28/L$6*100</f>
        <v>0.90414733912681688</v>
      </c>
      <c r="M55" s="429">
        <f t="shared" si="62"/>
        <v>1.6233298110956966</v>
      </c>
      <c r="N55" s="429">
        <f t="shared" si="62"/>
        <v>1.3154350094886127</v>
      </c>
      <c r="O55" s="429">
        <f t="shared" si="62"/>
        <v>1.4861686184197824</v>
      </c>
      <c r="P55" s="429">
        <f t="shared" si="62"/>
        <v>0.86672426490354382</v>
      </c>
      <c r="Q55" s="429">
        <f t="shared" si="62"/>
        <v>1.1556482900434808</v>
      </c>
      <c r="R55" s="429">
        <f t="shared" si="62"/>
        <v>1.8525269950233716</v>
      </c>
      <c r="S55" s="429">
        <f t="shared" si="62"/>
        <v>1.15221921477184</v>
      </c>
      <c r="T55" s="429">
        <f t="shared" si="62"/>
        <v>1.313377304726308</v>
      </c>
      <c r="U55" s="429">
        <f t="shared" si="62"/>
        <v>1.1807330766705042</v>
      </c>
      <c r="V55" s="429">
        <f t="shared" si="62"/>
        <v>1.5420057303225656</v>
      </c>
      <c r="W55" s="429">
        <f t="shared" si="62"/>
        <v>2.2597584539650617</v>
      </c>
      <c r="X55" s="429">
        <f t="shared" si="62"/>
        <v>1.7234015845545274</v>
      </c>
      <c r="Y55" s="429">
        <f t="shared" si="62"/>
        <v>1.1064123127226622</v>
      </c>
      <c r="Z55" s="429">
        <f t="shared" si="62"/>
        <v>1.5066289957342902</v>
      </c>
      <c r="AA55" s="429">
        <f t="shared" si="62"/>
        <v>1.8935852099644439</v>
      </c>
      <c r="AB55" s="429">
        <f t="shared" si="62"/>
        <v>1.66258699015925</v>
      </c>
      <c r="AC55" s="429">
        <f t="shared" si="62"/>
        <v>1.9400231630439584</v>
      </c>
      <c r="AD55" s="429">
        <f t="shared" si="62"/>
        <v>2.1876976260366954</v>
      </c>
      <c r="AE55" s="429">
        <f t="shared" si="62"/>
        <v>1.4891833102630017</v>
      </c>
      <c r="AF55" s="429">
        <f t="shared" si="62"/>
        <v>1.5443785721788557</v>
      </c>
      <c r="AG55" s="429">
        <f t="shared" si="62"/>
        <v>1.7902960079521097</v>
      </c>
      <c r="AH55" s="429">
        <f t="shared" si="62"/>
        <v>1.9615677659706978</v>
      </c>
      <c r="AI55" s="429">
        <f>AI28/AI$6*100-0.02</f>
        <v>1.2312085355542977</v>
      </c>
      <c r="AJ55" s="429">
        <f t="shared" ref="AJ55:AK58" si="63">AJ28/AJ$6*100</f>
        <v>1.7198654265889426</v>
      </c>
      <c r="AK55" s="429">
        <f t="shared" si="63"/>
        <v>3.6291417573378117</v>
      </c>
      <c r="AL55" s="429">
        <f t="shared" ref="AL55:AO55" si="64">AL28/AL$6*100</f>
        <v>3.912338882456714</v>
      </c>
      <c r="AM55" s="429">
        <f t="shared" si="64"/>
        <v>2.2348315038489619</v>
      </c>
      <c r="AN55" s="429">
        <f t="shared" si="64"/>
        <v>0.92043244951663761</v>
      </c>
      <c r="AO55" s="429">
        <f t="shared" si="64"/>
        <v>1.1108543551146768</v>
      </c>
    </row>
    <row r="56" spans="1:41" ht="17.25" customHeight="1">
      <c r="A56" s="434" t="s">
        <v>59</v>
      </c>
      <c r="B56" s="429">
        <f>B29*100/$B$6</f>
        <v>0.49176496955252597</v>
      </c>
      <c r="C56" s="429">
        <f t="shared" si="50"/>
        <v>0.46325613956334349</v>
      </c>
      <c r="D56" s="435" t="s">
        <v>170</v>
      </c>
      <c r="E56" s="429">
        <f>SUM(E29*100/$E$6)</f>
        <v>0.50768212525398582</v>
      </c>
      <c r="F56" s="429">
        <f>F29/$F$6*100</f>
        <v>0.60281724663440539</v>
      </c>
      <c r="G56" s="429">
        <f>G29/$G$6*100</f>
        <v>0.37527886275259092</v>
      </c>
      <c r="H56" s="429">
        <f>ROUNDUP(H29/$H$6*100,1)</f>
        <v>0.30000000000000004</v>
      </c>
      <c r="I56" s="429">
        <f t="shared" si="51"/>
        <v>1.0234563748509977</v>
      </c>
      <c r="J56" s="429">
        <f t="shared" si="52"/>
        <v>1.1125599344490846</v>
      </c>
      <c r="K56" s="429">
        <f t="shared" si="53"/>
        <v>0.79954205834756908</v>
      </c>
      <c r="L56" s="429">
        <f t="shared" ref="L56:AH56" si="65">L29/L$6*100</f>
        <v>0.53855868409940921</v>
      </c>
      <c r="M56" s="429">
        <f t="shared" si="65"/>
        <v>0.17022625693171561</v>
      </c>
      <c r="N56" s="429">
        <f t="shared" si="65"/>
        <v>0.21139019317125865</v>
      </c>
      <c r="O56" s="429">
        <f t="shared" si="65"/>
        <v>0.35572972530314928</v>
      </c>
      <c r="P56" s="429">
        <f t="shared" si="65"/>
        <v>0.2201194559092165</v>
      </c>
      <c r="Q56" s="429">
        <f t="shared" si="65"/>
        <v>0.27218019928400805</v>
      </c>
      <c r="R56" s="429">
        <f t="shared" si="65"/>
        <v>0.62052244225302844</v>
      </c>
      <c r="S56" s="429">
        <f t="shared" si="65"/>
        <v>0.38312985148713208</v>
      </c>
      <c r="T56" s="429">
        <f t="shared" si="65"/>
        <v>0.15578341479522559</v>
      </c>
      <c r="U56" s="429">
        <f t="shared" si="65"/>
        <v>0.28833496084204374</v>
      </c>
      <c r="V56" s="429">
        <f t="shared" si="65"/>
        <v>0.35564988668521974</v>
      </c>
      <c r="W56" s="429">
        <f t="shared" si="65"/>
        <v>0.16084896283997099</v>
      </c>
      <c r="X56" s="429">
        <f t="shared" si="65"/>
        <v>0.39249435407756189</v>
      </c>
      <c r="Y56" s="429">
        <f t="shared" si="65"/>
        <v>0.40130472607012796</v>
      </c>
      <c r="Z56" s="429">
        <f t="shared" si="65"/>
        <v>5.647515366631542E-2</v>
      </c>
      <c r="AA56" s="429">
        <f t="shared" si="65"/>
        <v>0.14348592756660072</v>
      </c>
      <c r="AB56" s="429">
        <f t="shared" si="65"/>
        <v>0.23517546611117029</v>
      </c>
      <c r="AC56" s="429">
        <f t="shared" si="65"/>
        <v>0.14413452807369839</v>
      </c>
      <c r="AD56" s="429">
        <f t="shared" si="65"/>
        <v>0.54095795843816463</v>
      </c>
      <c r="AE56" s="429">
        <f t="shared" si="65"/>
        <v>0.42111924065651574</v>
      </c>
      <c r="AF56" s="429">
        <f t="shared" si="65"/>
        <v>0.36624359385891914</v>
      </c>
      <c r="AG56" s="429">
        <f t="shared" si="65"/>
        <v>0.38367858539373734</v>
      </c>
      <c r="AH56" s="429">
        <f t="shared" si="65"/>
        <v>0.42560488143401831</v>
      </c>
      <c r="AI56" s="429">
        <f>AI29/AI$6*100</f>
        <v>0.49443175476568185</v>
      </c>
      <c r="AJ56" s="429">
        <f t="shared" si="63"/>
        <v>0.50045737418747804</v>
      </c>
      <c r="AK56" s="429">
        <f t="shared" si="63"/>
        <v>0.41177089988686394</v>
      </c>
      <c r="AL56" s="429">
        <f t="shared" ref="AL56:AO56" si="66">AL29/AL$6*100</f>
        <v>0.43575523729659477</v>
      </c>
      <c r="AM56" s="429">
        <f t="shared" si="66"/>
        <v>0.90052472258868832</v>
      </c>
      <c r="AN56" s="429">
        <f t="shared" si="66"/>
        <v>0.33589729495750398</v>
      </c>
      <c r="AO56" s="429">
        <f t="shared" si="66"/>
        <v>0.72711073589512787</v>
      </c>
    </row>
    <row r="57" spans="1:41" ht="17.25" customHeight="1">
      <c r="A57" s="434" t="s">
        <v>58</v>
      </c>
      <c r="B57" s="429">
        <f>B30*100/$B$6</f>
        <v>0</v>
      </c>
      <c r="C57" s="429">
        <f t="shared" ref="C57:E58" si="67">C30*100/$B$6</f>
        <v>0</v>
      </c>
      <c r="D57" s="429">
        <f t="shared" si="67"/>
        <v>0</v>
      </c>
      <c r="E57" s="429">
        <f t="shared" si="67"/>
        <v>0</v>
      </c>
      <c r="F57" s="429">
        <f>F30/$F$6*100</f>
        <v>0</v>
      </c>
      <c r="G57" s="429">
        <f>G30/$G$6*100</f>
        <v>0</v>
      </c>
      <c r="H57" s="429">
        <f>H30/$H$6*100</f>
        <v>0</v>
      </c>
      <c r="I57" s="429">
        <f t="shared" si="51"/>
        <v>0</v>
      </c>
      <c r="J57" s="429">
        <f t="shared" si="52"/>
        <v>0</v>
      </c>
      <c r="K57" s="429" t="s">
        <v>170</v>
      </c>
      <c r="L57" s="429">
        <f t="shared" ref="L57:AH57" si="68">L30/L$6*100</f>
        <v>0</v>
      </c>
      <c r="M57" s="429">
        <f t="shared" si="68"/>
        <v>0</v>
      </c>
      <c r="N57" s="429">
        <f t="shared" si="68"/>
        <v>0</v>
      </c>
      <c r="O57" s="429">
        <f t="shared" si="68"/>
        <v>0</v>
      </c>
      <c r="P57" s="429">
        <f t="shared" si="68"/>
        <v>0</v>
      </c>
      <c r="Q57" s="429">
        <f t="shared" si="68"/>
        <v>0</v>
      </c>
      <c r="R57" s="429">
        <f t="shared" si="68"/>
        <v>0</v>
      </c>
      <c r="S57" s="429">
        <f t="shared" si="68"/>
        <v>0</v>
      </c>
      <c r="T57" s="429">
        <f t="shared" si="68"/>
        <v>0</v>
      </c>
      <c r="U57" s="429">
        <f t="shared" si="68"/>
        <v>0</v>
      </c>
      <c r="V57" s="429">
        <f t="shared" si="68"/>
        <v>0</v>
      </c>
      <c r="W57" s="429">
        <f t="shared" si="68"/>
        <v>0</v>
      </c>
      <c r="X57" s="429">
        <f t="shared" si="68"/>
        <v>0</v>
      </c>
      <c r="Y57" s="429">
        <f t="shared" si="68"/>
        <v>0</v>
      </c>
      <c r="Z57" s="429">
        <f t="shared" si="68"/>
        <v>0</v>
      </c>
      <c r="AA57" s="429">
        <f t="shared" si="68"/>
        <v>0</v>
      </c>
      <c r="AB57" s="429">
        <f t="shared" si="68"/>
        <v>0</v>
      </c>
      <c r="AC57" s="429">
        <f t="shared" si="68"/>
        <v>0</v>
      </c>
      <c r="AD57" s="429">
        <f t="shared" si="68"/>
        <v>0</v>
      </c>
      <c r="AE57" s="429">
        <f t="shared" si="68"/>
        <v>0</v>
      </c>
      <c r="AF57" s="429">
        <f t="shared" si="68"/>
        <v>0</v>
      </c>
      <c r="AG57" s="429">
        <f t="shared" si="68"/>
        <v>0</v>
      </c>
      <c r="AH57" s="429">
        <f t="shared" si="68"/>
        <v>0</v>
      </c>
      <c r="AI57" s="429">
        <f>AI30/AI$6*100</f>
        <v>0</v>
      </c>
      <c r="AJ57" s="429">
        <f t="shared" si="63"/>
        <v>0</v>
      </c>
      <c r="AK57" s="429">
        <f t="shared" si="63"/>
        <v>0</v>
      </c>
      <c r="AL57" s="429">
        <f t="shared" ref="AL57:AO57" si="69">AL30/AL$6*100</f>
        <v>0</v>
      </c>
      <c r="AM57" s="429">
        <f t="shared" si="69"/>
        <v>0</v>
      </c>
      <c r="AN57" s="429">
        <f t="shared" si="69"/>
        <v>0</v>
      </c>
      <c r="AO57" s="429">
        <f t="shared" si="69"/>
        <v>0</v>
      </c>
    </row>
    <row r="58" spans="1:41" ht="21.75">
      <c r="A58" s="433" t="s">
        <v>57</v>
      </c>
      <c r="B58" s="432">
        <f>B31*100/$B$6</f>
        <v>0</v>
      </c>
      <c r="C58" s="432">
        <f t="shared" si="67"/>
        <v>0</v>
      </c>
      <c r="D58" s="432">
        <f t="shared" si="67"/>
        <v>0</v>
      </c>
      <c r="E58" s="432">
        <f t="shared" si="67"/>
        <v>0</v>
      </c>
      <c r="F58" s="432">
        <f>F31/$F$6*100</f>
        <v>0</v>
      </c>
      <c r="G58" s="432">
        <f>G31/$G$6*100</f>
        <v>0</v>
      </c>
      <c r="H58" s="432">
        <f>H31/$H$6*100</f>
        <v>0</v>
      </c>
      <c r="I58" s="432">
        <f t="shared" si="51"/>
        <v>0</v>
      </c>
      <c r="J58" s="432">
        <f t="shared" si="52"/>
        <v>0</v>
      </c>
      <c r="K58" s="432" t="s">
        <v>170</v>
      </c>
      <c r="L58" s="432">
        <f t="shared" ref="L58:AH58" si="70">L31/L$6*100</f>
        <v>0</v>
      </c>
      <c r="M58" s="432">
        <f t="shared" si="70"/>
        <v>0</v>
      </c>
      <c r="N58" s="432">
        <f t="shared" si="70"/>
        <v>0</v>
      </c>
      <c r="O58" s="432">
        <f t="shared" si="70"/>
        <v>0</v>
      </c>
      <c r="P58" s="432">
        <f t="shared" si="70"/>
        <v>0</v>
      </c>
      <c r="Q58" s="432">
        <f t="shared" si="70"/>
        <v>0</v>
      </c>
      <c r="R58" s="432">
        <f t="shared" si="70"/>
        <v>0</v>
      </c>
      <c r="S58" s="432">
        <f t="shared" si="70"/>
        <v>0</v>
      </c>
      <c r="T58" s="432">
        <f t="shared" si="70"/>
        <v>0</v>
      </c>
      <c r="U58" s="432">
        <f t="shared" si="70"/>
        <v>0</v>
      </c>
      <c r="V58" s="432">
        <f t="shared" si="70"/>
        <v>0</v>
      </c>
      <c r="W58" s="432">
        <f t="shared" si="70"/>
        <v>0</v>
      </c>
      <c r="X58" s="432">
        <f t="shared" si="70"/>
        <v>0</v>
      </c>
      <c r="Y58" s="432">
        <f t="shared" si="70"/>
        <v>0</v>
      </c>
      <c r="Z58" s="432">
        <f t="shared" si="70"/>
        <v>0</v>
      </c>
      <c r="AA58" s="432">
        <f t="shared" si="70"/>
        <v>0</v>
      </c>
      <c r="AB58" s="432">
        <f t="shared" si="70"/>
        <v>0</v>
      </c>
      <c r="AC58" s="432">
        <f t="shared" si="70"/>
        <v>0</v>
      </c>
      <c r="AD58" s="432">
        <f t="shared" si="70"/>
        <v>0</v>
      </c>
      <c r="AE58" s="432">
        <f t="shared" si="70"/>
        <v>0</v>
      </c>
      <c r="AF58" s="432">
        <f t="shared" si="70"/>
        <v>0</v>
      </c>
      <c r="AG58" s="432">
        <f t="shared" si="70"/>
        <v>0</v>
      </c>
      <c r="AH58" s="432">
        <f t="shared" si="70"/>
        <v>0</v>
      </c>
      <c r="AI58" s="432">
        <f>AI31/AI$6*100</f>
        <v>0</v>
      </c>
      <c r="AJ58" s="432">
        <f t="shared" si="63"/>
        <v>0</v>
      </c>
      <c r="AK58" s="432">
        <f t="shared" si="63"/>
        <v>0</v>
      </c>
      <c r="AL58" s="432">
        <f t="shared" ref="AL58:AO58" si="71">AL31/AL$6*100</f>
        <v>0</v>
      </c>
      <c r="AM58" s="432">
        <f t="shared" si="71"/>
        <v>0</v>
      </c>
      <c r="AN58" s="432">
        <f t="shared" si="71"/>
        <v>0</v>
      </c>
      <c r="AO58" s="432">
        <f t="shared" si="71"/>
        <v>0</v>
      </c>
    </row>
    <row r="59" spans="1:41">
      <c r="P59" s="431"/>
      <c r="Q59" s="430"/>
      <c r="S59" s="430"/>
      <c r="W59" s="430"/>
      <c r="AA59" s="430"/>
      <c r="AB59" s="429"/>
      <c r="AD59" s="430"/>
      <c r="AE59" s="430"/>
      <c r="AF59" s="429"/>
      <c r="AG59" s="424"/>
      <c r="AH59" s="430"/>
      <c r="AI59" s="430"/>
      <c r="AJ59" s="429"/>
      <c r="AK59" s="424"/>
      <c r="AL59" s="430"/>
      <c r="AM59" s="430"/>
      <c r="AN59" s="430"/>
      <c r="AO59" s="430"/>
    </row>
    <row r="60" spans="1:41">
      <c r="AD60" s="424"/>
      <c r="AE60" s="424"/>
      <c r="AF60" s="424"/>
      <c r="AG60" s="424"/>
      <c r="AH60" s="424"/>
      <c r="AI60" s="424"/>
      <c r="AJ60" s="424"/>
      <c r="AK60" s="424"/>
      <c r="AL60" s="430"/>
      <c r="AM60" s="430"/>
      <c r="AN60" s="430"/>
      <c r="AO60" s="430"/>
    </row>
    <row r="61" spans="1:41">
      <c r="AD61" s="424"/>
      <c r="AE61" s="424"/>
      <c r="AF61" s="424"/>
      <c r="AG61" s="424"/>
      <c r="AH61" s="424"/>
      <c r="AI61" s="424"/>
      <c r="AJ61" s="424"/>
      <c r="AK61" s="424"/>
    </row>
    <row r="62" spans="1:41">
      <c r="AD62" s="424"/>
      <c r="AE62" s="424"/>
      <c r="AF62" s="424"/>
      <c r="AG62" s="424"/>
      <c r="AH62" s="424"/>
      <c r="AI62" s="424"/>
      <c r="AJ62" s="424"/>
      <c r="AK62" s="424"/>
    </row>
    <row r="63" spans="1:41">
      <c r="AD63" s="424"/>
      <c r="AE63" s="424"/>
      <c r="AF63" s="424"/>
      <c r="AG63" s="424"/>
      <c r="AH63" s="424"/>
      <c r="AI63" s="424"/>
      <c r="AJ63" s="424"/>
      <c r="AK63" s="424"/>
    </row>
    <row r="64" spans="1:41">
      <c r="AD64" s="424"/>
      <c r="AE64" s="424"/>
      <c r="AF64" s="424"/>
      <c r="AG64" s="424"/>
      <c r="AH64" s="424"/>
      <c r="AI64" s="424"/>
      <c r="AJ64" s="424"/>
      <c r="AK64" s="424"/>
    </row>
    <row r="65" spans="16:37" ht="21.75">
      <c r="P65" s="424"/>
      <c r="AD65" s="424"/>
      <c r="AE65" s="424"/>
      <c r="AF65" s="424"/>
      <c r="AG65" s="424"/>
      <c r="AH65" s="424"/>
      <c r="AI65" s="424"/>
      <c r="AJ65" s="424"/>
      <c r="AK65" s="424"/>
    </row>
    <row r="66" spans="16:37" ht="21.75">
      <c r="P66" s="424"/>
      <c r="AD66" s="424"/>
      <c r="AE66" s="424"/>
      <c r="AF66" s="424"/>
      <c r="AG66" s="424"/>
      <c r="AH66" s="424"/>
      <c r="AI66" s="424"/>
      <c r="AJ66" s="424"/>
      <c r="AK66" s="424"/>
    </row>
    <row r="67" spans="16:37" ht="21.75">
      <c r="P67" s="424"/>
      <c r="AD67" s="424"/>
      <c r="AE67" s="424"/>
      <c r="AF67" s="424"/>
      <c r="AG67" s="424"/>
      <c r="AH67" s="424"/>
      <c r="AI67" s="424"/>
      <c r="AJ67" s="424"/>
      <c r="AK67" s="424"/>
    </row>
    <row r="68" spans="16:37" ht="21.75">
      <c r="P68" s="424"/>
      <c r="AD68" s="424"/>
      <c r="AE68" s="424"/>
      <c r="AF68" s="424"/>
      <c r="AG68" s="424"/>
      <c r="AH68" s="424"/>
      <c r="AI68" s="424"/>
      <c r="AJ68" s="424"/>
      <c r="AK68" s="424"/>
    </row>
    <row r="69" spans="16:37" ht="21.75">
      <c r="P69" s="424"/>
      <c r="AD69" s="424"/>
      <c r="AE69" s="424"/>
      <c r="AF69" s="424"/>
      <c r="AG69" s="424"/>
      <c r="AH69" s="424"/>
      <c r="AI69" s="424"/>
      <c r="AJ69" s="424"/>
      <c r="AK69" s="424"/>
    </row>
    <row r="70" spans="16:37" ht="21.75">
      <c r="P70" s="424"/>
      <c r="AD70" s="424"/>
      <c r="AE70" s="424"/>
      <c r="AF70" s="424"/>
      <c r="AG70" s="424"/>
      <c r="AH70" s="424"/>
      <c r="AI70" s="424"/>
      <c r="AJ70" s="424"/>
      <c r="AK70" s="424"/>
    </row>
    <row r="71" spans="16:37" ht="21.75">
      <c r="P71" s="424"/>
      <c r="AD71" s="424"/>
      <c r="AE71" s="424"/>
      <c r="AF71" s="424"/>
      <c r="AG71" s="424"/>
      <c r="AH71" s="424"/>
      <c r="AI71" s="424"/>
      <c r="AJ71" s="424"/>
      <c r="AK71" s="424"/>
    </row>
    <row r="72" spans="16:37" ht="21.75">
      <c r="P72" s="424"/>
      <c r="AD72" s="424"/>
      <c r="AE72" s="424"/>
      <c r="AF72" s="424"/>
      <c r="AG72" s="424"/>
      <c r="AH72" s="424"/>
      <c r="AI72" s="424"/>
      <c r="AJ72" s="424"/>
      <c r="AK72" s="424"/>
    </row>
    <row r="73" spans="16:37" ht="21.75">
      <c r="P73" s="424"/>
      <c r="AD73" s="424"/>
      <c r="AE73" s="424"/>
      <c r="AF73" s="424"/>
      <c r="AG73" s="424"/>
      <c r="AH73" s="424"/>
      <c r="AI73" s="424"/>
      <c r="AJ73" s="424"/>
      <c r="AK73" s="424"/>
    </row>
    <row r="74" spans="16:37" ht="21.75">
      <c r="P74" s="424"/>
      <c r="AD74" s="424"/>
      <c r="AE74" s="424"/>
      <c r="AF74" s="424"/>
      <c r="AG74" s="424"/>
      <c r="AH74" s="424"/>
      <c r="AI74" s="424"/>
      <c r="AJ74" s="424"/>
      <c r="AK74" s="424"/>
    </row>
    <row r="75" spans="16:37" ht="21.75">
      <c r="P75" s="424"/>
      <c r="AD75" s="424"/>
      <c r="AE75" s="424"/>
      <c r="AF75" s="424"/>
      <c r="AG75" s="424"/>
      <c r="AH75" s="424"/>
      <c r="AI75" s="424"/>
      <c r="AJ75" s="424"/>
      <c r="AK75" s="424"/>
    </row>
    <row r="76" spans="16:37" ht="21.75">
      <c r="P76" s="424"/>
      <c r="AD76" s="424"/>
      <c r="AE76" s="424"/>
      <c r="AF76" s="424"/>
      <c r="AG76" s="424"/>
      <c r="AH76" s="424"/>
      <c r="AI76" s="424"/>
      <c r="AJ76" s="424"/>
      <c r="AK76" s="424"/>
    </row>
    <row r="77" spans="16:37" ht="21.75">
      <c r="P77" s="424"/>
      <c r="AD77" s="424"/>
      <c r="AE77" s="424"/>
      <c r="AF77" s="424"/>
      <c r="AG77" s="424"/>
      <c r="AH77" s="424"/>
      <c r="AI77" s="424"/>
      <c r="AJ77" s="424"/>
      <c r="AK77" s="424"/>
    </row>
    <row r="78" spans="16:37" ht="21.75">
      <c r="P78" s="424"/>
      <c r="AD78" s="424"/>
      <c r="AE78" s="424"/>
      <c r="AF78" s="424"/>
      <c r="AG78" s="424"/>
      <c r="AH78" s="424"/>
      <c r="AI78" s="424"/>
      <c r="AJ78" s="424"/>
      <c r="AK78" s="424"/>
    </row>
    <row r="79" spans="16:37" ht="21.75">
      <c r="P79" s="424"/>
      <c r="AD79" s="424"/>
      <c r="AE79" s="424"/>
      <c r="AF79" s="424"/>
      <c r="AG79" s="424"/>
      <c r="AH79" s="424"/>
      <c r="AI79" s="424"/>
      <c r="AJ79" s="424"/>
      <c r="AK79" s="424"/>
    </row>
    <row r="80" spans="16:37" ht="21.75">
      <c r="P80" s="424"/>
      <c r="AD80" s="424"/>
      <c r="AE80" s="424"/>
      <c r="AF80" s="424"/>
      <c r="AG80" s="424"/>
      <c r="AH80" s="424"/>
      <c r="AI80" s="424"/>
      <c r="AJ80" s="424"/>
      <c r="AK80" s="424"/>
    </row>
    <row r="81" spans="16:37">
      <c r="AD81" s="424"/>
      <c r="AE81" s="424"/>
      <c r="AF81" s="424"/>
      <c r="AG81" s="424"/>
      <c r="AH81" s="424"/>
      <c r="AI81" s="424"/>
      <c r="AJ81" s="424"/>
      <c r="AK81" s="424"/>
    </row>
    <row r="82" spans="16:37">
      <c r="P82" s="427"/>
      <c r="AD82" s="424"/>
      <c r="AE82" s="424"/>
      <c r="AF82" s="424"/>
      <c r="AG82" s="424"/>
      <c r="AH82" s="424"/>
      <c r="AI82" s="424"/>
      <c r="AJ82" s="424"/>
      <c r="AK82" s="424"/>
    </row>
    <row r="83" spans="16:37">
      <c r="P83" s="427"/>
      <c r="AD83" s="424"/>
      <c r="AE83" s="424"/>
      <c r="AF83" s="424"/>
      <c r="AG83" s="424"/>
      <c r="AH83" s="424"/>
      <c r="AI83" s="424"/>
      <c r="AJ83" s="424"/>
      <c r="AK83" s="424"/>
    </row>
    <row r="84" spans="16:37">
      <c r="P84" s="427"/>
      <c r="AD84" s="424"/>
      <c r="AE84" s="424"/>
      <c r="AF84" s="424"/>
      <c r="AG84" s="424"/>
      <c r="AH84" s="424"/>
      <c r="AI84" s="424"/>
      <c r="AJ84" s="424"/>
      <c r="AK84" s="424"/>
    </row>
    <row r="85" spans="16:37">
      <c r="P85" s="427"/>
      <c r="AD85" s="424"/>
      <c r="AE85" s="424"/>
      <c r="AF85" s="424"/>
      <c r="AG85" s="424"/>
      <c r="AH85" s="424"/>
      <c r="AI85" s="424"/>
      <c r="AJ85" s="424"/>
      <c r="AK85" s="424"/>
    </row>
    <row r="86" spans="16:37">
      <c r="P86" s="427"/>
      <c r="AD86" s="424"/>
      <c r="AE86" s="424"/>
      <c r="AF86" s="424"/>
      <c r="AG86" s="424"/>
      <c r="AH86" s="424"/>
      <c r="AI86" s="424"/>
      <c r="AJ86" s="424"/>
      <c r="AK86" s="424"/>
    </row>
    <row r="87" spans="16:37">
      <c r="P87" s="427"/>
      <c r="AD87" s="424"/>
      <c r="AE87" s="424"/>
      <c r="AF87" s="424"/>
      <c r="AG87" s="424"/>
      <c r="AH87" s="424"/>
      <c r="AI87" s="424"/>
      <c r="AJ87" s="424"/>
      <c r="AK87" s="424"/>
    </row>
    <row r="88" spans="16:37">
      <c r="P88" s="427"/>
      <c r="AD88" s="424"/>
      <c r="AE88" s="424"/>
      <c r="AF88" s="424"/>
      <c r="AG88" s="424"/>
      <c r="AH88" s="424"/>
      <c r="AI88" s="424"/>
      <c r="AJ88" s="424"/>
      <c r="AK88" s="424"/>
    </row>
    <row r="89" spans="16:37">
      <c r="P89" s="427"/>
      <c r="AD89" s="424"/>
      <c r="AE89" s="424"/>
      <c r="AF89" s="424"/>
      <c r="AG89" s="424"/>
      <c r="AH89" s="424"/>
      <c r="AI89" s="424"/>
      <c r="AJ89" s="424"/>
      <c r="AK89" s="424"/>
    </row>
    <row r="90" spans="16:37">
      <c r="P90" s="427"/>
      <c r="AD90" s="424"/>
      <c r="AE90" s="424"/>
      <c r="AF90" s="424"/>
      <c r="AG90" s="424"/>
      <c r="AH90" s="424"/>
      <c r="AI90" s="424"/>
      <c r="AJ90" s="424"/>
      <c r="AK90" s="424"/>
    </row>
    <row r="91" spans="16:37">
      <c r="P91" s="427"/>
      <c r="AD91" s="424"/>
      <c r="AE91" s="424"/>
      <c r="AF91" s="424"/>
      <c r="AG91" s="424"/>
      <c r="AH91" s="424"/>
      <c r="AI91" s="424"/>
      <c r="AJ91" s="424"/>
      <c r="AK91" s="424"/>
    </row>
    <row r="92" spans="16:37">
      <c r="P92" s="427"/>
      <c r="AD92" s="424"/>
      <c r="AE92" s="424"/>
      <c r="AF92" s="424"/>
      <c r="AG92" s="424"/>
      <c r="AH92" s="424"/>
      <c r="AI92" s="424"/>
      <c r="AJ92" s="424"/>
      <c r="AK92" s="424"/>
    </row>
    <row r="93" spans="16:37">
      <c r="P93" s="427"/>
      <c r="AD93" s="424"/>
      <c r="AE93" s="424"/>
      <c r="AF93" s="424"/>
      <c r="AG93" s="424"/>
      <c r="AH93" s="424"/>
      <c r="AI93" s="424"/>
      <c r="AJ93" s="424"/>
      <c r="AK93" s="424"/>
    </row>
    <row r="94" spans="16:37">
      <c r="P94" s="427"/>
      <c r="AD94" s="424"/>
      <c r="AE94" s="424"/>
      <c r="AF94" s="424"/>
      <c r="AG94" s="424"/>
      <c r="AH94" s="424"/>
      <c r="AI94" s="424"/>
      <c r="AJ94" s="424"/>
      <c r="AK94" s="424"/>
    </row>
    <row r="95" spans="16:37">
      <c r="P95" s="427"/>
      <c r="AD95" s="424"/>
      <c r="AE95" s="424"/>
      <c r="AF95" s="424"/>
      <c r="AG95" s="424"/>
      <c r="AH95" s="424"/>
      <c r="AI95" s="424"/>
      <c r="AJ95" s="424"/>
      <c r="AK95" s="424"/>
    </row>
    <row r="96" spans="16:37">
      <c r="P96" s="427"/>
      <c r="AD96" s="428"/>
      <c r="AE96" s="428"/>
      <c r="AF96" s="428"/>
      <c r="AG96" s="428"/>
      <c r="AH96" s="428"/>
      <c r="AI96" s="428"/>
      <c r="AJ96" s="428"/>
      <c r="AK96" s="428"/>
    </row>
    <row r="97" spans="16:37">
      <c r="P97" s="427"/>
      <c r="AD97" s="424"/>
      <c r="AE97" s="424"/>
      <c r="AF97" s="424"/>
      <c r="AG97" s="424"/>
      <c r="AH97" s="424"/>
      <c r="AI97" s="424"/>
      <c r="AJ97" s="424"/>
      <c r="AK97" s="424"/>
    </row>
    <row r="98" spans="16:37">
      <c r="P98" s="427"/>
      <c r="AD98" s="424"/>
      <c r="AE98" s="424"/>
      <c r="AF98" s="424"/>
      <c r="AG98" s="424"/>
      <c r="AH98" s="424"/>
      <c r="AI98" s="424"/>
      <c r="AJ98" s="424"/>
      <c r="AK98" s="424"/>
    </row>
    <row r="99" spans="16:37">
      <c r="P99" s="427"/>
      <c r="AD99" s="424"/>
      <c r="AE99" s="424"/>
      <c r="AF99" s="424"/>
      <c r="AG99" s="424"/>
      <c r="AH99" s="424"/>
      <c r="AI99" s="424"/>
      <c r="AJ99" s="424"/>
      <c r="AK99" s="424"/>
    </row>
    <row r="100" spans="16:37">
      <c r="P100" s="427"/>
      <c r="AD100" s="424"/>
      <c r="AE100" s="424"/>
      <c r="AF100" s="424"/>
      <c r="AG100" s="424"/>
      <c r="AH100" s="424"/>
      <c r="AI100" s="424"/>
      <c r="AJ100" s="424"/>
      <c r="AK100" s="424"/>
    </row>
    <row r="101" spans="16:37">
      <c r="P101" s="427"/>
      <c r="AD101" s="424"/>
      <c r="AE101" s="424"/>
      <c r="AF101" s="424"/>
      <c r="AG101" s="424"/>
      <c r="AH101" s="424"/>
      <c r="AI101" s="424"/>
      <c r="AJ101" s="424"/>
      <c r="AK101" s="424"/>
    </row>
  </sheetData>
  <sheetProtection selectLockedCells="1" selectUnlockedCells="1"/>
  <mergeCells count="13">
    <mergeCell ref="AL3:AO3"/>
    <mergeCell ref="A5:K5"/>
    <mergeCell ref="A32:K32"/>
    <mergeCell ref="A3:A4"/>
    <mergeCell ref="F3:I3"/>
    <mergeCell ref="J3:M3"/>
    <mergeCell ref="B3:E3"/>
    <mergeCell ref="N3:Q3"/>
    <mergeCell ref="AH3:AK3"/>
    <mergeCell ref="AD3:AG3"/>
    <mergeCell ref="Z3:AC3"/>
    <mergeCell ref="V3:Y3"/>
    <mergeCell ref="R3:U3"/>
  </mergeCells>
  <pageMargins left="0.51" right="0.11805555555555555" top="0.69" bottom="0.19652777777777777" header="0.51180555555555551" footer="0.51180555555555551"/>
  <pageSetup paperSize="9" scale="78" firstPageNumber="0" orientation="portrait" horizontalDpi="300" verticalDpi="300" r:id="rId1"/>
  <headerFooter alignWithMargins="0">
    <oddHeader>&amp;C&amp;"TH SarabunPSK,ธรรมดา"&amp;16 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zoomScale="64" zoomScaleNormal="64" workbookViewId="0">
      <selection activeCell="B6" sqref="B6"/>
    </sheetView>
  </sheetViews>
  <sheetFormatPr defaultColWidth="8.140625" defaultRowHeight="30.75" customHeight="1"/>
  <cols>
    <col min="1" max="1" width="19" style="464" customWidth="1"/>
    <col min="2" max="6" width="10.85546875" style="464" customWidth="1"/>
    <col min="7" max="8" width="12" style="464" customWidth="1"/>
    <col min="9" max="10" width="10.85546875" style="464" customWidth="1"/>
    <col min="11" max="15" width="12.28515625" style="464" customWidth="1"/>
    <col min="16" max="16" width="12.28515625" style="373" customWidth="1"/>
    <col min="17" max="18" width="12.28515625" style="370" customWidth="1"/>
    <col min="19" max="20" width="10.85546875" style="370" customWidth="1"/>
    <col min="21" max="21" width="12.28515625" style="370" customWidth="1"/>
    <col min="22" max="22" width="10.85546875" style="370" customWidth="1"/>
    <col min="23" max="23" width="11.5703125" style="370" customWidth="1"/>
    <col min="24" max="24" width="10.85546875" style="370" customWidth="1"/>
    <col min="25" max="25" width="11.42578125" style="370" customWidth="1"/>
    <col min="26" max="26" width="9.85546875" style="370" customWidth="1"/>
    <col min="27" max="27" width="10.7109375" style="370" customWidth="1"/>
    <col min="28" max="28" width="9.42578125" style="370" customWidth="1"/>
    <col min="29" max="29" width="10.140625" style="370" customWidth="1"/>
    <col min="30" max="30" width="13.28515625" style="464" customWidth="1"/>
    <col min="31" max="31" width="10.7109375" style="464" customWidth="1"/>
    <col min="32" max="32" width="10.140625" style="370" customWidth="1"/>
    <col min="33" max="33" width="9.7109375" style="464" customWidth="1"/>
    <col min="34" max="37" width="10.7109375" style="464" customWidth="1"/>
    <col min="38" max="41" width="10.140625" style="464" customWidth="1"/>
    <col min="42" max="16384" width="8.140625" style="464"/>
  </cols>
  <sheetData>
    <row r="1" spans="1:41" s="471" customFormat="1" ht="34.5" customHeight="1">
      <c r="A1" s="471" t="s">
        <v>183</v>
      </c>
      <c r="P1" s="422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F1" s="370"/>
    </row>
    <row r="2" spans="1:41" s="471" customFormat="1" ht="27.6" customHeight="1">
      <c r="A2" s="404"/>
      <c r="B2" s="480"/>
      <c r="C2" s="480"/>
      <c r="F2" s="480"/>
      <c r="J2" s="480"/>
      <c r="P2" s="487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F2" s="370"/>
    </row>
    <row r="3" spans="1:41" s="471" customFormat="1" ht="30.75" customHeight="1">
      <c r="A3" s="665" t="s">
        <v>5</v>
      </c>
      <c r="B3" s="658" t="s">
        <v>162</v>
      </c>
      <c r="C3" s="658"/>
      <c r="D3" s="658"/>
      <c r="E3" s="658"/>
      <c r="F3" s="658" t="s">
        <v>182</v>
      </c>
      <c r="G3" s="658"/>
      <c r="H3" s="658"/>
      <c r="I3" s="658"/>
      <c r="J3" s="653" t="s">
        <v>160</v>
      </c>
      <c r="K3" s="653"/>
      <c r="L3" s="653"/>
      <c r="M3" s="653"/>
      <c r="N3" s="653" t="s">
        <v>159</v>
      </c>
      <c r="O3" s="653"/>
      <c r="P3" s="653"/>
      <c r="Q3" s="653"/>
      <c r="R3" s="653" t="s">
        <v>158</v>
      </c>
      <c r="S3" s="653"/>
      <c r="T3" s="653"/>
      <c r="U3" s="653"/>
      <c r="V3" s="653" t="s">
        <v>157</v>
      </c>
      <c r="W3" s="653"/>
      <c r="X3" s="653"/>
      <c r="Y3" s="653"/>
      <c r="Z3" s="653" t="s">
        <v>156</v>
      </c>
      <c r="AA3" s="653"/>
      <c r="AB3" s="653"/>
      <c r="AC3" s="653"/>
      <c r="AD3" s="653" t="s">
        <v>155</v>
      </c>
      <c r="AE3" s="653"/>
      <c r="AF3" s="653"/>
      <c r="AG3" s="653"/>
      <c r="AH3" s="653" t="s">
        <v>154</v>
      </c>
      <c r="AI3" s="653"/>
      <c r="AJ3" s="653"/>
      <c r="AK3" s="653"/>
      <c r="AL3" s="653" t="s">
        <v>197</v>
      </c>
      <c r="AM3" s="653"/>
      <c r="AN3" s="653"/>
      <c r="AO3" s="653"/>
    </row>
    <row r="4" spans="1:41" s="471" customFormat="1" ht="30.75" customHeight="1">
      <c r="A4" s="666"/>
      <c r="B4" s="486" t="s">
        <v>153</v>
      </c>
      <c r="C4" s="486" t="s">
        <v>152</v>
      </c>
      <c r="D4" s="486" t="s">
        <v>151</v>
      </c>
      <c r="E4" s="486" t="s">
        <v>150</v>
      </c>
      <c r="F4" s="486" t="s">
        <v>153</v>
      </c>
      <c r="G4" s="486" t="s">
        <v>152</v>
      </c>
      <c r="H4" s="486" t="s">
        <v>151</v>
      </c>
      <c r="I4" s="486" t="s">
        <v>150</v>
      </c>
      <c r="J4" s="485" t="s">
        <v>153</v>
      </c>
      <c r="K4" s="484" t="s">
        <v>152</v>
      </c>
      <c r="L4" s="484" t="s">
        <v>151</v>
      </c>
      <c r="M4" s="484" t="s">
        <v>150</v>
      </c>
      <c r="N4" s="484" t="s">
        <v>153</v>
      </c>
      <c r="O4" s="484" t="s">
        <v>152</v>
      </c>
      <c r="P4" s="484" t="s">
        <v>151</v>
      </c>
      <c r="Q4" s="485" t="s">
        <v>150</v>
      </c>
      <c r="R4" s="484" t="s">
        <v>153</v>
      </c>
      <c r="S4" s="484" t="s">
        <v>152</v>
      </c>
      <c r="T4" s="484" t="s">
        <v>151</v>
      </c>
      <c r="U4" s="484" t="s">
        <v>150</v>
      </c>
      <c r="V4" s="484" t="s">
        <v>153</v>
      </c>
      <c r="W4" s="484" t="s">
        <v>152</v>
      </c>
      <c r="X4" s="484" t="s">
        <v>151</v>
      </c>
      <c r="Y4" s="484" t="s">
        <v>150</v>
      </c>
      <c r="Z4" s="484" t="s">
        <v>153</v>
      </c>
      <c r="AA4" s="484" t="s">
        <v>152</v>
      </c>
      <c r="AB4" s="484" t="s">
        <v>151</v>
      </c>
      <c r="AC4" s="484" t="s">
        <v>150</v>
      </c>
      <c r="AD4" s="484" t="s">
        <v>153</v>
      </c>
      <c r="AE4" s="484" t="s">
        <v>152</v>
      </c>
      <c r="AF4" s="484" t="s">
        <v>151</v>
      </c>
      <c r="AG4" s="484" t="s">
        <v>150</v>
      </c>
      <c r="AH4" s="484" t="s">
        <v>153</v>
      </c>
      <c r="AI4" s="484" t="s">
        <v>152</v>
      </c>
      <c r="AJ4" s="484" t="s">
        <v>151</v>
      </c>
      <c r="AK4" s="484" t="s">
        <v>150</v>
      </c>
      <c r="AL4" s="484" t="s">
        <v>153</v>
      </c>
      <c r="AM4" s="484" t="s">
        <v>152</v>
      </c>
      <c r="AN4" s="484" t="s">
        <v>151</v>
      </c>
      <c r="AO4" s="484" t="s">
        <v>150</v>
      </c>
    </row>
    <row r="5" spans="1:41" s="392" customFormat="1" ht="18.75" customHeight="1">
      <c r="A5" s="654" t="s">
        <v>21</v>
      </c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N5" s="471"/>
      <c r="P5" s="408"/>
    </row>
    <row r="6" spans="1:41" s="471" customFormat="1" ht="24.95" customHeight="1">
      <c r="A6" s="474" t="s">
        <v>38</v>
      </c>
      <c r="B6" s="481">
        <v>1463504</v>
      </c>
      <c r="C6" s="481">
        <v>1497012</v>
      </c>
      <c r="D6" s="472">
        <v>0</v>
      </c>
      <c r="E6" s="481">
        <v>1554713</v>
      </c>
      <c r="F6" s="481">
        <v>1444247</v>
      </c>
      <c r="G6" s="481">
        <v>1502083</v>
      </c>
      <c r="H6" s="481">
        <v>1568700</v>
      </c>
      <c r="I6" s="481">
        <v>1596453</v>
      </c>
      <c r="J6" s="481">
        <v>1473724.65</v>
      </c>
      <c r="K6" s="481">
        <v>1558329.53</v>
      </c>
      <c r="L6" s="481">
        <v>1603167.91</v>
      </c>
      <c r="M6" s="481">
        <v>1616084</v>
      </c>
      <c r="N6" s="481">
        <v>1503381</v>
      </c>
      <c r="O6" s="481">
        <v>1501983</v>
      </c>
      <c r="P6" s="481">
        <v>1599586</v>
      </c>
      <c r="Q6" s="481">
        <v>1588286</v>
      </c>
      <c r="R6" s="481">
        <v>1349508</v>
      </c>
      <c r="S6" s="481">
        <v>1397341</v>
      </c>
      <c r="T6" s="481">
        <v>1405156</v>
      </c>
      <c r="U6" s="481">
        <f>SUM(U8:U13)</f>
        <v>1416408</v>
      </c>
      <c r="V6" s="481">
        <v>1362576</v>
      </c>
      <c r="W6" s="481">
        <v>1368352</v>
      </c>
      <c r="X6" s="481">
        <v>1366251.5</v>
      </c>
      <c r="Y6" s="481">
        <v>1389717</v>
      </c>
      <c r="Z6" s="483">
        <v>1280209</v>
      </c>
      <c r="AA6" s="483">
        <v>1281018</v>
      </c>
      <c r="AB6" s="483">
        <v>1332622</v>
      </c>
      <c r="AC6" s="483">
        <v>1315216</v>
      </c>
      <c r="AD6" s="483">
        <v>1244459</v>
      </c>
      <c r="AE6" s="483">
        <v>1264250</v>
      </c>
      <c r="AF6" s="483">
        <v>1361389</v>
      </c>
      <c r="AG6" s="483">
        <v>1306823</v>
      </c>
      <c r="AH6" s="483">
        <v>1236358</v>
      </c>
      <c r="AI6" s="483">
        <v>1252549</v>
      </c>
      <c r="AJ6" s="483">
        <v>1299811</v>
      </c>
      <c r="AK6" s="483">
        <v>1263081</v>
      </c>
      <c r="AL6" s="483">
        <v>1184151</v>
      </c>
      <c r="AM6" s="483">
        <v>1171095</v>
      </c>
      <c r="AN6" s="483">
        <v>1164344</v>
      </c>
      <c r="AO6" s="483">
        <v>1198717</v>
      </c>
    </row>
    <row r="7" spans="1:41" s="471" customFormat="1" ht="6" customHeight="1">
      <c r="A7" s="474"/>
      <c r="B7" s="481"/>
      <c r="C7" s="481"/>
      <c r="D7" s="473"/>
      <c r="E7" s="481"/>
      <c r="F7" s="481"/>
      <c r="G7" s="481"/>
      <c r="H7" s="482"/>
      <c r="I7" s="482"/>
      <c r="J7" s="482"/>
      <c r="K7" s="481"/>
      <c r="L7" s="481"/>
      <c r="N7" s="481"/>
      <c r="O7" s="481"/>
      <c r="P7" s="481"/>
      <c r="Q7" s="481"/>
      <c r="R7" s="481"/>
      <c r="S7" s="481"/>
      <c r="T7" s="481"/>
      <c r="U7" s="481"/>
      <c r="V7" s="481"/>
      <c r="W7" s="481"/>
      <c r="X7" s="481"/>
      <c r="Y7" s="481"/>
      <c r="Z7" s="480"/>
      <c r="AA7" s="480"/>
      <c r="AB7" s="480"/>
      <c r="AC7" s="480"/>
      <c r="AD7" s="480"/>
      <c r="AE7" s="480"/>
      <c r="AF7" s="480"/>
      <c r="AG7" s="480"/>
      <c r="AH7" s="480"/>
      <c r="AI7" s="480"/>
      <c r="AJ7" s="480"/>
      <c r="AK7" s="480"/>
      <c r="AL7" s="480"/>
      <c r="AM7" s="480"/>
      <c r="AN7" s="480"/>
      <c r="AO7" s="480"/>
    </row>
    <row r="8" spans="1:41" ht="24.95" customHeight="1">
      <c r="A8" s="470" t="s">
        <v>89</v>
      </c>
      <c r="B8" s="479">
        <v>30259</v>
      </c>
      <c r="C8" s="479">
        <v>28558</v>
      </c>
      <c r="D8" s="468">
        <v>0</v>
      </c>
      <c r="E8" s="479">
        <v>28350</v>
      </c>
      <c r="F8" s="479">
        <v>37077</v>
      </c>
      <c r="G8" s="479">
        <v>29567</v>
      </c>
      <c r="H8" s="479">
        <v>23227</v>
      </c>
      <c r="I8" s="479">
        <v>30768.880000000001</v>
      </c>
      <c r="J8" s="479">
        <v>41227.06</v>
      </c>
      <c r="K8" s="479">
        <v>26737.16</v>
      </c>
      <c r="L8" s="479">
        <v>23615.35</v>
      </c>
      <c r="M8" s="479">
        <v>32193</v>
      </c>
      <c r="N8" s="479">
        <v>32736</v>
      </c>
      <c r="O8" s="479">
        <v>30190</v>
      </c>
      <c r="P8" s="479">
        <v>31923</v>
      </c>
      <c r="Q8" s="479">
        <v>33558</v>
      </c>
      <c r="R8" s="479">
        <v>27800</v>
      </c>
      <c r="S8" s="479">
        <v>29983</v>
      </c>
      <c r="T8" s="479">
        <v>33095</v>
      </c>
      <c r="U8" s="479">
        <v>32264</v>
      </c>
      <c r="V8" s="479">
        <v>35015</v>
      </c>
      <c r="W8" s="479">
        <v>18358.34</v>
      </c>
      <c r="X8" s="479">
        <v>21061.279999999999</v>
      </c>
      <c r="Y8" s="479">
        <v>17303</v>
      </c>
      <c r="Z8" s="477">
        <v>35270</v>
      </c>
      <c r="AA8" s="477">
        <v>38575</v>
      </c>
      <c r="AB8" s="477">
        <v>24388</v>
      </c>
      <c r="AC8" s="477">
        <v>18302</v>
      </c>
      <c r="AD8" s="477">
        <v>26585</v>
      </c>
      <c r="AE8" s="477">
        <v>32943</v>
      </c>
      <c r="AF8" s="477">
        <v>33573</v>
      </c>
      <c r="AG8" s="477">
        <v>16876</v>
      </c>
      <c r="AH8" s="477">
        <v>23779</v>
      </c>
      <c r="AI8" s="477">
        <v>31443</v>
      </c>
      <c r="AJ8" s="477">
        <v>25072</v>
      </c>
      <c r="AK8" s="477">
        <v>25064</v>
      </c>
      <c r="AL8" s="477">
        <v>20864</v>
      </c>
      <c r="AM8" s="477">
        <v>11358</v>
      </c>
      <c r="AN8" s="477">
        <v>16620</v>
      </c>
      <c r="AO8" s="477">
        <v>13405</v>
      </c>
    </row>
    <row r="9" spans="1:41" ht="24.95" customHeight="1">
      <c r="A9" s="470" t="s">
        <v>88</v>
      </c>
      <c r="B9" s="479">
        <v>156053</v>
      </c>
      <c r="C9" s="479">
        <v>130149</v>
      </c>
      <c r="D9" s="468">
        <v>0</v>
      </c>
      <c r="E9" s="479">
        <v>130871</v>
      </c>
      <c r="F9" s="479">
        <v>143579</v>
      </c>
      <c r="G9" s="479">
        <v>148139</v>
      </c>
      <c r="H9" s="479">
        <v>157802</v>
      </c>
      <c r="I9" s="479">
        <v>134796.37</v>
      </c>
      <c r="J9" s="479">
        <v>173730.83</v>
      </c>
      <c r="K9" s="479">
        <v>158290.81</v>
      </c>
      <c r="L9" s="479">
        <v>155869.79999999999</v>
      </c>
      <c r="M9" s="479">
        <v>169390</v>
      </c>
      <c r="N9" s="479">
        <v>132100</v>
      </c>
      <c r="O9" s="479">
        <v>139851</v>
      </c>
      <c r="P9" s="479">
        <v>159664</v>
      </c>
      <c r="Q9" s="479">
        <v>134120</v>
      </c>
      <c r="R9" s="479">
        <v>129606</v>
      </c>
      <c r="S9" s="479">
        <v>122365</v>
      </c>
      <c r="T9" s="479">
        <v>120549</v>
      </c>
      <c r="U9" s="479">
        <v>135606</v>
      </c>
      <c r="V9" s="479">
        <v>125723</v>
      </c>
      <c r="W9" s="479">
        <v>98726.01</v>
      </c>
      <c r="X9" s="479">
        <v>107224.22</v>
      </c>
      <c r="Y9" s="479">
        <v>125107</v>
      </c>
      <c r="Z9" s="477">
        <v>116831</v>
      </c>
      <c r="AA9" s="477">
        <v>98862</v>
      </c>
      <c r="AB9" s="477">
        <v>102728</v>
      </c>
      <c r="AC9" s="477">
        <v>119602</v>
      </c>
      <c r="AD9" s="477">
        <v>122210</v>
      </c>
      <c r="AE9" s="477">
        <v>128812</v>
      </c>
      <c r="AF9" s="477">
        <v>116476</v>
      </c>
      <c r="AG9" s="477">
        <v>118240</v>
      </c>
      <c r="AH9" s="477">
        <v>99110</v>
      </c>
      <c r="AI9" s="477">
        <v>107195</v>
      </c>
      <c r="AJ9" s="477">
        <v>108346</v>
      </c>
      <c r="AK9" s="477">
        <v>100315</v>
      </c>
      <c r="AL9" s="477">
        <v>103336</v>
      </c>
      <c r="AM9" s="477">
        <v>113629</v>
      </c>
      <c r="AN9" s="477">
        <v>122330</v>
      </c>
      <c r="AO9" s="477">
        <v>99806</v>
      </c>
    </row>
    <row r="10" spans="1:41" ht="24.95" customHeight="1">
      <c r="A10" s="470" t="s">
        <v>87</v>
      </c>
      <c r="B10" s="479">
        <v>614948</v>
      </c>
      <c r="C10" s="479">
        <v>619498</v>
      </c>
      <c r="D10" s="468">
        <v>0</v>
      </c>
      <c r="E10" s="479">
        <v>553956</v>
      </c>
      <c r="F10" s="479">
        <v>632632</v>
      </c>
      <c r="G10" s="479">
        <v>594637</v>
      </c>
      <c r="H10" s="479">
        <v>542454</v>
      </c>
      <c r="I10" s="479">
        <v>569918.97</v>
      </c>
      <c r="J10" s="479">
        <v>592670.68000000005</v>
      </c>
      <c r="K10" s="479">
        <v>557815.27</v>
      </c>
      <c r="L10" s="479">
        <v>587531.65</v>
      </c>
      <c r="M10" s="479">
        <v>559121</v>
      </c>
      <c r="N10" s="479">
        <v>692924</v>
      </c>
      <c r="O10" s="479">
        <v>622426</v>
      </c>
      <c r="P10" s="479">
        <v>544261</v>
      </c>
      <c r="Q10" s="479">
        <v>554678</v>
      </c>
      <c r="R10" s="479">
        <v>538289</v>
      </c>
      <c r="S10" s="479">
        <v>499979</v>
      </c>
      <c r="T10" s="479">
        <v>484333</v>
      </c>
      <c r="U10" s="479">
        <v>434725</v>
      </c>
      <c r="V10" s="479">
        <v>515030</v>
      </c>
      <c r="W10" s="479">
        <v>570205.29</v>
      </c>
      <c r="X10" s="479">
        <v>481740</v>
      </c>
      <c r="Y10" s="479">
        <v>488050</v>
      </c>
      <c r="Z10" s="477">
        <v>548311</v>
      </c>
      <c r="AA10" s="477">
        <v>545935</v>
      </c>
      <c r="AB10" s="477">
        <v>519076</v>
      </c>
      <c r="AC10" s="477">
        <v>482583</v>
      </c>
      <c r="AD10" s="477">
        <v>546961</v>
      </c>
      <c r="AE10" s="477">
        <v>504414</v>
      </c>
      <c r="AF10" s="477">
        <v>538144</v>
      </c>
      <c r="AG10" s="477">
        <v>503009</v>
      </c>
      <c r="AH10" s="477">
        <v>502748</v>
      </c>
      <c r="AI10" s="477">
        <v>500329</v>
      </c>
      <c r="AJ10" s="477">
        <v>476056</v>
      </c>
      <c r="AK10" s="477">
        <v>494557</v>
      </c>
      <c r="AL10" s="477">
        <v>515650</v>
      </c>
      <c r="AM10" s="477">
        <v>478691</v>
      </c>
      <c r="AN10" s="477">
        <v>423293</v>
      </c>
      <c r="AO10" s="477">
        <v>461352</v>
      </c>
    </row>
    <row r="11" spans="1:41" ht="24.95" customHeight="1">
      <c r="A11" s="470" t="s">
        <v>86</v>
      </c>
      <c r="B11" s="479">
        <v>439713</v>
      </c>
      <c r="C11" s="479">
        <v>436256</v>
      </c>
      <c r="D11" s="468">
        <v>0</v>
      </c>
      <c r="E11" s="479">
        <v>488201</v>
      </c>
      <c r="F11" s="479">
        <v>395756</v>
      </c>
      <c r="G11" s="479">
        <v>444566</v>
      </c>
      <c r="H11" s="479">
        <v>499148</v>
      </c>
      <c r="I11" s="479">
        <v>497408.77</v>
      </c>
      <c r="J11" s="479">
        <v>405175.93</v>
      </c>
      <c r="K11" s="479">
        <v>495660.01</v>
      </c>
      <c r="L11" s="479">
        <v>487504.23</v>
      </c>
      <c r="M11" s="479">
        <v>478233</v>
      </c>
      <c r="N11" s="479">
        <v>417808</v>
      </c>
      <c r="O11" s="479">
        <v>446947</v>
      </c>
      <c r="P11" s="479">
        <v>513153</v>
      </c>
      <c r="Q11" s="479">
        <v>511200</v>
      </c>
      <c r="R11" s="479">
        <v>431211</v>
      </c>
      <c r="S11" s="479">
        <v>462478</v>
      </c>
      <c r="T11" s="479">
        <v>496335</v>
      </c>
      <c r="U11" s="479">
        <v>488280</v>
      </c>
      <c r="V11" s="479">
        <v>452652</v>
      </c>
      <c r="W11" s="479">
        <v>462103.94</v>
      </c>
      <c r="X11" s="479">
        <v>480634.06</v>
      </c>
      <c r="Y11" s="479">
        <v>468254</v>
      </c>
      <c r="Z11" s="477">
        <v>392951</v>
      </c>
      <c r="AA11" s="477">
        <v>401679</v>
      </c>
      <c r="AB11" s="477">
        <v>420958</v>
      </c>
      <c r="AC11" s="477">
        <v>424086</v>
      </c>
      <c r="AD11" s="477">
        <v>386425</v>
      </c>
      <c r="AE11" s="477">
        <v>398461</v>
      </c>
      <c r="AF11" s="477">
        <v>435780</v>
      </c>
      <c r="AG11" s="477">
        <v>442459</v>
      </c>
      <c r="AH11" s="477">
        <v>427385</v>
      </c>
      <c r="AI11" s="477">
        <v>416890</v>
      </c>
      <c r="AJ11" s="477">
        <v>461630</v>
      </c>
      <c r="AK11" s="477">
        <v>431592</v>
      </c>
      <c r="AL11" s="477">
        <v>383114</v>
      </c>
      <c r="AM11" s="477">
        <v>379025</v>
      </c>
      <c r="AN11" s="477">
        <v>416002</v>
      </c>
      <c r="AO11" s="477">
        <v>408909</v>
      </c>
    </row>
    <row r="12" spans="1:41" ht="24.95" customHeight="1">
      <c r="A12" s="470" t="s">
        <v>85</v>
      </c>
      <c r="B12" s="479">
        <v>218707</v>
      </c>
      <c r="C12" s="479">
        <v>282550</v>
      </c>
      <c r="D12" s="468">
        <v>0</v>
      </c>
      <c r="E12" s="479">
        <v>353335</v>
      </c>
      <c r="F12" s="479">
        <v>234972</v>
      </c>
      <c r="G12" s="479">
        <v>285174</v>
      </c>
      <c r="H12" s="479">
        <v>342093</v>
      </c>
      <c r="I12" s="479">
        <v>363210.4</v>
      </c>
      <c r="J12" s="479">
        <v>260920.15</v>
      </c>
      <c r="K12" s="479">
        <v>319128.61</v>
      </c>
      <c r="L12" s="479">
        <v>347641.67</v>
      </c>
      <c r="M12" s="479">
        <v>376864</v>
      </c>
      <c r="N12" s="479">
        <v>226327</v>
      </c>
      <c r="O12" s="479">
        <v>261843</v>
      </c>
      <c r="P12" s="479">
        <v>348976</v>
      </c>
      <c r="Q12" s="479">
        <v>354405</v>
      </c>
      <c r="R12" s="479">
        <v>222602</v>
      </c>
      <c r="S12" s="479">
        <v>282536</v>
      </c>
      <c r="T12" s="479">
        <v>269042</v>
      </c>
      <c r="U12" s="479">
        <v>316606</v>
      </c>
      <c r="V12" s="479">
        <v>230167</v>
      </c>
      <c r="W12" s="479">
        <v>215879</v>
      </c>
      <c r="X12" s="479">
        <v>275207.33</v>
      </c>
      <c r="Y12" s="479">
        <v>289384</v>
      </c>
      <c r="Z12" s="477">
        <v>184540</v>
      </c>
      <c r="AA12" s="477">
        <v>194467</v>
      </c>
      <c r="AB12" s="477">
        <v>262732</v>
      </c>
      <c r="AC12" s="477">
        <v>270643</v>
      </c>
      <c r="AD12" s="477">
        <v>161058</v>
      </c>
      <c r="AE12" s="477">
        <v>199620</v>
      </c>
      <c r="AF12" s="477">
        <v>235607</v>
      </c>
      <c r="AG12" s="477">
        <v>226239</v>
      </c>
      <c r="AH12" s="477">
        <v>183336</v>
      </c>
      <c r="AI12" s="477">
        <v>195636</v>
      </c>
      <c r="AJ12" s="477">
        <v>227955</v>
      </c>
      <c r="AK12" s="477">
        <v>211363</v>
      </c>
      <c r="AL12" s="477">
        <v>161187</v>
      </c>
      <c r="AM12" s="477">
        <v>186565</v>
      </c>
      <c r="AN12" s="477">
        <v>181568</v>
      </c>
      <c r="AO12" s="477">
        <v>212344</v>
      </c>
    </row>
    <row r="13" spans="1:41" ht="24.95" customHeight="1">
      <c r="A13" s="469" t="s">
        <v>84</v>
      </c>
      <c r="B13" s="479">
        <v>3824</v>
      </c>
      <c r="C13" s="468">
        <v>0</v>
      </c>
      <c r="D13" s="468">
        <v>0</v>
      </c>
      <c r="E13" s="468">
        <v>0</v>
      </c>
      <c r="F13" s="479">
        <v>231</v>
      </c>
      <c r="G13" s="468">
        <v>0</v>
      </c>
      <c r="H13" s="479">
        <v>3975</v>
      </c>
      <c r="I13" s="479">
        <v>349.54</v>
      </c>
      <c r="J13" s="468">
        <v>0</v>
      </c>
      <c r="K13" s="478">
        <v>697.67</v>
      </c>
      <c r="L13" s="478">
        <v>1005.21</v>
      </c>
      <c r="M13" s="479">
        <v>283</v>
      </c>
      <c r="N13" s="478">
        <v>1486</v>
      </c>
      <c r="O13" s="478">
        <v>726</v>
      </c>
      <c r="P13" s="478">
        <v>1609</v>
      </c>
      <c r="Q13" s="478">
        <v>325</v>
      </c>
      <c r="R13" s="478">
        <v>0</v>
      </c>
      <c r="S13" s="478">
        <v>0</v>
      </c>
      <c r="T13" s="478">
        <v>1802</v>
      </c>
      <c r="U13" s="478">
        <v>8927</v>
      </c>
      <c r="V13" s="478">
        <v>3989</v>
      </c>
      <c r="W13" s="478">
        <v>3079.73</v>
      </c>
      <c r="X13" s="478">
        <v>386</v>
      </c>
      <c r="Y13" s="478">
        <v>1619</v>
      </c>
      <c r="Z13" s="477">
        <v>2306</v>
      </c>
      <c r="AA13" s="477">
        <v>1500</v>
      </c>
      <c r="AB13" s="477">
        <v>2740</v>
      </c>
      <c r="AC13" s="476">
        <v>0</v>
      </c>
      <c r="AD13" s="477">
        <v>1220</v>
      </c>
      <c r="AE13" s="477">
        <v>0</v>
      </c>
      <c r="AF13" s="477">
        <v>1809</v>
      </c>
      <c r="AG13" s="476">
        <v>0</v>
      </c>
      <c r="AH13" s="477">
        <v>0</v>
      </c>
      <c r="AI13" s="477">
        <v>1056</v>
      </c>
      <c r="AJ13" s="477">
        <v>752</v>
      </c>
      <c r="AK13" s="476">
        <v>190</v>
      </c>
      <c r="AL13" s="477">
        <v>0</v>
      </c>
      <c r="AM13" s="477">
        <v>1827</v>
      </c>
      <c r="AN13" s="477">
        <v>4531</v>
      </c>
      <c r="AO13" s="476">
        <v>2901</v>
      </c>
    </row>
    <row r="14" spans="1:41" s="392" customFormat="1" ht="23.25" customHeight="1">
      <c r="A14" s="655" t="s">
        <v>20</v>
      </c>
      <c r="B14" s="655"/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475"/>
      <c r="N14" s="475"/>
      <c r="O14" s="475"/>
      <c r="P14" s="475"/>
      <c r="Q14" s="475"/>
      <c r="R14" s="475"/>
      <c r="S14" s="475"/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F14" s="475"/>
    </row>
    <row r="15" spans="1:41" s="471" customFormat="1" ht="24.95" customHeight="1">
      <c r="A15" s="474" t="s">
        <v>38</v>
      </c>
      <c r="B15" s="472">
        <f>SUM(B17:B22)</f>
        <v>100</v>
      </c>
      <c r="C15" s="472">
        <f>SUM(C17:C22)</f>
        <v>99.999933200268259</v>
      </c>
      <c r="D15" s="472">
        <v>0</v>
      </c>
      <c r="E15" s="472">
        <f>ROUNDDOWN(SUM(E17:E22),1)</f>
        <v>100</v>
      </c>
      <c r="F15" s="472">
        <f>SUM(F17:F22)</f>
        <v>100.00000000000001</v>
      </c>
      <c r="G15" s="472">
        <f>ROUNDUP(SUM(G17:G22),1)</f>
        <v>100</v>
      </c>
      <c r="H15" s="472">
        <f>ROUNDUP(SUM(H17:H22),1)</f>
        <v>100</v>
      </c>
      <c r="I15" s="472">
        <f t="shared" ref="I15:AK15" si="0">SUM(I17:I22)</f>
        <v>99.99999561527963</v>
      </c>
      <c r="J15" s="472">
        <f t="shared" si="0"/>
        <v>100</v>
      </c>
      <c r="K15" s="472">
        <f t="shared" si="0"/>
        <v>100</v>
      </c>
      <c r="L15" s="472">
        <f t="shared" si="0"/>
        <v>100</v>
      </c>
      <c r="M15" s="472">
        <f t="shared" si="0"/>
        <v>100</v>
      </c>
      <c r="N15" s="472">
        <f t="shared" si="0"/>
        <v>100</v>
      </c>
      <c r="O15" s="472">
        <f t="shared" si="0"/>
        <v>99.999999999999986</v>
      </c>
      <c r="P15" s="472">
        <f t="shared" si="0"/>
        <v>99.999999999999986</v>
      </c>
      <c r="Q15" s="472">
        <f t="shared" si="0"/>
        <v>100</v>
      </c>
      <c r="R15" s="472">
        <f t="shared" si="0"/>
        <v>100</v>
      </c>
      <c r="S15" s="472">
        <f t="shared" si="0"/>
        <v>100</v>
      </c>
      <c r="T15" s="472">
        <f t="shared" si="0"/>
        <v>100</v>
      </c>
      <c r="U15" s="472">
        <f t="shared" si="0"/>
        <v>100</v>
      </c>
      <c r="V15" s="472">
        <f t="shared" si="0"/>
        <v>99.999999999999986</v>
      </c>
      <c r="W15" s="472">
        <f t="shared" si="0"/>
        <v>100.00002265498937</v>
      </c>
      <c r="X15" s="472">
        <f t="shared" si="0"/>
        <v>100.00010173822315</v>
      </c>
      <c r="Y15" s="472">
        <f t="shared" si="0"/>
        <v>99.999999999999986</v>
      </c>
      <c r="Z15" s="472">
        <f t="shared" si="0"/>
        <v>100</v>
      </c>
      <c r="AA15" s="472">
        <f t="shared" si="0"/>
        <v>100</v>
      </c>
      <c r="AB15" s="472">
        <f t="shared" si="0"/>
        <v>100</v>
      </c>
      <c r="AC15" s="472">
        <f t="shared" si="0"/>
        <v>100</v>
      </c>
      <c r="AD15" s="472">
        <f t="shared" si="0"/>
        <v>100</v>
      </c>
      <c r="AE15" s="472">
        <f t="shared" si="0"/>
        <v>100</v>
      </c>
      <c r="AF15" s="472">
        <f t="shared" si="0"/>
        <v>100</v>
      </c>
      <c r="AG15" s="472">
        <f t="shared" si="0"/>
        <v>100</v>
      </c>
      <c r="AH15" s="472">
        <f t="shared" si="0"/>
        <v>100</v>
      </c>
      <c r="AI15" s="472">
        <f t="shared" si="0"/>
        <v>99.98</v>
      </c>
      <c r="AJ15" s="472">
        <f t="shared" si="0"/>
        <v>100</v>
      </c>
      <c r="AK15" s="472">
        <f t="shared" si="0"/>
        <v>100</v>
      </c>
      <c r="AL15" s="472">
        <f t="shared" ref="AL15:AO15" si="1">SUM(AL17:AL22)</f>
        <v>100</v>
      </c>
      <c r="AM15" s="472">
        <f t="shared" si="1"/>
        <v>100</v>
      </c>
      <c r="AN15" s="472">
        <f t="shared" si="1"/>
        <v>100.00000000000001</v>
      </c>
      <c r="AO15" s="472">
        <f t="shared" si="1"/>
        <v>100</v>
      </c>
    </row>
    <row r="16" spans="1:41" s="471" customFormat="1" ht="4.5" customHeight="1">
      <c r="A16" s="474"/>
      <c r="B16" s="472"/>
      <c r="C16" s="472"/>
      <c r="D16" s="473"/>
      <c r="E16" s="472"/>
      <c r="F16" s="472"/>
      <c r="G16" s="472"/>
      <c r="H16" s="472"/>
      <c r="I16" s="472"/>
      <c r="J16" s="472"/>
      <c r="K16" s="472"/>
      <c r="L16" s="472"/>
      <c r="M16" s="472"/>
      <c r="N16" s="472"/>
      <c r="O16" s="472"/>
      <c r="P16" s="472"/>
      <c r="Q16" s="472"/>
      <c r="R16" s="472"/>
      <c r="S16" s="472"/>
      <c r="T16" s="472"/>
      <c r="U16" s="472"/>
      <c r="V16" s="472"/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2"/>
      <c r="AK16" s="472"/>
      <c r="AL16" s="472"/>
      <c r="AM16" s="472"/>
      <c r="AN16" s="472"/>
      <c r="AO16" s="472"/>
    </row>
    <row r="17" spans="1:41" ht="24.95" customHeight="1">
      <c r="A17" s="470" t="s">
        <v>89</v>
      </c>
      <c r="B17" s="468">
        <f t="shared" ref="B17:B22" si="2">B8*100/$B$6</f>
        <v>2.0675720735987055</v>
      </c>
      <c r="C17" s="468">
        <f t="shared" ref="C17:C22" si="3">C8*100/$C$6</f>
        <v>1.907666738810377</v>
      </c>
      <c r="D17" s="468">
        <v>0</v>
      </c>
      <c r="E17" s="468">
        <f>E8*100/$E$6</f>
        <v>1.8234876790764598</v>
      </c>
      <c r="F17" s="468">
        <f t="shared" ref="F17:AJ17" si="4">SUM(F8*100/F6)</f>
        <v>2.5672201500158907</v>
      </c>
      <c r="G17" s="468">
        <f t="shared" si="4"/>
        <v>1.9683998820304871</v>
      </c>
      <c r="H17" s="468">
        <f t="shared" si="4"/>
        <v>1.4806527698093963</v>
      </c>
      <c r="I17" s="468">
        <f t="shared" si="4"/>
        <v>1.9273276444718386</v>
      </c>
      <c r="J17" s="468">
        <f t="shared" si="4"/>
        <v>2.7974737343234373</v>
      </c>
      <c r="K17" s="468">
        <f t="shared" si="4"/>
        <v>1.7157577704376814</v>
      </c>
      <c r="L17" s="468">
        <f t="shared" si="4"/>
        <v>1.473042833049222</v>
      </c>
      <c r="M17" s="468">
        <f t="shared" si="4"/>
        <v>1.9920375426029835</v>
      </c>
      <c r="N17" s="468">
        <f t="shared" si="4"/>
        <v>2.1774919331826066</v>
      </c>
      <c r="O17" s="468">
        <f t="shared" si="4"/>
        <v>2.0100094341946613</v>
      </c>
      <c r="P17" s="468">
        <f t="shared" si="4"/>
        <v>1.9957038883811187</v>
      </c>
      <c r="Q17" s="468">
        <f t="shared" si="4"/>
        <v>2.1128436566210369</v>
      </c>
      <c r="R17" s="468">
        <f t="shared" si="4"/>
        <v>2.0600100184659893</v>
      </c>
      <c r="S17" s="468">
        <f t="shared" si="4"/>
        <v>2.1457181890461956</v>
      </c>
      <c r="T17" s="468">
        <f t="shared" si="4"/>
        <v>2.3552545055495617</v>
      </c>
      <c r="U17" s="468">
        <f t="shared" si="4"/>
        <v>2.2778747366577994</v>
      </c>
      <c r="V17" s="468">
        <f t="shared" si="4"/>
        <v>2.5697649158652434</v>
      </c>
      <c r="W17" s="468">
        <f t="shared" si="4"/>
        <v>1.3416387011529196</v>
      </c>
      <c r="X17" s="468">
        <f t="shared" si="4"/>
        <v>1.5415375573238164</v>
      </c>
      <c r="Y17" s="468">
        <f t="shared" si="4"/>
        <v>1.2450736372944995</v>
      </c>
      <c r="Z17" s="468">
        <f t="shared" si="4"/>
        <v>2.75501890706908</v>
      </c>
      <c r="AA17" s="468">
        <f t="shared" si="4"/>
        <v>3.0112769687857628</v>
      </c>
      <c r="AB17" s="468">
        <f t="shared" si="4"/>
        <v>1.8300763457304472</v>
      </c>
      <c r="AC17" s="468">
        <f t="shared" si="4"/>
        <v>1.3915584968552694</v>
      </c>
      <c r="AD17" s="468">
        <f t="shared" si="4"/>
        <v>2.1362696561317005</v>
      </c>
      <c r="AE17" s="468">
        <f t="shared" si="4"/>
        <v>2.6057346252719005</v>
      </c>
      <c r="AF17" s="468">
        <f t="shared" si="4"/>
        <v>2.4660842712846951</v>
      </c>
      <c r="AG17" s="468">
        <f t="shared" si="4"/>
        <v>1.2913761083176527</v>
      </c>
      <c r="AH17" s="468">
        <f t="shared" si="4"/>
        <v>1.9233102386202054</v>
      </c>
      <c r="AI17" s="468">
        <f t="shared" si="4"/>
        <v>2.5103209535115991</v>
      </c>
      <c r="AJ17" s="468">
        <f t="shared" si="4"/>
        <v>1.9288958163917678</v>
      </c>
      <c r="AK17" s="468">
        <f>SUM(AK8*100/AK6)</f>
        <v>1.9843541308910513</v>
      </c>
      <c r="AL17" s="468">
        <f t="shared" ref="AL17:AO17" si="5">SUM(AL8*100/AL6)</f>
        <v>1.7619374556116576</v>
      </c>
      <c r="AM17" s="468">
        <f t="shared" si="5"/>
        <v>0.96986153984091816</v>
      </c>
      <c r="AN17" s="468">
        <f t="shared" si="5"/>
        <v>1.4274132043451075</v>
      </c>
      <c r="AO17" s="468">
        <f t="shared" si="5"/>
        <v>1.1182789599213159</v>
      </c>
    </row>
    <row r="18" spans="1:41" ht="24.95" customHeight="1">
      <c r="A18" s="470" t="s">
        <v>88</v>
      </c>
      <c r="B18" s="468">
        <f t="shared" si="2"/>
        <v>10.662970514600575</v>
      </c>
      <c r="C18" s="468">
        <f t="shared" si="3"/>
        <v>8.6939182852241661</v>
      </c>
      <c r="D18" s="468">
        <v>0</v>
      </c>
      <c r="E18" s="468">
        <f>E9*100/$E$6</f>
        <v>8.4176950987095367</v>
      </c>
      <c r="F18" s="468">
        <f>SUM(F9*100/F6)</f>
        <v>9.9414435342431045</v>
      </c>
      <c r="G18" s="468">
        <f>ROUNDDOWN(SUM(G9*100/G6),1)</f>
        <v>9.8000000000000007</v>
      </c>
      <c r="H18" s="468">
        <f t="shared" ref="H18:AJ18" si="6">SUM(H9*100/H6)</f>
        <v>10.059412252183337</v>
      </c>
      <c r="I18" s="468">
        <f t="shared" si="6"/>
        <v>8.4434912897529717</v>
      </c>
      <c r="J18" s="468">
        <f t="shared" si="6"/>
        <v>11.788554259440527</v>
      </c>
      <c r="K18" s="468">
        <f t="shared" si="6"/>
        <v>10.157723828797623</v>
      </c>
      <c r="L18" s="468">
        <f t="shared" si="6"/>
        <v>9.7226122745932457</v>
      </c>
      <c r="M18" s="468">
        <f t="shared" si="6"/>
        <v>10.481509624499717</v>
      </c>
      <c r="N18" s="468">
        <f t="shared" si="6"/>
        <v>8.7868610817883166</v>
      </c>
      <c r="O18" s="468">
        <f t="shared" si="6"/>
        <v>9.3110907380443049</v>
      </c>
      <c r="P18" s="468">
        <f t="shared" si="6"/>
        <v>9.9815827345325605</v>
      </c>
      <c r="Q18" s="468">
        <f t="shared" si="6"/>
        <v>8.444322999762008</v>
      </c>
      <c r="R18" s="468">
        <f t="shared" si="6"/>
        <v>9.6039445486799639</v>
      </c>
      <c r="S18" s="468">
        <f t="shared" si="6"/>
        <v>8.7569891672827183</v>
      </c>
      <c r="T18" s="468">
        <f t="shared" si="6"/>
        <v>8.5790474509591821</v>
      </c>
      <c r="U18" s="468">
        <f t="shared" si="6"/>
        <v>9.5739363234322319</v>
      </c>
      <c r="V18" s="468">
        <f t="shared" si="6"/>
        <v>9.226861474148965</v>
      </c>
      <c r="W18" s="468">
        <f t="shared" si="6"/>
        <v>7.214957116297561</v>
      </c>
      <c r="X18" s="468">
        <f t="shared" si="6"/>
        <v>7.8480587212530049</v>
      </c>
      <c r="Y18" s="468">
        <f t="shared" si="6"/>
        <v>9.0023364469168907</v>
      </c>
      <c r="Z18" s="468">
        <f t="shared" si="6"/>
        <v>9.1259317814513103</v>
      </c>
      <c r="AA18" s="468">
        <f t="shared" si="6"/>
        <v>7.7174559608061717</v>
      </c>
      <c r="AB18" s="468">
        <f t="shared" si="6"/>
        <v>7.7087125981711244</v>
      </c>
      <c r="AC18" s="468">
        <f t="shared" si="6"/>
        <v>9.0937154049220812</v>
      </c>
      <c r="AD18" s="468">
        <f t="shared" si="6"/>
        <v>9.8203315657647217</v>
      </c>
      <c r="AE18" s="468">
        <f t="shared" si="6"/>
        <v>10.188807593434843</v>
      </c>
      <c r="AF18" s="468">
        <f t="shared" si="6"/>
        <v>8.5556736538931926</v>
      </c>
      <c r="AG18" s="468">
        <f t="shared" si="6"/>
        <v>9.0478970755794776</v>
      </c>
      <c r="AH18" s="468">
        <f t="shared" si="6"/>
        <v>8.0162865448357188</v>
      </c>
      <c r="AI18" s="468">
        <f t="shared" si="6"/>
        <v>8.5581482241413305</v>
      </c>
      <c r="AJ18" s="468">
        <f t="shared" si="6"/>
        <v>8.3355195486112983</v>
      </c>
      <c r="AK18" s="468">
        <f>SUM(AK9*100/AK6)</f>
        <v>7.9420876412518275</v>
      </c>
      <c r="AL18" s="468">
        <f t="shared" ref="AL18:AO18" si="7">SUM(AL9*100/AL6)</f>
        <v>8.7265897676901005</v>
      </c>
      <c r="AM18" s="468">
        <f t="shared" si="7"/>
        <v>9.702799516691643</v>
      </c>
      <c r="AN18" s="468">
        <f t="shared" si="7"/>
        <v>10.506345203822924</v>
      </c>
      <c r="AO18" s="468">
        <f t="shared" si="7"/>
        <v>8.3260686217013689</v>
      </c>
    </row>
    <row r="19" spans="1:41" ht="24.95" customHeight="1">
      <c r="A19" s="470" t="s">
        <v>87</v>
      </c>
      <c r="B19" s="468">
        <f t="shared" si="2"/>
        <v>42.018880713684418</v>
      </c>
      <c r="C19" s="468">
        <f t="shared" si="3"/>
        <v>41.382300208682359</v>
      </c>
      <c r="D19" s="468">
        <v>0</v>
      </c>
      <c r="E19" s="468">
        <f>ROUNDUP(E10*100/$E$6,1)</f>
        <v>35.700000000000003</v>
      </c>
      <c r="F19" s="468">
        <f t="shared" ref="F19:AH19" si="8">SUM(F10*100/F6)</f>
        <v>43.80358761347609</v>
      </c>
      <c r="G19" s="468">
        <f t="shared" si="8"/>
        <v>39.587492834949863</v>
      </c>
      <c r="H19" s="468">
        <f t="shared" si="8"/>
        <v>34.579843182252823</v>
      </c>
      <c r="I19" s="468">
        <f t="shared" si="8"/>
        <v>35.699076014138846</v>
      </c>
      <c r="J19" s="468">
        <f t="shared" si="8"/>
        <v>40.215835434387294</v>
      </c>
      <c r="K19" s="468">
        <f t="shared" si="8"/>
        <v>35.795719663991733</v>
      </c>
      <c r="L19" s="468">
        <f t="shared" si="8"/>
        <v>36.648166816163382</v>
      </c>
      <c r="M19" s="468">
        <f t="shared" si="8"/>
        <v>34.597273409055468</v>
      </c>
      <c r="N19" s="468">
        <f t="shared" si="8"/>
        <v>46.091044119887108</v>
      </c>
      <c r="O19" s="468">
        <f t="shared" si="8"/>
        <v>41.440282613052212</v>
      </c>
      <c r="P19" s="468">
        <f t="shared" si="8"/>
        <v>34.025116498894086</v>
      </c>
      <c r="Q19" s="468">
        <f t="shared" si="8"/>
        <v>34.923055419489941</v>
      </c>
      <c r="R19" s="468">
        <f t="shared" si="8"/>
        <v>39.887796144965428</v>
      </c>
      <c r="S19" s="468">
        <f t="shared" si="8"/>
        <v>35.780743569393586</v>
      </c>
      <c r="T19" s="468">
        <f t="shared" si="8"/>
        <v>34.468272561907717</v>
      </c>
      <c r="U19" s="468">
        <f t="shared" si="8"/>
        <v>30.692074599974021</v>
      </c>
      <c r="V19" s="468">
        <f t="shared" si="8"/>
        <v>37.79825859254823</v>
      </c>
      <c r="W19" s="468">
        <f t="shared" si="8"/>
        <v>41.670950895675965</v>
      </c>
      <c r="X19" s="468">
        <f t="shared" si="8"/>
        <v>35.259979586481698</v>
      </c>
      <c r="Y19" s="468">
        <f t="shared" si="8"/>
        <v>35.118660849655001</v>
      </c>
      <c r="Z19" s="468">
        <f t="shared" si="8"/>
        <v>42.829803571135649</v>
      </c>
      <c r="AA19" s="468">
        <f t="shared" si="8"/>
        <v>42.617277821232804</v>
      </c>
      <c r="AB19" s="468">
        <f t="shared" si="8"/>
        <v>38.95148061490805</v>
      </c>
      <c r="AC19" s="468">
        <f t="shared" si="8"/>
        <v>36.692299972019804</v>
      </c>
      <c r="AD19" s="468">
        <f t="shared" si="8"/>
        <v>43.951709136259211</v>
      </c>
      <c r="AE19" s="468">
        <f t="shared" si="8"/>
        <v>39.898279612418428</v>
      </c>
      <c r="AF19" s="468">
        <f t="shared" si="8"/>
        <v>39.529039826236293</v>
      </c>
      <c r="AG19" s="468">
        <f t="shared" si="8"/>
        <v>38.490981563685366</v>
      </c>
      <c r="AH19" s="468">
        <f t="shared" si="8"/>
        <v>40.663626554768115</v>
      </c>
      <c r="AI19" s="468">
        <f>SUM(AI10*100/AI6)+0.02</f>
        <v>39.964864432449353</v>
      </c>
      <c r="AJ19" s="468">
        <f>SUM(AJ10*100/AJ6)</f>
        <v>36.62501702170546</v>
      </c>
      <c r="AK19" s="468">
        <f>SUM(AK10*100/AK6)</f>
        <v>39.154812715890749</v>
      </c>
      <c r="AL19" s="468">
        <f t="shared" ref="AL19:AO19" si="9">SUM(AL10*100/AL6)</f>
        <v>43.54596668836998</v>
      </c>
      <c r="AM19" s="468">
        <f t="shared" si="9"/>
        <v>40.875505403062945</v>
      </c>
      <c r="AN19" s="468">
        <f t="shared" si="9"/>
        <v>36.354634025683133</v>
      </c>
      <c r="AO19" s="468">
        <f t="shared" si="9"/>
        <v>38.487149176995068</v>
      </c>
    </row>
    <row r="20" spans="1:41" ht="24.95" customHeight="1">
      <c r="A20" s="470" t="s">
        <v>86</v>
      </c>
      <c r="B20" s="468">
        <f t="shared" si="2"/>
        <v>30.045220238550765</v>
      </c>
      <c r="C20" s="468">
        <f t="shared" si="3"/>
        <v>29.141783766596394</v>
      </c>
      <c r="D20" s="468">
        <v>0</v>
      </c>
      <c r="E20" s="468">
        <f>E11*100/$E$6</f>
        <v>31.401358321439393</v>
      </c>
      <c r="F20" s="468">
        <f t="shared" ref="F20:AJ20" si="10">SUM(F11*100/F6)</f>
        <v>27.402237982838116</v>
      </c>
      <c r="G20" s="468">
        <f t="shared" si="10"/>
        <v>29.596633474981076</v>
      </c>
      <c r="H20" s="468">
        <f t="shared" si="10"/>
        <v>31.819213361382037</v>
      </c>
      <c r="I20" s="468">
        <f t="shared" si="10"/>
        <v>31.157119564434407</v>
      </c>
      <c r="J20" s="468">
        <f t="shared" si="10"/>
        <v>27.49332651794893</v>
      </c>
      <c r="K20" s="468">
        <f t="shared" si="10"/>
        <v>31.80713709506615</v>
      </c>
      <c r="L20" s="468">
        <f t="shared" si="10"/>
        <v>30.40880664833168</v>
      </c>
      <c r="M20" s="468">
        <f t="shared" si="10"/>
        <v>29.592088035027881</v>
      </c>
      <c r="N20" s="468">
        <f t="shared" si="10"/>
        <v>27.791225244964515</v>
      </c>
      <c r="O20" s="468">
        <f t="shared" si="10"/>
        <v>29.757127743789376</v>
      </c>
      <c r="P20" s="468">
        <f t="shared" si="10"/>
        <v>32.080363294002325</v>
      </c>
      <c r="Q20" s="468">
        <f t="shared" si="10"/>
        <v>32.185639110336552</v>
      </c>
      <c r="R20" s="468">
        <f t="shared" si="10"/>
        <v>31.953200722040922</v>
      </c>
      <c r="S20" s="468">
        <f t="shared" si="10"/>
        <v>33.09700352311998</v>
      </c>
      <c r="T20" s="468">
        <f t="shared" si="10"/>
        <v>35.322412600451479</v>
      </c>
      <c r="U20" s="468">
        <f t="shared" si="10"/>
        <v>34.473117915176985</v>
      </c>
      <c r="V20" s="468">
        <f t="shared" si="10"/>
        <v>33.220312114700391</v>
      </c>
      <c r="W20" s="468">
        <f t="shared" si="10"/>
        <v>33.770838205374055</v>
      </c>
      <c r="X20" s="468">
        <f t="shared" si="10"/>
        <v>35.179032557329307</v>
      </c>
      <c r="Y20" s="468">
        <f t="shared" si="10"/>
        <v>33.694198171282352</v>
      </c>
      <c r="Z20" s="468">
        <f t="shared" si="10"/>
        <v>30.6942850737653</v>
      </c>
      <c r="AA20" s="468">
        <f t="shared" si="10"/>
        <v>31.356233870250065</v>
      </c>
      <c r="AB20" s="468">
        <f t="shared" si="10"/>
        <v>31.588702572822601</v>
      </c>
      <c r="AC20" s="468">
        <f t="shared" si="10"/>
        <v>32.244589481879785</v>
      </c>
      <c r="AD20" s="468">
        <f t="shared" si="10"/>
        <v>31.051645735215061</v>
      </c>
      <c r="AE20" s="468">
        <f t="shared" si="10"/>
        <v>31.517579592643859</v>
      </c>
      <c r="AF20" s="468">
        <f t="shared" si="10"/>
        <v>32.00995453907737</v>
      </c>
      <c r="AG20" s="468">
        <f t="shared" si="10"/>
        <v>33.857607342386842</v>
      </c>
      <c r="AH20" s="468">
        <f t="shared" si="10"/>
        <v>34.568062001459126</v>
      </c>
      <c r="AI20" s="468">
        <f t="shared" si="10"/>
        <v>33.283328636244967</v>
      </c>
      <c r="AJ20" s="468">
        <f t="shared" si="10"/>
        <v>35.515163358365179</v>
      </c>
      <c r="AK20" s="468">
        <f>SUM(AK11*100/AK6)</f>
        <v>34.169780085362696</v>
      </c>
      <c r="AL20" s="468">
        <f t="shared" ref="AL20:AO20" si="11">SUM(AL11*100/AL6)</f>
        <v>32.353475190241788</v>
      </c>
      <c r="AM20" s="468">
        <f t="shared" si="11"/>
        <v>32.365008816534953</v>
      </c>
      <c r="AN20" s="468">
        <f t="shared" si="11"/>
        <v>35.728444514679509</v>
      </c>
      <c r="AO20" s="468">
        <f t="shared" si="11"/>
        <v>34.11222165031446</v>
      </c>
    </row>
    <row r="21" spans="1:41" ht="24.95" customHeight="1">
      <c r="A21" s="470" t="s">
        <v>85</v>
      </c>
      <c r="B21" s="468">
        <f t="shared" si="2"/>
        <v>14.944065749051591</v>
      </c>
      <c r="C21" s="468">
        <f t="shared" si="3"/>
        <v>18.874264200954968</v>
      </c>
      <c r="D21" s="468">
        <v>0</v>
      </c>
      <c r="E21" s="468">
        <f>E12*100/$E$6</f>
        <v>22.726702613279748</v>
      </c>
      <c r="F21" s="468">
        <f>SUM(F12*100/F$6)</f>
        <v>16.269516225410197</v>
      </c>
      <c r="G21" s="468">
        <f>SUM(G12*100/G$6)</f>
        <v>18.985235835835969</v>
      </c>
      <c r="H21" s="468">
        <f>SUM(H12*100/H$6)</f>
        <v>21.807420156817749</v>
      </c>
      <c r="I21" s="468">
        <f t="shared" ref="I21:AJ21" si="12">SUM(I12*100/I6)</f>
        <v>22.751086314473397</v>
      </c>
      <c r="J21" s="468">
        <f t="shared" si="12"/>
        <v>17.704810053899827</v>
      </c>
      <c r="K21" s="468">
        <f t="shared" si="12"/>
        <v>20.478891265058682</v>
      </c>
      <c r="L21" s="468">
        <f t="shared" si="12"/>
        <v>21.684669948265121</v>
      </c>
      <c r="M21" s="468">
        <f t="shared" si="12"/>
        <v>23.319579922825795</v>
      </c>
      <c r="N21" s="468">
        <f t="shared" si="12"/>
        <v>15.054533747599578</v>
      </c>
      <c r="O21" s="468">
        <f t="shared" si="12"/>
        <v>17.433153371243215</v>
      </c>
      <c r="P21" s="468">
        <f t="shared" si="12"/>
        <v>21.816645056908474</v>
      </c>
      <c r="Q21" s="468">
        <f t="shared" si="12"/>
        <v>22.313676504105683</v>
      </c>
      <c r="R21" s="468">
        <f t="shared" si="12"/>
        <v>16.4950485658477</v>
      </c>
      <c r="S21" s="468">
        <f t="shared" si="12"/>
        <v>20.21954555115752</v>
      </c>
      <c r="T21" s="468">
        <f t="shared" si="12"/>
        <v>19.146770892342204</v>
      </c>
      <c r="U21" s="468">
        <f t="shared" si="12"/>
        <v>22.352740170911208</v>
      </c>
      <c r="V21" s="468">
        <f t="shared" si="12"/>
        <v>16.892048590317163</v>
      </c>
      <c r="W21" s="468">
        <f t="shared" si="12"/>
        <v>15.776569186875891</v>
      </c>
      <c r="X21" s="468">
        <f t="shared" si="12"/>
        <v>20.143240830842636</v>
      </c>
      <c r="Y21" s="468">
        <f t="shared" si="12"/>
        <v>20.823232355940096</v>
      </c>
      <c r="Z21" s="468">
        <f t="shared" si="12"/>
        <v>14.414833827914036</v>
      </c>
      <c r="AA21" s="468">
        <f t="shared" si="12"/>
        <v>15.180661005544028</v>
      </c>
      <c r="AB21" s="468">
        <f t="shared" si="12"/>
        <v>19.715418175596682</v>
      </c>
      <c r="AC21" s="468">
        <f t="shared" si="12"/>
        <v>20.57783664432306</v>
      </c>
      <c r="AD21" s="468">
        <f t="shared" si="12"/>
        <v>12.942009338997909</v>
      </c>
      <c r="AE21" s="468">
        <f t="shared" si="12"/>
        <v>15.789598576230967</v>
      </c>
      <c r="AF21" s="468">
        <f t="shared" si="12"/>
        <v>17.306368716068661</v>
      </c>
      <c r="AG21" s="468">
        <f t="shared" si="12"/>
        <v>17.31213791003066</v>
      </c>
      <c r="AH21" s="468">
        <f t="shared" si="12"/>
        <v>14.828714660316834</v>
      </c>
      <c r="AI21" s="468">
        <f t="shared" si="12"/>
        <v>15.619029674687377</v>
      </c>
      <c r="AJ21" s="468">
        <f t="shared" si="12"/>
        <v>17.537549689916457</v>
      </c>
      <c r="AK21" s="468">
        <f>SUM(AK12*100/AK6)</f>
        <v>16.733922844219808</v>
      </c>
      <c r="AL21" s="468">
        <f t="shared" ref="AL21:AO21" si="13">SUM(AL12*100/AL6)</f>
        <v>13.612030898086477</v>
      </c>
      <c r="AM21" s="468">
        <f t="shared" si="13"/>
        <v>15.930816885052025</v>
      </c>
      <c r="AN21" s="468">
        <f t="shared" si="13"/>
        <v>15.594016888479693</v>
      </c>
      <c r="AO21" s="468">
        <f t="shared" si="13"/>
        <v>17.714272843381714</v>
      </c>
    </row>
    <row r="22" spans="1:41" ht="24.95" customHeight="1">
      <c r="A22" s="469" t="s">
        <v>84</v>
      </c>
      <c r="B22" s="468">
        <f t="shared" si="2"/>
        <v>0.26129071051394459</v>
      </c>
      <c r="C22" s="468">
        <f t="shared" si="3"/>
        <v>0</v>
      </c>
      <c r="D22" s="468">
        <v>0</v>
      </c>
      <c r="E22" s="468">
        <f>E13*100/$E$6</f>
        <v>0</v>
      </c>
      <c r="F22" s="468">
        <f>SUM(F13*100/F$6)</f>
        <v>1.5994494016605194E-2</v>
      </c>
      <c r="G22" s="468">
        <f>SUM(G13*100/G$6)</f>
        <v>0</v>
      </c>
      <c r="H22" s="468">
        <f>ROUNDDOWN(SUM(H13*100/H$6),1)</f>
        <v>0.2</v>
      </c>
      <c r="I22" s="468">
        <f t="shared" ref="I22:AH22" si="14">SUM(I13*100/I$6)</f>
        <v>2.1894788008165602E-2</v>
      </c>
      <c r="J22" s="468">
        <f t="shared" si="14"/>
        <v>0</v>
      </c>
      <c r="K22" s="468">
        <f t="shared" si="14"/>
        <v>4.4770376648127816E-2</v>
      </c>
      <c r="L22" s="468">
        <f t="shared" si="14"/>
        <v>6.2701479597355461E-2</v>
      </c>
      <c r="M22" s="468">
        <f t="shared" si="14"/>
        <v>1.751146598815408E-2</v>
      </c>
      <c r="N22" s="468">
        <f t="shared" si="14"/>
        <v>9.8843872577876135E-2</v>
      </c>
      <c r="O22" s="468">
        <f t="shared" si="14"/>
        <v>4.8336099676228025E-2</v>
      </c>
      <c r="P22" s="468">
        <f t="shared" si="14"/>
        <v>0.10058852728143407</v>
      </c>
      <c r="Q22" s="468">
        <f t="shared" si="14"/>
        <v>2.0462309684779693E-2</v>
      </c>
      <c r="R22" s="468">
        <f t="shared" si="14"/>
        <v>0</v>
      </c>
      <c r="S22" s="468">
        <f t="shared" si="14"/>
        <v>0</v>
      </c>
      <c r="T22" s="468">
        <f t="shared" si="14"/>
        <v>0.12824198878985679</v>
      </c>
      <c r="U22" s="468">
        <f t="shared" si="14"/>
        <v>0.63025625384776141</v>
      </c>
      <c r="V22" s="468">
        <f t="shared" si="14"/>
        <v>0.29275431242000444</v>
      </c>
      <c r="W22" s="468">
        <f t="shared" si="14"/>
        <v>0.22506854961296507</v>
      </c>
      <c r="X22" s="468">
        <f t="shared" si="14"/>
        <v>2.8252484992697172E-2</v>
      </c>
      <c r="Y22" s="468">
        <f t="shared" si="14"/>
        <v>0.1164985389111596</v>
      </c>
      <c r="Z22" s="468">
        <f t="shared" si="14"/>
        <v>0.18012683866462428</v>
      </c>
      <c r="AA22" s="468">
        <f t="shared" si="14"/>
        <v>0.11709437338117029</v>
      </c>
      <c r="AB22" s="468">
        <f t="shared" si="14"/>
        <v>0.20560969277109337</v>
      </c>
      <c r="AC22" s="468">
        <f t="shared" si="14"/>
        <v>0</v>
      </c>
      <c r="AD22" s="468">
        <f t="shared" si="14"/>
        <v>9.8034567631396452E-2</v>
      </c>
      <c r="AE22" s="468">
        <f t="shared" si="14"/>
        <v>0</v>
      </c>
      <c r="AF22" s="468">
        <f t="shared" si="14"/>
        <v>0.13287899343978835</v>
      </c>
      <c r="AG22" s="468">
        <f t="shared" si="14"/>
        <v>0</v>
      </c>
      <c r="AH22" s="468">
        <f t="shared" si="14"/>
        <v>0</v>
      </c>
      <c r="AI22" s="468">
        <f>SUM(AI13*100/AI$6)-0.04</f>
        <v>4.4308078965373802E-2</v>
      </c>
      <c r="AJ22" s="468">
        <f>SUM(AJ13*100/AJ$6)</f>
        <v>5.7854565009836045E-2</v>
      </c>
      <c r="AK22" s="468">
        <f>SUM(AK13*100/AK$6)</f>
        <v>1.5042582383869284E-2</v>
      </c>
      <c r="AL22" s="468">
        <f t="shared" ref="AL22:AO22" si="15">SUM(AL13*100/AL$6)</f>
        <v>0</v>
      </c>
      <c r="AM22" s="468">
        <f t="shared" si="15"/>
        <v>0.15600783881751695</v>
      </c>
      <c r="AN22" s="468">
        <f t="shared" si="15"/>
        <v>0.38914616298963195</v>
      </c>
      <c r="AO22" s="468">
        <f t="shared" si="15"/>
        <v>0.2420087476860677</v>
      </c>
    </row>
    <row r="23" spans="1:41" ht="19.5" customHeight="1">
      <c r="A23" s="467"/>
      <c r="B23" s="466"/>
      <c r="C23" s="466"/>
      <c r="D23" s="466"/>
      <c r="E23" s="466"/>
      <c r="F23" s="466"/>
      <c r="G23" s="466"/>
      <c r="H23" s="466"/>
      <c r="I23" s="466"/>
      <c r="J23" s="466"/>
      <c r="K23" s="466"/>
      <c r="L23" s="466"/>
      <c r="M23" s="466"/>
      <c r="N23" s="466"/>
      <c r="O23" s="466"/>
      <c r="P23" s="466"/>
      <c r="Q23" s="466"/>
      <c r="R23" s="466"/>
      <c r="S23" s="466"/>
      <c r="T23" s="466"/>
      <c r="U23" s="466"/>
      <c r="V23" s="466"/>
      <c r="W23" s="466"/>
      <c r="X23" s="466"/>
      <c r="Y23" s="466"/>
      <c r="Z23" s="466"/>
      <c r="AA23" s="466"/>
      <c r="AB23" s="466"/>
      <c r="AC23" s="466"/>
      <c r="AD23" s="466"/>
      <c r="AE23" s="466"/>
      <c r="AF23" s="466"/>
      <c r="AG23" s="466"/>
      <c r="AH23" s="466"/>
      <c r="AI23" s="466"/>
      <c r="AJ23" s="466"/>
      <c r="AK23" s="466"/>
      <c r="AL23" s="466"/>
      <c r="AM23" s="466"/>
      <c r="AN23" s="466"/>
      <c r="AO23" s="466"/>
    </row>
    <row r="25" spans="1:41" ht="30.75" customHeight="1">
      <c r="P25" s="465"/>
    </row>
    <row r="26" spans="1:41" ht="30.75" customHeight="1">
      <c r="P26" s="465"/>
    </row>
    <row r="27" spans="1:41" ht="30.75" customHeight="1">
      <c r="P27" s="465"/>
    </row>
    <row r="28" spans="1:41" ht="30.75" customHeight="1">
      <c r="P28" s="465"/>
    </row>
    <row r="29" spans="1:41" ht="30.75" customHeight="1">
      <c r="P29" s="465"/>
    </row>
    <row r="30" spans="1:41" ht="30.75" customHeight="1">
      <c r="P30" s="465"/>
    </row>
    <row r="31" spans="1:41" ht="30.75" customHeight="1">
      <c r="P31" s="465"/>
    </row>
  </sheetData>
  <sheetProtection selectLockedCells="1" selectUnlockedCells="1"/>
  <mergeCells count="13">
    <mergeCell ref="AL3:AO3"/>
    <mergeCell ref="A5:L5"/>
    <mergeCell ref="A14:L14"/>
    <mergeCell ref="A3:A4"/>
    <mergeCell ref="B3:E3"/>
    <mergeCell ref="F3:I3"/>
    <mergeCell ref="J3:M3"/>
    <mergeCell ref="AH3:AK3"/>
    <mergeCell ref="N3:Q3"/>
    <mergeCell ref="AD3:AG3"/>
    <mergeCell ref="Z3:AC3"/>
    <mergeCell ref="V3:Y3"/>
    <mergeCell ref="R3:U3"/>
  </mergeCells>
  <pageMargins left="0.53" right="0.11805555555555555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>
    <oddHeader>&amp;C&amp;"TH SarabunPSK,ธรรมดา"&amp;16 28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zoomScale="42" zoomScaleNormal="42" workbookViewId="0">
      <selection activeCell="B4" sqref="B4"/>
    </sheetView>
  </sheetViews>
  <sheetFormatPr defaultColWidth="8.140625" defaultRowHeight="30.75" customHeight="1"/>
  <cols>
    <col min="1" max="1" width="18.42578125" style="464" customWidth="1"/>
    <col min="2" max="3" width="12.7109375" style="464" customWidth="1"/>
    <col min="4" max="4" width="11.85546875" style="464" customWidth="1"/>
    <col min="5" max="6" width="12.7109375" style="464" customWidth="1"/>
    <col min="7" max="7" width="12.7109375" style="370" customWidth="1"/>
    <col min="8" max="8" width="11.85546875" style="370" customWidth="1"/>
    <col min="9" max="9" width="11.85546875" style="464" customWidth="1"/>
    <col min="10" max="10" width="13.140625" style="464" customWidth="1"/>
    <col min="11" max="11" width="13.140625" style="370" customWidth="1"/>
    <col min="12" max="15" width="13.140625" style="464" customWidth="1"/>
    <col min="16" max="16" width="13.140625" style="373" customWidth="1"/>
    <col min="17" max="17" width="13.140625" style="464" customWidth="1"/>
    <col min="18" max="29" width="13.140625" style="370" customWidth="1"/>
    <col min="30" max="37" width="13.140625" style="464" customWidth="1"/>
    <col min="38" max="41" width="13.28515625" style="464" customWidth="1"/>
    <col min="42" max="16384" width="8.140625" style="464"/>
  </cols>
  <sheetData>
    <row r="1" spans="1:41" s="511" customFormat="1" ht="36.75" customHeight="1">
      <c r="A1" s="511" t="s">
        <v>188</v>
      </c>
      <c r="N1" s="471"/>
      <c r="P1" s="422"/>
      <c r="Q1" s="471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</row>
    <row r="2" spans="1:41" ht="16.149999999999999" customHeight="1">
      <c r="B2" s="510"/>
      <c r="F2" s="510"/>
      <c r="J2" s="510"/>
      <c r="P2" s="487"/>
    </row>
    <row r="3" spans="1:41" s="498" customFormat="1" ht="30.75" customHeight="1">
      <c r="A3" s="665" t="s">
        <v>187</v>
      </c>
      <c r="B3" s="658" t="s">
        <v>165</v>
      </c>
      <c r="C3" s="658"/>
      <c r="D3" s="658"/>
      <c r="E3" s="658"/>
      <c r="F3" s="658" t="s">
        <v>161</v>
      </c>
      <c r="G3" s="658"/>
      <c r="H3" s="658"/>
      <c r="I3" s="658"/>
      <c r="J3" s="653" t="s">
        <v>164</v>
      </c>
      <c r="K3" s="653"/>
      <c r="L3" s="653"/>
      <c r="M3" s="653"/>
      <c r="N3" s="653" t="s">
        <v>159</v>
      </c>
      <c r="O3" s="653"/>
      <c r="P3" s="653"/>
      <c r="Q3" s="653"/>
      <c r="R3" s="653" t="s">
        <v>158</v>
      </c>
      <c r="S3" s="653"/>
      <c r="T3" s="653"/>
      <c r="U3" s="653"/>
      <c r="V3" s="653" t="s">
        <v>157</v>
      </c>
      <c r="W3" s="653"/>
      <c r="X3" s="653"/>
      <c r="Y3" s="653"/>
      <c r="Z3" s="653" t="s">
        <v>156</v>
      </c>
      <c r="AA3" s="653"/>
      <c r="AB3" s="653"/>
      <c r="AC3" s="653"/>
      <c r="AD3" s="653" t="s">
        <v>155</v>
      </c>
      <c r="AE3" s="653"/>
      <c r="AF3" s="653"/>
      <c r="AG3" s="653"/>
      <c r="AH3" s="653" t="s">
        <v>154</v>
      </c>
      <c r="AI3" s="653"/>
      <c r="AJ3" s="653"/>
      <c r="AK3" s="653"/>
      <c r="AL3" s="653" t="s">
        <v>197</v>
      </c>
      <c r="AM3" s="653"/>
      <c r="AN3" s="653"/>
      <c r="AO3" s="653"/>
    </row>
    <row r="4" spans="1:41" s="498" customFormat="1" ht="30.75" customHeight="1">
      <c r="A4" s="666"/>
      <c r="B4" s="508" t="s">
        <v>153</v>
      </c>
      <c r="C4" s="508" t="s">
        <v>152</v>
      </c>
      <c r="D4" s="508" t="s">
        <v>151</v>
      </c>
      <c r="E4" s="508" t="s">
        <v>150</v>
      </c>
      <c r="F4" s="508" t="s">
        <v>153</v>
      </c>
      <c r="G4" s="508" t="s">
        <v>152</v>
      </c>
      <c r="H4" s="508" t="s">
        <v>151</v>
      </c>
      <c r="I4" s="508" t="s">
        <v>150</v>
      </c>
      <c r="J4" s="508" t="s">
        <v>153</v>
      </c>
      <c r="K4" s="508" t="s">
        <v>152</v>
      </c>
      <c r="L4" s="508" t="s">
        <v>151</v>
      </c>
      <c r="M4" s="508" t="s">
        <v>150</v>
      </c>
      <c r="N4" s="509" t="s">
        <v>153</v>
      </c>
      <c r="O4" s="509" t="s">
        <v>152</v>
      </c>
      <c r="P4" s="509" t="s">
        <v>151</v>
      </c>
      <c r="Q4" s="508" t="s">
        <v>150</v>
      </c>
      <c r="R4" s="507" t="s">
        <v>153</v>
      </c>
      <c r="S4" s="507" t="s">
        <v>152</v>
      </c>
      <c r="T4" s="507" t="s">
        <v>151</v>
      </c>
      <c r="U4" s="507" t="s">
        <v>150</v>
      </c>
      <c r="V4" s="507" t="s">
        <v>153</v>
      </c>
      <c r="W4" s="507" t="s">
        <v>152</v>
      </c>
      <c r="X4" s="507" t="s">
        <v>151</v>
      </c>
      <c r="Y4" s="507" t="s">
        <v>150</v>
      </c>
      <c r="Z4" s="507" t="s">
        <v>153</v>
      </c>
      <c r="AA4" s="507" t="s">
        <v>152</v>
      </c>
      <c r="AB4" s="507" t="s">
        <v>151</v>
      </c>
      <c r="AC4" s="507" t="s">
        <v>150</v>
      </c>
      <c r="AD4" s="507" t="s">
        <v>153</v>
      </c>
      <c r="AE4" s="507" t="s">
        <v>152</v>
      </c>
      <c r="AF4" s="507" t="s">
        <v>151</v>
      </c>
      <c r="AG4" s="507" t="s">
        <v>150</v>
      </c>
      <c r="AH4" s="507" t="s">
        <v>153</v>
      </c>
      <c r="AI4" s="507" t="s">
        <v>152</v>
      </c>
      <c r="AJ4" s="507" t="s">
        <v>151</v>
      </c>
      <c r="AK4" s="507" t="s">
        <v>150</v>
      </c>
      <c r="AL4" s="507" t="s">
        <v>153</v>
      </c>
      <c r="AM4" s="507" t="s">
        <v>152</v>
      </c>
      <c r="AN4" s="507" t="s">
        <v>151</v>
      </c>
      <c r="AO4" s="507" t="s">
        <v>150</v>
      </c>
    </row>
    <row r="5" spans="1:41" s="392" customFormat="1" ht="18.75" customHeight="1">
      <c r="A5" s="654" t="s">
        <v>21</v>
      </c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N5" s="498"/>
      <c r="P5" s="408"/>
      <c r="Q5" s="498"/>
    </row>
    <row r="6" spans="1:41" s="498" customFormat="1" ht="26.25" customHeight="1">
      <c r="A6" s="474" t="s">
        <v>38</v>
      </c>
      <c r="B6" s="502">
        <v>1463504</v>
      </c>
      <c r="C6" s="502">
        <v>1497012</v>
      </c>
      <c r="D6" s="502" t="s">
        <v>149</v>
      </c>
      <c r="E6" s="502">
        <v>1554713</v>
      </c>
      <c r="F6" s="502">
        <v>1444247</v>
      </c>
      <c r="G6" s="502">
        <v>1502083</v>
      </c>
      <c r="H6" s="506">
        <v>1568700</v>
      </c>
      <c r="I6" s="506">
        <v>1596453</v>
      </c>
      <c r="J6" s="502">
        <v>1473724.65</v>
      </c>
      <c r="K6" s="502">
        <v>1558329.53</v>
      </c>
      <c r="L6" s="502">
        <v>1603167.91</v>
      </c>
      <c r="M6" s="502">
        <v>1616084</v>
      </c>
      <c r="N6" s="502">
        <v>1503381</v>
      </c>
      <c r="O6" s="502">
        <v>1501983</v>
      </c>
      <c r="P6" s="502">
        <v>1599586</v>
      </c>
      <c r="Q6" s="502">
        <v>1588286</v>
      </c>
      <c r="R6" s="502">
        <v>1349508</v>
      </c>
      <c r="S6" s="502">
        <v>1397341</v>
      </c>
      <c r="T6" s="502">
        <v>1405156.22</v>
      </c>
      <c r="U6" s="502">
        <v>1416408</v>
      </c>
      <c r="V6" s="502">
        <v>1362575.88</v>
      </c>
      <c r="W6" s="502">
        <v>1368352</v>
      </c>
      <c r="X6" s="502">
        <v>1366251.5</v>
      </c>
      <c r="Y6" s="502">
        <v>1389717</v>
      </c>
      <c r="Z6" s="502">
        <v>1280208.7</v>
      </c>
      <c r="AA6" s="502">
        <v>1281018</v>
      </c>
      <c r="AB6" s="502">
        <v>1332622</v>
      </c>
      <c r="AC6" s="502">
        <v>1315216</v>
      </c>
      <c r="AD6" s="502">
        <v>1244459</v>
      </c>
      <c r="AE6" s="502">
        <v>1264250</v>
      </c>
      <c r="AF6" s="502">
        <v>1361389</v>
      </c>
      <c r="AG6" s="502">
        <v>1306823</v>
      </c>
      <c r="AH6" s="502">
        <v>1236358</v>
      </c>
      <c r="AI6" s="502">
        <v>1252549</v>
      </c>
      <c r="AJ6" s="502">
        <v>1299811</v>
      </c>
      <c r="AK6" s="502">
        <v>1263081</v>
      </c>
      <c r="AL6" s="502">
        <v>1184151</v>
      </c>
      <c r="AM6" s="502">
        <v>1171095</v>
      </c>
      <c r="AN6" s="502">
        <v>1164344</v>
      </c>
      <c r="AO6" s="502">
        <v>1198717</v>
      </c>
    </row>
    <row r="7" spans="1:41" s="498" customFormat="1" ht="16.149999999999999" customHeight="1">
      <c r="A7" s="474"/>
      <c r="B7" s="505"/>
      <c r="C7" s="505"/>
      <c r="D7" s="505"/>
      <c r="E7" s="505"/>
      <c r="F7" s="505"/>
      <c r="G7" s="505"/>
      <c r="J7" s="505"/>
      <c r="K7" s="505"/>
      <c r="L7" s="505"/>
      <c r="N7" s="505"/>
      <c r="O7" s="505"/>
      <c r="P7" s="505"/>
      <c r="R7" s="505"/>
      <c r="S7" s="505"/>
      <c r="T7" s="505"/>
      <c r="U7" s="370"/>
      <c r="V7" s="505"/>
      <c r="W7" s="505"/>
      <c r="X7" s="505"/>
      <c r="Y7" s="370"/>
      <c r="Z7" s="505"/>
      <c r="AA7" s="505"/>
      <c r="AB7" s="505"/>
      <c r="AC7" s="370"/>
      <c r="AD7" s="505"/>
      <c r="AE7" s="505"/>
      <c r="AF7" s="505"/>
      <c r="AG7" s="370"/>
      <c r="AH7" s="505"/>
      <c r="AI7" s="505"/>
      <c r="AJ7" s="505"/>
      <c r="AK7" s="370"/>
      <c r="AL7" s="505"/>
      <c r="AM7" s="505"/>
      <c r="AN7" s="505"/>
      <c r="AO7" s="370"/>
    </row>
    <row r="8" spans="1:41" s="491" customFormat="1" ht="26.25" customHeight="1">
      <c r="A8" s="497" t="s">
        <v>186</v>
      </c>
      <c r="B8" s="493">
        <v>57859</v>
      </c>
      <c r="C8" s="493">
        <v>49688</v>
      </c>
      <c r="D8" s="493" t="s">
        <v>149</v>
      </c>
      <c r="E8" s="493">
        <v>15297</v>
      </c>
      <c r="F8" s="493">
        <v>39589</v>
      </c>
      <c r="G8" s="493">
        <v>35502</v>
      </c>
      <c r="H8" s="398">
        <v>6229</v>
      </c>
      <c r="I8" s="398">
        <v>6833</v>
      </c>
      <c r="J8" s="493">
        <v>22002.12</v>
      </c>
      <c r="K8" s="493">
        <v>30684.51</v>
      </c>
      <c r="L8" s="493">
        <v>4500.68</v>
      </c>
      <c r="M8" s="493">
        <v>1957</v>
      </c>
      <c r="N8" s="493">
        <v>55366</v>
      </c>
      <c r="O8" s="493">
        <v>51298</v>
      </c>
      <c r="P8" s="493">
        <v>9257</v>
      </c>
      <c r="Q8" s="493">
        <v>8568</v>
      </c>
      <c r="R8" s="493">
        <v>30430</v>
      </c>
      <c r="S8" s="493">
        <v>7114</v>
      </c>
      <c r="T8" s="493">
        <v>12729</v>
      </c>
      <c r="U8" s="504">
        <v>5282</v>
      </c>
      <c r="V8" s="493">
        <v>41519.410000000003</v>
      </c>
      <c r="W8" s="493">
        <v>23443.54</v>
      </c>
      <c r="X8" s="493">
        <v>5327.89</v>
      </c>
      <c r="Y8" s="504">
        <v>2055</v>
      </c>
      <c r="Z8" s="493">
        <v>28726</v>
      </c>
      <c r="AA8" s="493">
        <v>20773</v>
      </c>
      <c r="AB8" s="493">
        <v>1541</v>
      </c>
      <c r="AC8" s="503">
        <v>2019</v>
      </c>
      <c r="AD8" s="493">
        <v>36245</v>
      </c>
      <c r="AE8" s="493">
        <v>31608</v>
      </c>
      <c r="AF8" s="493">
        <v>1433</v>
      </c>
      <c r="AG8" s="503">
        <v>5849</v>
      </c>
      <c r="AH8" s="493">
        <v>19869</v>
      </c>
      <c r="AI8" s="493">
        <v>12423</v>
      </c>
      <c r="AJ8" s="493">
        <v>4090</v>
      </c>
      <c r="AK8" s="503">
        <v>8077</v>
      </c>
      <c r="AL8" s="493">
        <v>30317</v>
      </c>
      <c r="AM8" s="493">
        <v>19002</v>
      </c>
      <c r="AN8" s="493">
        <v>8908</v>
      </c>
      <c r="AO8" s="503">
        <v>9183</v>
      </c>
    </row>
    <row r="9" spans="1:41" s="491" customFormat="1" ht="26.25" customHeight="1">
      <c r="A9" s="495" t="s">
        <v>99</v>
      </c>
      <c r="B9" s="493">
        <v>18044</v>
      </c>
      <c r="C9" s="493">
        <v>8203</v>
      </c>
      <c r="D9" s="493" t="s">
        <v>149</v>
      </c>
      <c r="E9" s="493">
        <v>6010</v>
      </c>
      <c r="F9" s="493">
        <v>7902</v>
      </c>
      <c r="G9" s="493">
        <v>5202</v>
      </c>
      <c r="H9" s="398">
        <v>2949</v>
      </c>
      <c r="I9" s="398">
        <v>4503</v>
      </c>
      <c r="J9" s="493">
        <v>27230.34</v>
      </c>
      <c r="K9" s="493">
        <v>8825.19</v>
      </c>
      <c r="L9" s="493">
        <v>986.34</v>
      </c>
      <c r="M9" s="493">
        <v>15318</v>
      </c>
      <c r="N9" s="493">
        <v>15302</v>
      </c>
      <c r="O9" s="493">
        <v>17662</v>
      </c>
      <c r="P9" s="493">
        <v>9075</v>
      </c>
      <c r="Q9" s="493">
        <v>8939</v>
      </c>
      <c r="R9" s="493">
        <v>6938</v>
      </c>
      <c r="S9" s="493">
        <v>2488</v>
      </c>
      <c r="T9" s="493">
        <v>4963</v>
      </c>
      <c r="U9" s="504">
        <v>12882</v>
      </c>
      <c r="V9" s="493">
        <v>29633.77</v>
      </c>
      <c r="W9" s="493">
        <v>5873.79</v>
      </c>
      <c r="X9" s="493">
        <v>5228.24</v>
      </c>
      <c r="Y9" s="504">
        <v>247</v>
      </c>
      <c r="Z9" s="493">
        <v>5613</v>
      </c>
      <c r="AA9" s="493">
        <v>6012</v>
      </c>
      <c r="AB9" s="493">
        <v>1274</v>
      </c>
      <c r="AC9" s="503">
        <v>2530</v>
      </c>
      <c r="AD9" s="493">
        <v>10045</v>
      </c>
      <c r="AE9" s="493">
        <v>4630</v>
      </c>
      <c r="AF9" s="493">
        <v>3158</v>
      </c>
      <c r="AG9" s="503">
        <v>275</v>
      </c>
      <c r="AH9" s="493">
        <v>8595</v>
      </c>
      <c r="AI9" s="493">
        <v>4727</v>
      </c>
      <c r="AJ9" s="493">
        <v>14204</v>
      </c>
      <c r="AK9" s="503">
        <v>31287</v>
      </c>
      <c r="AL9" s="493">
        <v>8458</v>
      </c>
      <c r="AM9" s="493">
        <v>388</v>
      </c>
      <c r="AN9" s="493">
        <v>4980</v>
      </c>
      <c r="AO9" s="503">
        <v>5577</v>
      </c>
    </row>
    <row r="10" spans="1:41" s="491" customFormat="1" ht="26.25" customHeight="1">
      <c r="A10" s="496" t="s">
        <v>98</v>
      </c>
      <c r="B10" s="493">
        <v>75342</v>
      </c>
      <c r="C10" s="493">
        <v>66268</v>
      </c>
      <c r="D10" s="493" t="s">
        <v>149</v>
      </c>
      <c r="E10" s="493">
        <v>73864</v>
      </c>
      <c r="F10" s="493">
        <v>76540</v>
      </c>
      <c r="G10" s="493">
        <v>54387</v>
      </c>
      <c r="H10" s="398">
        <v>56016</v>
      </c>
      <c r="I10" s="398">
        <v>43152</v>
      </c>
      <c r="J10" s="493">
        <v>78718.53</v>
      </c>
      <c r="K10" s="493">
        <v>45147.8</v>
      </c>
      <c r="L10" s="493">
        <v>39946.65</v>
      </c>
      <c r="M10" s="493">
        <v>74110</v>
      </c>
      <c r="N10" s="493">
        <v>69699</v>
      </c>
      <c r="O10" s="493">
        <v>33891</v>
      </c>
      <c r="P10" s="493">
        <v>29399</v>
      </c>
      <c r="Q10" s="493">
        <v>54699</v>
      </c>
      <c r="R10" s="493">
        <v>87607</v>
      </c>
      <c r="S10" s="493">
        <v>37229</v>
      </c>
      <c r="T10" s="493">
        <v>32754</v>
      </c>
      <c r="U10" s="504">
        <v>31616</v>
      </c>
      <c r="V10" s="493">
        <v>49353.01</v>
      </c>
      <c r="W10" s="493">
        <v>32063</v>
      </c>
      <c r="X10" s="493">
        <v>41718.04</v>
      </c>
      <c r="Y10" s="504">
        <v>24655</v>
      </c>
      <c r="Z10" s="493">
        <v>35903</v>
      </c>
      <c r="AA10" s="493">
        <v>27744</v>
      </c>
      <c r="AB10" s="493">
        <v>19208</v>
      </c>
      <c r="AC10" s="503">
        <v>25745</v>
      </c>
      <c r="AD10" s="493">
        <v>42929</v>
      </c>
      <c r="AE10" s="493">
        <v>54940</v>
      </c>
      <c r="AF10" s="493">
        <v>41573</v>
      </c>
      <c r="AG10" s="503">
        <v>31201</v>
      </c>
      <c r="AH10" s="493">
        <v>40914</v>
      </c>
      <c r="AI10" s="493">
        <v>53738</v>
      </c>
      <c r="AJ10" s="493">
        <v>52331</v>
      </c>
      <c r="AK10" s="503">
        <v>48649</v>
      </c>
      <c r="AL10" s="493">
        <v>45124</v>
      </c>
      <c r="AM10" s="493">
        <v>46686</v>
      </c>
      <c r="AN10" s="493">
        <v>85610</v>
      </c>
      <c r="AO10" s="503">
        <v>53659</v>
      </c>
    </row>
    <row r="11" spans="1:41" s="491" customFormat="1" ht="26.25" customHeight="1">
      <c r="A11" s="495" t="s">
        <v>97</v>
      </c>
      <c r="B11" s="493">
        <v>161851</v>
      </c>
      <c r="C11" s="493">
        <v>122944</v>
      </c>
      <c r="D11" s="493" t="s">
        <v>149</v>
      </c>
      <c r="E11" s="493">
        <v>123268</v>
      </c>
      <c r="F11" s="493">
        <v>186816</v>
      </c>
      <c r="G11" s="493">
        <v>108063</v>
      </c>
      <c r="H11" s="398">
        <v>123582</v>
      </c>
      <c r="I11" s="398">
        <v>119451</v>
      </c>
      <c r="J11" s="493">
        <v>160667.60999999999</v>
      </c>
      <c r="K11" s="493">
        <v>128487.36</v>
      </c>
      <c r="L11" s="493">
        <v>138272.25</v>
      </c>
      <c r="M11" s="493">
        <v>141766</v>
      </c>
      <c r="N11" s="493">
        <v>138085</v>
      </c>
      <c r="O11" s="493">
        <v>105816</v>
      </c>
      <c r="P11" s="493">
        <v>117107</v>
      </c>
      <c r="Q11" s="493">
        <v>107476</v>
      </c>
      <c r="R11" s="493">
        <v>128110</v>
      </c>
      <c r="S11" s="493">
        <v>84873</v>
      </c>
      <c r="T11" s="493">
        <v>79898</v>
      </c>
      <c r="U11" s="504">
        <v>73199</v>
      </c>
      <c r="V11" s="493">
        <v>172330</v>
      </c>
      <c r="W11" s="493">
        <v>102201.33</v>
      </c>
      <c r="X11" s="493">
        <v>95275.520000000004</v>
      </c>
      <c r="Y11" s="504">
        <v>84456</v>
      </c>
      <c r="Z11" s="493">
        <v>81640</v>
      </c>
      <c r="AA11" s="493">
        <v>67871</v>
      </c>
      <c r="AB11" s="493">
        <v>73042</v>
      </c>
      <c r="AC11" s="503">
        <v>89109</v>
      </c>
      <c r="AD11" s="493">
        <v>134880</v>
      </c>
      <c r="AE11" s="493">
        <v>106873</v>
      </c>
      <c r="AF11" s="493">
        <v>71220</v>
      </c>
      <c r="AG11" s="503">
        <v>48466</v>
      </c>
      <c r="AH11" s="493">
        <v>105339</v>
      </c>
      <c r="AI11" s="493">
        <v>97401</v>
      </c>
      <c r="AJ11" s="493">
        <v>118269</v>
      </c>
      <c r="AK11" s="503">
        <v>88566</v>
      </c>
      <c r="AL11" s="493">
        <v>107197</v>
      </c>
      <c r="AM11" s="493">
        <v>122244</v>
      </c>
      <c r="AN11" s="493">
        <v>71948</v>
      </c>
      <c r="AO11" s="503">
        <v>90521</v>
      </c>
    </row>
    <row r="12" spans="1:41" s="491" customFormat="1" ht="26.25" customHeight="1">
      <c r="A12" s="495" t="s">
        <v>96</v>
      </c>
      <c r="B12" s="493">
        <v>171159</v>
      </c>
      <c r="C12" s="493">
        <v>90922</v>
      </c>
      <c r="D12" s="493" t="s">
        <v>149</v>
      </c>
      <c r="E12" s="493">
        <v>115250</v>
      </c>
      <c r="F12" s="493">
        <v>151642</v>
      </c>
      <c r="G12" s="493">
        <v>74515</v>
      </c>
      <c r="H12" s="398">
        <v>111492</v>
      </c>
      <c r="I12" s="398">
        <v>88550</v>
      </c>
      <c r="J12" s="493">
        <v>152293.79</v>
      </c>
      <c r="K12" s="493">
        <v>122238.53</v>
      </c>
      <c r="L12" s="493">
        <v>88703.92</v>
      </c>
      <c r="M12" s="493">
        <v>103447</v>
      </c>
      <c r="N12" s="493">
        <v>113525</v>
      </c>
      <c r="O12" s="493">
        <v>64819</v>
      </c>
      <c r="P12" s="493">
        <v>98128</v>
      </c>
      <c r="Q12" s="493">
        <v>122064</v>
      </c>
      <c r="R12" s="493">
        <v>137219</v>
      </c>
      <c r="S12" s="493">
        <v>88177</v>
      </c>
      <c r="T12" s="493">
        <v>117306</v>
      </c>
      <c r="U12" s="504">
        <v>125913</v>
      </c>
      <c r="V12" s="493">
        <v>124878.5</v>
      </c>
      <c r="W12" s="493">
        <v>115081.81</v>
      </c>
      <c r="X12" s="493">
        <v>108324.23</v>
      </c>
      <c r="Y12" s="504">
        <v>86132</v>
      </c>
      <c r="Z12" s="493">
        <v>104703</v>
      </c>
      <c r="AA12" s="493">
        <v>116561</v>
      </c>
      <c r="AB12" s="493">
        <v>141895</v>
      </c>
      <c r="AC12" s="503">
        <v>93980</v>
      </c>
      <c r="AD12" s="493">
        <v>96859</v>
      </c>
      <c r="AE12" s="493">
        <v>67936</v>
      </c>
      <c r="AF12" s="493">
        <v>115966</v>
      </c>
      <c r="AG12" s="503">
        <v>63174</v>
      </c>
      <c r="AH12" s="493">
        <v>88868</v>
      </c>
      <c r="AI12" s="493">
        <v>129834</v>
      </c>
      <c r="AJ12" s="493">
        <v>121433</v>
      </c>
      <c r="AK12" s="503">
        <v>108215</v>
      </c>
      <c r="AL12" s="493">
        <v>71752</v>
      </c>
      <c r="AM12" s="493">
        <v>73411</v>
      </c>
      <c r="AN12" s="493">
        <v>89647</v>
      </c>
      <c r="AO12" s="503">
        <v>140691</v>
      </c>
    </row>
    <row r="13" spans="1:41" s="491" customFormat="1" ht="26.25" customHeight="1">
      <c r="A13" s="495" t="s">
        <v>95</v>
      </c>
      <c r="B13" s="493">
        <v>152222</v>
      </c>
      <c r="C13" s="493">
        <v>148849</v>
      </c>
      <c r="D13" s="493" t="s">
        <v>149</v>
      </c>
      <c r="E13" s="493">
        <v>149497</v>
      </c>
      <c r="F13" s="493">
        <v>110817</v>
      </c>
      <c r="G13" s="493">
        <v>174789</v>
      </c>
      <c r="H13" s="398">
        <v>183949</v>
      </c>
      <c r="I13" s="398">
        <v>197695</v>
      </c>
      <c r="J13" s="493">
        <v>143021.01</v>
      </c>
      <c r="K13" s="493">
        <v>190896.07</v>
      </c>
      <c r="L13" s="493">
        <v>207588.67</v>
      </c>
      <c r="M13" s="493">
        <v>218281</v>
      </c>
      <c r="N13" s="493">
        <v>160695</v>
      </c>
      <c r="O13" s="493">
        <v>170225</v>
      </c>
      <c r="P13" s="493">
        <v>235464</v>
      </c>
      <c r="Q13" s="493">
        <v>234253</v>
      </c>
      <c r="R13" s="493">
        <v>185920</v>
      </c>
      <c r="S13" s="493">
        <v>201044</v>
      </c>
      <c r="T13" s="493">
        <v>270037</v>
      </c>
      <c r="U13" s="504">
        <v>207196</v>
      </c>
      <c r="V13" s="493">
        <v>158796</v>
      </c>
      <c r="W13" s="493">
        <v>185788</v>
      </c>
      <c r="X13" s="493">
        <v>176922.62</v>
      </c>
      <c r="Y13" s="504">
        <v>239109</v>
      </c>
      <c r="Z13" s="493">
        <v>213637</v>
      </c>
      <c r="AA13" s="493">
        <v>172002</v>
      </c>
      <c r="AB13" s="493">
        <v>188457</v>
      </c>
      <c r="AC13" s="503">
        <v>173588</v>
      </c>
      <c r="AD13" s="493">
        <v>134734</v>
      </c>
      <c r="AE13" s="493">
        <v>168725</v>
      </c>
      <c r="AF13" s="493">
        <v>200473</v>
      </c>
      <c r="AG13" s="503">
        <v>174361</v>
      </c>
      <c r="AH13" s="493">
        <v>181147</v>
      </c>
      <c r="AI13" s="493">
        <v>180068</v>
      </c>
      <c r="AJ13" s="493">
        <v>187213</v>
      </c>
      <c r="AK13" s="503">
        <v>170948</v>
      </c>
      <c r="AL13" s="493">
        <v>155320</v>
      </c>
      <c r="AM13" s="493">
        <v>133850</v>
      </c>
      <c r="AN13" s="493">
        <v>185993</v>
      </c>
      <c r="AO13" s="503">
        <v>183179</v>
      </c>
    </row>
    <row r="14" spans="1:41" s="491" customFormat="1" ht="26.25" customHeight="1">
      <c r="A14" s="495" t="s">
        <v>94</v>
      </c>
      <c r="B14" s="493">
        <v>524465</v>
      </c>
      <c r="C14" s="493">
        <v>704710</v>
      </c>
      <c r="D14" s="493" t="s">
        <v>149</v>
      </c>
      <c r="E14" s="493">
        <v>684265</v>
      </c>
      <c r="F14" s="493">
        <v>518904</v>
      </c>
      <c r="G14" s="493">
        <v>643640</v>
      </c>
      <c r="H14" s="398">
        <v>688640</v>
      </c>
      <c r="I14" s="398">
        <v>802754</v>
      </c>
      <c r="J14" s="493">
        <v>627257.48</v>
      </c>
      <c r="K14" s="493">
        <v>708862.45</v>
      </c>
      <c r="L14" s="493">
        <v>686919.43</v>
      </c>
      <c r="M14" s="493">
        <v>672191</v>
      </c>
      <c r="N14" s="493">
        <v>685769</v>
      </c>
      <c r="O14" s="493">
        <v>710247</v>
      </c>
      <c r="P14" s="493">
        <v>713056</v>
      </c>
      <c r="Q14" s="493">
        <v>732584</v>
      </c>
      <c r="R14" s="493">
        <v>556129</v>
      </c>
      <c r="S14" s="493">
        <v>725228</v>
      </c>
      <c r="T14" s="493">
        <v>594880</v>
      </c>
      <c r="U14" s="504">
        <v>633565</v>
      </c>
      <c r="V14" s="493">
        <v>508543.23</v>
      </c>
      <c r="W14" s="493">
        <v>609880.24</v>
      </c>
      <c r="X14" s="493">
        <v>675640.09</v>
      </c>
      <c r="Y14" s="504">
        <v>689713</v>
      </c>
      <c r="Z14" s="493">
        <v>608163</v>
      </c>
      <c r="AA14" s="493">
        <v>633097</v>
      </c>
      <c r="AB14" s="493">
        <v>657295</v>
      </c>
      <c r="AC14" s="503">
        <v>656748</v>
      </c>
      <c r="AD14" s="493">
        <v>532256</v>
      </c>
      <c r="AE14" s="493">
        <v>600712</v>
      </c>
      <c r="AF14" s="493">
        <v>696493</v>
      </c>
      <c r="AG14" s="503">
        <v>698203</v>
      </c>
      <c r="AH14" s="493">
        <v>574826</v>
      </c>
      <c r="AI14" s="493">
        <v>601685</v>
      </c>
      <c r="AJ14" s="493">
        <v>584498</v>
      </c>
      <c r="AK14" s="503">
        <v>629982</v>
      </c>
      <c r="AL14" s="493">
        <v>579512</v>
      </c>
      <c r="AM14" s="493">
        <v>555670</v>
      </c>
      <c r="AN14" s="493">
        <v>542246</v>
      </c>
      <c r="AO14" s="503">
        <v>551226</v>
      </c>
    </row>
    <row r="15" spans="1:41" s="491" customFormat="1" ht="26.25" customHeight="1">
      <c r="A15" s="494" t="s">
        <v>93</v>
      </c>
      <c r="B15" s="493">
        <v>302561</v>
      </c>
      <c r="C15" s="493">
        <v>305427</v>
      </c>
      <c r="D15" s="493" t="s">
        <v>149</v>
      </c>
      <c r="E15" s="493">
        <v>387262</v>
      </c>
      <c r="F15" s="493">
        <v>352037</v>
      </c>
      <c r="G15" s="493">
        <v>405985</v>
      </c>
      <c r="H15" s="398">
        <v>395843</v>
      </c>
      <c r="I15" s="398">
        <v>333514</v>
      </c>
      <c r="J15" s="493">
        <v>262533.78999999998</v>
      </c>
      <c r="K15" s="493">
        <v>323187.62</v>
      </c>
      <c r="L15" s="493">
        <v>436249.97</v>
      </c>
      <c r="M15" s="493">
        <v>389014</v>
      </c>
      <c r="N15" s="493">
        <v>264940</v>
      </c>
      <c r="O15" s="493">
        <v>348025</v>
      </c>
      <c r="P15" s="493">
        <v>388100</v>
      </c>
      <c r="Q15" s="493">
        <v>319703</v>
      </c>
      <c r="R15" s="493">
        <v>217155</v>
      </c>
      <c r="S15" s="493">
        <v>251188</v>
      </c>
      <c r="T15" s="493">
        <v>292589</v>
      </c>
      <c r="U15" s="504">
        <v>326755</v>
      </c>
      <c r="V15" s="493">
        <v>277522.12</v>
      </c>
      <c r="W15" s="493">
        <v>294019.71999999997</v>
      </c>
      <c r="X15" s="493">
        <v>257814.86</v>
      </c>
      <c r="Y15" s="504">
        <v>263350</v>
      </c>
      <c r="Z15" s="493">
        <v>201824</v>
      </c>
      <c r="AA15" s="493">
        <v>236958</v>
      </c>
      <c r="AB15" s="493">
        <v>249910</v>
      </c>
      <c r="AC15" s="503">
        <v>271497</v>
      </c>
      <c r="AD15" s="493">
        <v>256511</v>
      </c>
      <c r="AE15" s="493">
        <v>228826</v>
      </c>
      <c r="AF15" s="493">
        <v>231073</v>
      </c>
      <c r="AG15" s="503">
        <v>285294</v>
      </c>
      <c r="AH15" s="493">
        <v>216800</v>
      </c>
      <c r="AI15" s="493">
        <v>172673</v>
      </c>
      <c r="AJ15" s="493">
        <v>217773</v>
      </c>
      <c r="AK15" s="503">
        <v>177357</v>
      </c>
      <c r="AL15" s="493">
        <v>186471</v>
      </c>
      <c r="AM15" s="493">
        <v>219844</v>
      </c>
      <c r="AN15" s="493">
        <v>175012</v>
      </c>
      <c r="AO15" s="503">
        <v>164681</v>
      </c>
    </row>
    <row r="16" spans="1:41" s="392" customFormat="1" ht="23.25" customHeight="1">
      <c r="A16" s="655" t="s">
        <v>20</v>
      </c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498"/>
      <c r="N16" s="498"/>
      <c r="O16" s="498"/>
      <c r="P16" s="498"/>
      <c r="Q16" s="498"/>
      <c r="R16" s="498"/>
      <c r="S16" s="498"/>
      <c r="T16" s="498"/>
      <c r="U16" s="370"/>
      <c r="V16" s="498"/>
      <c r="W16" s="498"/>
      <c r="X16" s="498"/>
      <c r="Y16" s="370"/>
      <c r="Z16" s="498"/>
      <c r="AA16" s="498"/>
      <c r="AB16" s="498"/>
      <c r="AC16" s="370"/>
      <c r="AD16" s="491"/>
      <c r="AE16" s="491"/>
      <c r="AF16" s="491"/>
      <c r="AG16" s="491"/>
      <c r="AH16" s="491"/>
      <c r="AI16" s="491"/>
      <c r="AJ16" s="491"/>
      <c r="AK16" s="491"/>
    </row>
    <row r="17" spans="1:41" s="498" customFormat="1" ht="26.25" customHeight="1">
      <c r="A17" s="474" t="s">
        <v>38</v>
      </c>
      <c r="B17" s="501">
        <v>100</v>
      </c>
      <c r="C17" s="501">
        <v>100</v>
      </c>
      <c r="D17" s="502" t="s">
        <v>149</v>
      </c>
      <c r="E17" s="501">
        <v>100</v>
      </c>
      <c r="F17" s="501">
        <v>100</v>
      </c>
      <c r="G17" s="501">
        <v>100</v>
      </c>
      <c r="H17" s="501">
        <v>100</v>
      </c>
      <c r="I17" s="501">
        <v>100</v>
      </c>
      <c r="J17" s="501">
        <v>100</v>
      </c>
      <c r="K17" s="501">
        <v>100</v>
      </c>
      <c r="L17" s="501">
        <v>100</v>
      </c>
      <c r="M17" s="501">
        <v>100</v>
      </c>
      <c r="N17" s="501">
        <v>100</v>
      </c>
      <c r="O17" s="501">
        <v>100</v>
      </c>
      <c r="P17" s="501">
        <v>100</v>
      </c>
      <c r="Q17" s="501">
        <v>100</v>
      </c>
      <c r="R17" s="501">
        <v>100</v>
      </c>
      <c r="S17" s="501">
        <v>100</v>
      </c>
      <c r="T17" s="501">
        <v>100</v>
      </c>
      <c r="U17" s="501">
        <v>100</v>
      </c>
      <c r="V17" s="501">
        <v>100</v>
      </c>
      <c r="W17" s="501">
        <v>100</v>
      </c>
      <c r="X17" s="501">
        <v>100</v>
      </c>
      <c r="Y17" s="501">
        <v>100</v>
      </c>
      <c r="Z17" s="501">
        <v>100</v>
      </c>
      <c r="AA17" s="501">
        <v>100</v>
      </c>
      <c r="AB17" s="501">
        <v>100</v>
      </c>
      <c r="AC17" s="501">
        <v>100</v>
      </c>
      <c r="AD17" s="501">
        <v>100</v>
      </c>
      <c r="AE17" s="501">
        <v>100</v>
      </c>
      <c r="AF17" s="501">
        <v>100</v>
      </c>
      <c r="AG17" s="501">
        <v>100</v>
      </c>
      <c r="AH17" s="501">
        <v>100</v>
      </c>
      <c r="AI17" s="501">
        <v>100</v>
      </c>
      <c r="AJ17" s="501">
        <v>100</v>
      </c>
      <c r="AK17" s="501">
        <v>100</v>
      </c>
      <c r="AL17" s="501">
        <v>100</v>
      </c>
      <c r="AM17" s="501">
        <v>100</v>
      </c>
      <c r="AN17" s="501">
        <v>100</v>
      </c>
      <c r="AO17" s="501">
        <v>100</v>
      </c>
    </row>
    <row r="18" spans="1:41" s="498" customFormat="1" ht="6" customHeight="1">
      <c r="A18" s="474"/>
      <c r="B18" s="501"/>
      <c r="C18" s="501"/>
      <c r="D18" s="502"/>
      <c r="E18" s="501"/>
      <c r="F18" s="500"/>
      <c r="G18" s="392"/>
      <c r="H18" s="392"/>
      <c r="I18" s="392"/>
      <c r="J18" s="500"/>
      <c r="K18" s="392"/>
      <c r="L18" s="392"/>
      <c r="M18" s="392"/>
      <c r="N18" s="499"/>
      <c r="O18" s="499"/>
      <c r="P18" s="499"/>
      <c r="Q18" s="392"/>
      <c r="R18" s="499"/>
      <c r="S18" s="499"/>
      <c r="T18" s="499"/>
      <c r="U18" s="499"/>
      <c r="V18" s="499"/>
      <c r="W18" s="499"/>
      <c r="X18" s="499"/>
      <c r="Y18" s="499"/>
      <c r="Z18" s="499"/>
      <c r="AA18" s="499"/>
      <c r="AB18" s="499"/>
      <c r="AC18" s="499"/>
      <c r="AD18" s="499"/>
      <c r="AE18" s="499"/>
      <c r="AF18" s="499"/>
      <c r="AG18" s="499"/>
      <c r="AH18" s="499"/>
      <c r="AI18" s="499"/>
      <c r="AJ18" s="499"/>
      <c r="AK18" s="499"/>
      <c r="AL18" s="499"/>
      <c r="AM18" s="499"/>
      <c r="AN18" s="499"/>
      <c r="AO18" s="499"/>
    </row>
    <row r="19" spans="1:41" s="491" customFormat="1" ht="26.25" customHeight="1">
      <c r="A19" s="497" t="s">
        <v>185</v>
      </c>
      <c r="B19" s="492">
        <f t="shared" ref="B19:B26" si="0">B8*100/$B$6</f>
        <v>3.9534569088980964</v>
      </c>
      <c r="C19" s="492">
        <f>C8*100/$C$6</f>
        <v>3.3191450703133976</v>
      </c>
      <c r="D19" s="493" t="s">
        <v>149</v>
      </c>
      <c r="E19" s="492">
        <f t="shared" ref="E19:E26" si="1">E8*100/$E$6</f>
        <v>0.98391150006464212</v>
      </c>
      <c r="F19" s="492">
        <f t="shared" ref="F19:AK19" si="2">SUM(F8*100/F6)</f>
        <v>2.7411516174172426</v>
      </c>
      <c r="G19" s="492">
        <f t="shared" si="2"/>
        <v>2.3635178615296226</v>
      </c>
      <c r="H19" s="492">
        <f t="shared" si="2"/>
        <v>0.39708038503219228</v>
      </c>
      <c r="I19" s="492">
        <f t="shared" si="2"/>
        <v>0.42801134765633564</v>
      </c>
      <c r="J19" s="492">
        <f t="shared" si="2"/>
        <v>1.4929600315771336</v>
      </c>
      <c r="K19" s="492">
        <f t="shared" si="2"/>
        <v>1.9690642710210335</v>
      </c>
      <c r="L19" s="492">
        <f t="shared" si="2"/>
        <v>0.28073665721016089</v>
      </c>
      <c r="M19" s="492">
        <f t="shared" si="2"/>
        <v>0.1210951905965284</v>
      </c>
      <c r="N19" s="492">
        <f t="shared" si="2"/>
        <v>3.6827657127501281</v>
      </c>
      <c r="O19" s="492">
        <f t="shared" si="2"/>
        <v>3.41535157188863</v>
      </c>
      <c r="P19" s="492">
        <f t="shared" si="2"/>
        <v>0.57871224179256386</v>
      </c>
      <c r="Q19" s="492">
        <f t="shared" si="2"/>
        <v>0.53944944424366892</v>
      </c>
      <c r="R19" s="492">
        <f t="shared" si="2"/>
        <v>2.2548958583424477</v>
      </c>
      <c r="S19" s="492">
        <f t="shared" si="2"/>
        <v>0.50910980211702084</v>
      </c>
      <c r="T19" s="492">
        <f t="shared" si="2"/>
        <v>0.90587792437768955</v>
      </c>
      <c r="U19" s="492">
        <f t="shared" si="2"/>
        <v>0.37291514874245274</v>
      </c>
      <c r="V19" s="492">
        <f t="shared" si="2"/>
        <v>3.0471264470056529</v>
      </c>
      <c r="W19" s="492">
        <f t="shared" si="2"/>
        <v>1.7132682233811183</v>
      </c>
      <c r="X19" s="492">
        <f t="shared" si="2"/>
        <v>0.38996407323249049</v>
      </c>
      <c r="Y19" s="492">
        <f t="shared" si="2"/>
        <v>0.14787183289835268</v>
      </c>
      <c r="Z19" s="492">
        <f t="shared" si="2"/>
        <v>2.2438528967972178</v>
      </c>
      <c r="AA19" s="492">
        <f t="shared" si="2"/>
        <v>1.6216009454980336</v>
      </c>
      <c r="AB19" s="492">
        <f t="shared" si="2"/>
        <v>0.11563669217527552</v>
      </c>
      <c r="AC19" s="492">
        <f t="shared" si="2"/>
        <v>0.15351090619335531</v>
      </c>
      <c r="AD19" s="492">
        <f t="shared" si="2"/>
        <v>2.9125105768852166</v>
      </c>
      <c r="AE19" s="492">
        <f t="shared" si="2"/>
        <v>2.5001384219893219</v>
      </c>
      <c r="AF19" s="492">
        <f t="shared" si="2"/>
        <v>0.10526014239868252</v>
      </c>
      <c r="AG19" s="492">
        <f t="shared" si="2"/>
        <v>0.44757400198802744</v>
      </c>
      <c r="AH19" s="492">
        <f t="shared" si="2"/>
        <v>1.6070587968856918</v>
      </c>
      <c r="AI19" s="492">
        <f t="shared" si="2"/>
        <v>0.99181748578299134</v>
      </c>
      <c r="AJ19" s="492">
        <f t="shared" si="2"/>
        <v>0.31466113150296465</v>
      </c>
      <c r="AK19" s="492">
        <f t="shared" si="2"/>
        <v>0.63946809428690643</v>
      </c>
      <c r="AL19" s="492">
        <f t="shared" ref="AL19:AO19" si="3">SUM(AL8*100/AL6)</f>
        <v>2.5602309164962915</v>
      </c>
      <c r="AM19" s="492">
        <f t="shared" si="3"/>
        <v>1.622583991905012</v>
      </c>
      <c r="AN19" s="492">
        <f t="shared" si="3"/>
        <v>0.76506599424225141</v>
      </c>
      <c r="AO19" s="492">
        <f t="shared" si="3"/>
        <v>0.76606905549850379</v>
      </c>
    </row>
    <row r="20" spans="1:41" s="491" customFormat="1" ht="26.25" customHeight="1">
      <c r="A20" s="495" t="s">
        <v>99</v>
      </c>
      <c r="B20" s="492">
        <f t="shared" si="0"/>
        <v>1.2329313756573266</v>
      </c>
      <c r="C20" s="492">
        <v>0.6</v>
      </c>
      <c r="D20" s="493" t="s">
        <v>149</v>
      </c>
      <c r="E20" s="492">
        <f t="shared" si="1"/>
        <v>0.38656652385359869</v>
      </c>
      <c r="F20" s="492">
        <v>0.6</v>
      </c>
      <c r="G20" s="492">
        <v>0.4</v>
      </c>
      <c r="H20" s="492">
        <f t="shared" ref="H20:AK20" si="4">SUM(H9*100/H6)</f>
        <v>0.18799005545993497</v>
      </c>
      <c r="I20" s="492">
        <f t="shared" si="4"/>
        <v>0.2820627979652392</v>
      </c>
      <c r="J20" s="492">
        <f t="shared" si="4"/>
        <v>1.8477223679470924</v>
      </c>
      <c r="K20" s="492">
        <f t="shared" si="4"/>
        <v>0.56632373513450651</v>
      </c>
      <c r="L20" s="492">
        <f t="shared" si="4"/>
        <v>6.1524435079292478E-2</v>
      </c>
      <c r="M20" s="492">
        <f t="shared" si="4"/>
        <v>0.94784677034114562</v>
      </c>
      <c r="N20" s="492">
        <f t="shared" si="4"/>
        <v>1.0178391239479547</v>
      </c>
      <c r="O20" s="492">
        <f t="shared" si="4"/>
        <v>1.1759121108561148</v>
      </c>
      <c r="P20" s="492">
        <f t="shared" si="4"/>
        <v>0.56733429774954269</v>
      </c>
      <c r="Q20" s="492">
        <f t="shared" si="4"/>
        <v>0.56280795776075598</v>
      </c>
      <c r="R20" s="492">
        <f t="shared" si="4"/>
        <v>0.51411329165888608</v>
      </c>
      <c r="S20" s="492">
        <f t="shared" si="4"/>
        <v>0.17805245820454707</v>
      </c>
      <c r="T20" s="492">
        <f t="shared" si="4"/>
        <v>0.35319916243903471</v>
      </c>
      <c r="U20" s="492">
        <f t="shared" si="4"/>
        <v>0.90948370808411139</v>
      </c>
      <c r="V20" s="492">
        <f t="shared" si="4"/>
        <v>2.1748344760073106</v>
      </c>
      <c r="W20" s="492">
        <f t="shared" si="4"/>
        <v>0.42926016112813076</v>
      </c>
      <c r="X20" s="492">
        <f t="shared" si="4"/>
        <v>0.38267039414046389</v>
      </c>
      <c r="Y20" s="492">
        <f t="shared" si="4"/>
        <v>1.7773402786322685E-2</v>
      </c>
      <c r="Z20" s="492">
        <f t="shared" si="4"/>
        <v>0.43844413805342836</v>
      </c>
      <c r="AA20" s="492">
        <f t="shared" si="4"/>
        <v>0.46931424851173054</v>
      </c>
      <c r="AB20" s="492">
        <f t="shared" si="4"/>
        <v>9.5601003135172613E-2</v>
      </c>
      <c r="AC20" s="492">
        <f t="shared" si="4"/>
        <v>0.19236383985596281</v>
      </c>
      <c r="AD20" s="492">
        <f t="shared" si="4"/>
        <v>0.80717805889948968</v>
      </c>
      <c r="AE20" s="492">
        <f t="shared" si="4"/>
        <v>0.36622503460549732</v>
      </c>
      <c r="AF20" s="492">
        <f t="shared" si="4"/>
        <v>0.2319689669888621</v>
      </c>
      <c r="AG20" s="492">
        <f t="shared" si="4"/>
        <v>2.1043400674766208E-2</v>
      </c>
      <c r="AH20" s="492">
        <f t="shared" si="4"/>
        <v>0.69518699276423168</v>
      </c>
      <c r="AI20" s="492">
        <f t="shared" si="4"/>
        <v>0.37739042544443369</v>
      </c>
      <c r="AJ20" s="492">
        <f t="shared" si="4"/>
        <v>1.0927742571804671</v>
      </c>
      <c r="AK20" s="492">
        <f t="shared" si="4"/>
        <v>2.4770382897058858</v>
      </c>
      <c r="AL20" s="492">
        <f t="shared" ref="AL20:AO20" si="5">SUM(AL9*100/AL6)</f>
        <v>0.71426701493306177</v>
      </c>
      <c r="AM20" s="492">
        <f t="shared" si="5"/>
        <v>3.3131385583577762E-2</v>
      </c>
      <c r="AN20" s="492">
        <f t="shared" si="5"/>
        <v>0.4277086496774149</v>
      </c>
      <c r="AO20" s="492">
        <f t="shared" si="5"/>
        <v>0.4652474270407444</v>
      </c>
    </row>
    <row r="21" spans="1:41" s="491" customFormat="1" ht="26.25" customHeight="1">
      <c r="A21" s="496" t="s">
        <v>98</v>
      </c>
      <c r="B21" s="492">
        <f t="shared" si="0"/>
        <v>5.148055625403142</v>
      </c>
      <c r="C21" s="492">
        <f t="shared" ref="C21:C26" si="6">C10*100/$C$6</f>
        <v>4.4266846224345562</v>
      </c>
      <c r="D21" s="493" t="s">
        <v>149</v>
      </c>
      <c r="E21" s="492">
        <f t="shared" si="1"/>
        <v>4.7509733307690869</v>
      </c>
      <c r="F21" s="492">
        <f t="shared" ref="F21:AK21" si="7">SUM(F10*100/F6)</f>
        <v>5.2996474979695298</v>
      </c>
      <c r="G21" s="492">
        <f t="shared" si="7"/>
        <v>3.6207719546789359</v>
      </c>
      <c r="H21" s="492">
        <f t="shared" si="7"/>
        <v>3.5708548479632816</v>
      </c>
      <c r="I21" s="492">
        <f t="shared" si="7"/>
        <v>2.7029921958241174</v>
      </c>
      <c r="J21" s="492">
        <f t="shared" si="7"/>
        <v>5.3414679601104593</v>
      </c>
      <c r="K21" s="492">
        <f t="shared" si="7"/>
        <v>2.897192097745847</v>
      </c>
      <c r="L21" s="492">
        <f t="shared" si="7"/>
        <v>2.49173213553158</v>
      </c>
      <c r="M21" s="492">
        <f t="shared" si="7"/>
        <v>4.585776481915544</v>
      </c>
      <c r="N21" s="492">
        <f t="shared" si="7"/>
        <v>4.636150117634851</v>
      </c>
      <c r="O21" s="492">
        <f t="shared" si="7"/>
        <v>2.2564170167039173</v>
      </c>
      <c r="P21" s="492">
        <f t="shared" si="7"/>
        <v>1.8379130600042761</v>
      </c>
      <c r="Q21" s="492">
        <f t="shared" si="7"/>
        <v>3.4439011613777368</v>
      </c>
      <c r="R21" s="492">
        <f t="shared" si="7"/>
        <v>6.4917732981205001</v>
      </c>
      <c r="S21" s="492">
        <f t="shared" si="7"/>
        <v>2.6642745042190845</v>
      </c>
      <c r="T21" s="492">
        <f t="shared" si="7"/>
        <v>2.3309863724618465</v>
      </c>
      <c r="U21" s="492">
        <f t="shared" si="7"/>
        <v>2.2321252068613</v>
      </c>
      <c r="V21" s="492">
        <f t="shared" si="7"/>
        <v>3.6220375484703284</v>
      </c>
      <c r="W21" s="492">
        <f t="shared" si="7"/>
        <v>2.3431836252660134</v>
      </c>
      <c r="X21" s="492">
        <f t="shared" si="7"/>
        <v>3.0534670959190162</v>
      </c>
      <c r="Y21" s="492">
        <f t="shared" si="7"/>
        <v>1.7741022092987278</v>
      </c>
      <c r="Z21" s="492">
        <f t="shared" si="7"/>
        <v>2.8044646158083446</v>
      </c>
      <c r="AA21" s="492">
        <f t="shared" si="7"/>
        <v>2.1657775300581257</v>
      </c>
      <c r="AB21" s="492">
        <f t="shared" si="7"/>
        <v>1.4413689703456793</v>
      </c>
      <c r="AC21" s="492">
        <f t="shared" si="7"/>
        <v>1.9574731450955585</v>
      </c>
      <c r="AD21" s="492">
        <f t="shared" si="7"/>
        <v>3.4496114375805069</v>
      </c>
      <c r="AE21" s="492">
        <f t="shared" si="7"/>
        <v>4.3456594819062682</v>
      </c>
      <c r="AF21" s="492">
        <f t="shared" si="7"/>
        <v>3.0537193998188616</v>
      </c>
      <c r="AG21" s="492">
        <f t="shared" si="7"/>
        <v>2.3875459798304743</v>
      </c>
      <c r="AH21" s="492">
        <f t="shared" si="7"/>
        <v>3.309235674456751</v>
      </c>
      <c r="AI21" s="492">
        <f t="shared" si="7"/>
        <v>4.290291238107252</v>
      </c>
      <c r="AJ21" s="492">
        <f t="shared" si="7"/>
        <v>4.0260468637363429</v>
      </c>
      <c r="AK21" s="492">
        <f t="shared" si="7"/>
        <v>3.8516136336466147</v>
      </c>
      <c r="AL21" s="492">
        <f t="shared" ref="AL21:AO21" si="8">SUM(AL10*100/AL6)</f>
        <v>3.8106626604208418</v>
      </c>
      <c r="AM21" s="492">
        <f t="shared" si="8"/>
        <v>3.9865254313270913</v>
      </c>
      <c r="AN21" s="492">
        <f t="shared" si="8"/>
        <v>7.3526380519846368</v>
      </c>
      <c r="AO21" s="492">
        <f t="shared" si="8"/>
        <v>4.4763693181960376</v>
      </c>
    </row>
    <row r="22" spans="1:41" s="491" customFormat="1" ht="26.25" customHeight="1">
      <c r="A22" s="495" t="s">
        <v>97</v>
      </c>
      <c r="B22" s="492">
        <f t="shared" si="0"/>
        <v>11.059142988334846</v>
      </c>
      <c r="C22" s="492">
        <f t="shared" si="6"/>
        <v>8.2126262180931082</v>
      </c>
      <c r="D22" s="493" t="s">
        <v>149</v>
      </c>
      <c r="E22" s="492">
        <f t="shared" si="1"/>
        <v>7.9286659338411658</v>
      </c>
      <c r="F22" s="492">
        <f t="shared" ref="F22:AK22" si="9">SUM(F11*100/F6)</f>
        <v>12.935183524701799</v>
      </c>
      <c r="G22" s="492">
        <f t="shared" si="9"/>
        <v>7.1942096408787002</v>
      </c>
      <c r="H22" s="492">
        <f t="shared" si="9"/>
        <v>7.877988143048384</v>
      </c>
      <c r="I22" s="492">
        <f t="shared" si="9"/>
        <v>7.4822747678760351</v>
      </c>
      <c r="J22" s="492">
        <f t="shared" si="9"/>
        <v>10.902145797724154</v>
      </c>
      <c r="K22" s="492">
        <f t="shared" si="9"/>
        <v>8.2451983053930835</v>
      </c>
      <c r="L22" s="492">
        <f t="shared" si="9"/>
        <v>8.6249387314645052</v>
      </c>
      <c r="M22" s="492">
        <f t="shared" si="9"/>
        <v>8.7721925345464715</v>
      </c>
      <c r="N22" s="492">
        <f t="shared" si="9"/>
        <v>9.1849637583553339</v>
      </c>
      <c r="O22" s="492">
        <f t="shared" si="9"/>
        <v>7.0450863957847725</v>
      </c>
      <c r="P22" s="492">
        <f t="shared" si="9"/>
        <v>7.321081829923493</v>
      </c>
      <c r="Q22" s="492">
        <f t="shared" si="9"/>
        <v>6.7667913713273302</v>
      </c>
      <c r="R22" s="492">
        <f t="shared" si="9"/>
        <v>9.4930893332977639</v>
      </c>
      <c r="S22" s="492">
        <f t="shared" si="9"/>
        <v>6.0738932014447435</v>
      </c>
      <c r="T22" s="492">
        <f t="shared" si="9"/>
        <v>5.6860581665432193</v>
      </c>
      <c r="U22" s="492">
        <f t="shared" si="9"/>
        <v>5.167931838848693</v>
      </c>
      <c r="V22" s="492">
        <f t="shared" si="9"/>
        <v>12.647369040467678</v>
      </c>
      <c r="W22" s="492">
        <f t="shared" si="9"/>
        <v>7.4689356247515262</v>
      </c>
      <c r="X22" s="492">
        <f t="shared" si="9"/>
        <v>6.9734979247964226</v>
      </c>
      <c r="Y22" s="492">
        <f t="shared" si="9"/>
        <v>6.0772085251889409</v>
      </c>
      <c r="Z22" s="492">
        <f t="shared" si="9"/>
        <v>6.3770852361806325</v>
      </c>
      <c r="AA22" s="492">
        <f t="shared" si="9"/>
        <v>5.2982081438356055</v>
      </c>
      <c r="AB22" s="492">
        <f t="shared" si="9"/>
        <v>5.4810741530606579</v>
      </c>
      <c r="AC22" s="492">
        <f t="shared" si="9"/>
        <v>6.7752369192588899</v>
      </c>
      <c r="AD22" s="492">
        <f t="shared" si="9"/>
        <v>10.838444657477668</v>
      </c>
      <c r="AE22" s="492">
        <f t="shared" si="9"/>
        <v>8.4534704370179945</v>
      </c>
      <c r="AF22" s="492">
        <f t="shared" si="9"/>
        <v>5.2314217317754146</v>
      </c>
      <c r="AG22" s="492">
        <f t="shared" si="9"/>
        <v>3.7086889349207963</v>
      </c>
      <c r="AH22" s="492">
        <f t="shared" si="9"/>
        <v>8.5201050181258182</v>
      </c>
      <c r="AI22" s="492">
        <f t="shared" si="9"/>
        <v>7.7762227266158845</v>
      </c>
      <c r="AJ22" s="492">
        <f t="shared" si="9"/>
        <v>9.0989382302503987</v>
      </c>
      <c r="AK22" s="492">
        <f t="shared" si="9"/>
        <v>7.0119018495250902</v>
      </c>
      <c r="AL22" s="492">
        <f t="shared" ref="AL22:AO22" si="10">SUM(AL11*100/AL6)</f>
        <v>9.0526461574579589</v>
      </c>
      <c r="AM22" s="492">
        <f t="shared" si="10"/>
        <v>10.438435822883712</v>
      </c>
      <c r="AN22" s="492">
        <f t="shared" si="10"/>
        <v>6.1792734793153912</v>
      </c>
      <c r="AO22" s="492">
        <f t="shared" si="10"/>
        <v>7.551490468559301</v>
      </c>
    </row>
    <row r="23" spans="1:41" s="491" customFormat="1" ht="26.25" customHeight="1">
      <c r="A23" s="495" t="s">
        <v>96</v>
      </c>
      <c r="B23" s="492">
        <f t="shared" si="0"/>
        <v>11.695150816123496</v>
      </c>
      <c r="C23" s="492">
        <f t="shared" si="6"/>
        <v>6.0735652085621226</v>
      </c>
      <c r="D23" s="493" t="s">
        <v>149</v>
      </c>
      <c r="E23" s="492">
        <f t="shared" si="1"/>
        <v>7.4129437394554492</v>
      </c>
      <c r="F23" s="492">
        <f t="shared" ref="F23:AH23" si="11">SUM(F12*100/F6)</f>
        <v>10.499727539679848</v>
      </c>
      <c r="G23" s="492">
        <f t="shared" si="11"/>
        <v>4.9607777998952125</v>
      </c>
      <c r="H23" s="492">
        <f t="shared" si="11"/>
        <v>7.1072862880091794</v>
      </c>
      <c r="I23" s="492">
        <f t="shared" si="11"/>
        <v>5.5466712768869488</v>
      </c>
      <c r="J23" s="492">
        <f t="shared" si="11"/>
        <v>10.333937889957939</v>
      </c>
      <c r="K23" s="492">
        <f t="shared" si="11"/>
        <v>7.8442028882042685</v>
      </c>
      <c r="L23" s="492">
        <f t="shared" si="11"/>
        <v>5.5330398922468458</v>
      </c>
      <c r="M23" s="492">
        <f t="shared" si="11"/>
        <v>6.4010905373730571</v>
      </c>
      <c r="N23" s="492">
        <f t="shared" si="11"/>
        <v>7.5513126745648638</v>
      </c>
      <c r="O23" s="492">
        <f t="shared" si="11"/>
        <v>4.3155614943711083</v>
      </c>
      <c r="P23" s="492">
        <f t="shared" si="11"/>
        <v>6.1345873244702069</v>
      </c>
      <c r="Q23" s="492">
        <f t="shared" si="11"/>
        <v>7.6852657518859955</v>
      </c>
      <c r="R23" s="492">
        <f t="shared" si="11"/>
        <v>10.16807606920448</v>
      </c>
      <c r="S23" s="492">
        <f t="shared" si="11"/>
        <v>6.3103422858128404</v>
      </c>
      <c r="T23" s="492">
        <f t="shared" si="11"/>
        <v>8.3482532639680453</v>
      </c>
      <c r="U23" s="492">
        <f t="shared" si="11"/>
        <v>8.8895996068929293</v>
      </c>
      <c r="V23" s="492">
        <f t="shared" si="11"/>
        <v>9.1648840870425516</v>
      </c>
      <c r="W23" s="492">
        <f t="shared" si="11"/>
        <v>8.4102489710250001</v>
      </c>
      <c r="X23" s="492">
        <f t="shared" si="11"/>
        <v>7.9285717161152247</v>
      </c>
      <c r="Y23" s="492">
        <f t="shared" si="11"/>
        <v>6.197808618589252</v>
      </c>
      <c r="Z23" s="492">
        <f t="shared" si="11"/>
        <v>8.1785883817224487</v>
      </c>
      <c r="AA23" s="492">
        <f t="shared" si="11"/>
        <v>9.0990915037883937</v>
      </c>
      <c r="AB23" s="492">
        <f t="shared" si="11"/>
        <v>10.647805604289889</v>
      </c>
      <c r="AC23" s="492">
        <f t="shared" si="11"/>
        <v>7.1455943358353302</v>
      </c>
      <c r="AD23" s="492">
        <f t="shared" si="11"/>
        <v>7.7832214641060897</v>
      </c>
      <c r="AE23" s="492">
        <f t="shared" si="11"/>
        <v>5.3736207237492586</v>
      </c>
      <c r="AF23" s="492">
        <f t="shared" si="11"/>
        <v>8.5182119144491395</v>
      </c>
      <c r="AG23" s="492">
        <f t="shared" si="11"/>
        <v>4.8341665244642922</v>
      </c>
      <c r="AH23" s="492">
        <f t="shared" si="11"/>
        <v>7.1878857094789694</v>
      </c>
      <c r="AI23" s="492">
        <f>SUM(AI12*100/AI6)-0.02</f>
        <v>10.345582504157523</v>
      </c>
      <c r="AJ23" s="492">
        <f>SUM(AJ12*100/AJ6)</f>
        <v>9.3423582351588035</v>
      </c>
      <c r="AK23" s="492">
        <f>SUM(AK12*100/AK6)</f>
        <v>8.5675423824758674</v>
      </c>
      <c r="AL23" s="492">
        <f t="shared" ref="AL23:AO23" si="12">SUM(AL12*100/AL6)</f>
        <v>6.0593623617258272</v>
      </c>
      <c r="AM23" s="492">
        <f t="shared" si="12"/>
        <v>6.2685776986495547</v>
      </c>
      <c r="AN23" s="492">
        <f t="shared" si="12"/>
        <v>7.6993568910906056</v>
      </c>
      <c r="AO23" s="492">
        <f t="shared" si="12"/>
        <v>11.736798593829903</v>
      </c>
    </row>
    <row r="24" spans="1:41" s="491" customFormat="1" ht="26.25" customHeight="1">
      <c r="A24" s="495" t="s">
        <v>95</v>
      </c>
      <c r="B24" s="492">
        <f t="shared" si="0"/>
        <v>10.401201499961736</v>
      </c>
      <c r="C24" s="492">
        <f t="shared" si="6"/>
        <v>9.9430732686177539</v>
      </c>
      <c r="D24" s="493" t="s">
        <v>149</v>
      </c>
      <c r="E24" s="492">
        <f t="shared" si="1"/>
        <v>9.6157297198904228</v>
      </c>
      <c r="F24" s="492">
        <f t="shared" ref="F24:AK24" si="13">SUM(F13*100/F6)</f>
        <v>7.6729949932386914</v>
      </c>
      <c r="G24" s="492">
        <f t="shared" si="13"/>
        <v>11.63644086245567</v>
      </c>
      <c r="H24" s="492">
        <f t="shared" si="13"/>
        <v>11.726206412953401</v>
      </c>
      <c r="I24" s="492">
        <f t="shared" si="13"/>
        <v>12.383389927545627</v>
      </c>
      <c r="J24" s="492">
        <f t="shared" si="13"/>
        <v>9.7047307989318092</v>
      </c>
      <c r="K24" s="492">
        <f t="shared" si="13"/>
        <v>12.250045085136774</v>
      </c>
      <c r="L24" s="492">
        <f t="shared" si="13"/>
        <v>12.948654267911339</v>
      </c>
      <c r="M24" s="492">
        <f t="shared" si="13"/>
        <v>13.50678553837548</v>
      </c>
      <c r="N24" s="492">
        <f t="shared" si="13"/>
        <v>10.688907203164069</v>
      </c>
      <c r="O24" s="492">
        <f t="shared" si="13"/>
        <v>11.333350643782254</v>
      </c>
      <c r="P24" s="492">
        <f t="shared" si="13"/>
        <v>14.72030887992268</v>
      </c>
      <c r="Q24" s="492">
        <f t="shared" si="13"/>
        <v>14.74879209411907</v>
      </c>
      <c r="R24" s="492">
        <f t="shared" si="13"/>
        <v>13.776872756589809</v>
      </c>
      <c r="S24" s="492">
        <f t="shared" si="13"/>
        <v>14.387611900030128</v>
      </c>
      <c r="T24" s="492">
        <f t="shared" si="13"/>
        <v>19.217578526606815</v>
      </c>
      <c r="U24" s="492">
        <f t="shared" si="13"/>
        <v>14.628270950178198</v>
      </c>
      <c r="V24" s="492">
        <f t="shared" si="13"/>
        <v>11.654103256253149</v>
      </c>
      <c r="W24" s="492">
        <f t="shared" si="13"/>
        <v>13.577500526180398</v>
      </c>
      <c r="X24" s="492">
        <f t="shared" si="13"/>
        <v>12.949491363778924</v>
      </c>
      <c r="Y24" s="492">
        <f t="shared" si="13"/>
        <v>17.205589339412271</v>
      </c>
      <c r="Z24" s="492">
        <f t="shared" si="13"/>
        <v>16.687669752595809</v>
      </c>
      <c r="AA24" s="492">
        <f t="shared" si="13"/>
        <v>13.426977606872034</v>
      </c>
      <c r="AB24" s="492">
        <f t="shared" si="13"/>
        <v>14.141819660789031</v>
      </c>
      <c r="AC24" s="492">
        <f t="shared" si="13"/>
        <v>13.198440408267539</v>
      </c>
      <c r="AD24" s="492">
        <f t="shared" si="13"/>
        <v>10.82671265184309</v>
      </c>
      <c r="AE24" s="492">
        <f t="shared" si="13"/>
        <v>13.3458572276053</v>
      </c>
      <c r="AF24" s="492">
        <f t="shared" si="13"/>
        <v>14.725622140328738</v>
      </c>
      <c r="AG24" s="492">
        <f t="shared" si="13"/>
        <v>13.342357763828767</v>
      </c>
      <c r="AH24" s="492">
        <f t="shared" si="13"/>
        <v>14.651662382578509</v>
      </c>
      <c r="AI24" s="492">
        <f t="shared" si="13"/>
        <v>14.376124207516034</v>
      </c>
      <c r="AJ24" s="492">
        <f t="shared" si="13"/>
        <v>14.403093988279835</v>
      </c>
      <c r="AK24" s="492">
        <f t="shared" si="13"/>
        <v>13.534207228198349</v>
      </c>
      <c r="AL24" s="492">
        <f t="shared" ref="AL24:AO24" si="14">SUM(AL13*100/AL6)</f>
        <v>13.116570437385096</v>
      </c>
      <c r="AM24" s="492">
        <f t="shared" si="14"/>
        <v>11.429474124644029</v>
      </c>
      <c r="AN24" s="492">
        <f t="shared" si="14"/>
        <v>15.974059212741251</v>
      </c>
      <c r="AO24" s="492">
        <f t="shared" si="14"/>
        <v>15.281254875003858</v>
      </c>
    </row>
    <row r="25" spans="1:41" s="491" customFormat="1" ht="26.25" customHeight="1">
      <c r="A25" s="495" t="s">
        <v>94</v>
      </c>
      <c r="B25" s="492">
        <f t="shared" si="0"/>
        <v>35.83625326613388</v>
      </c>
      <c r="C25" s="492">
        <f t="shared" si="6"/>
        <v>47.074438949053182</v>
      </c>
      <c r="D25" s="493" t="s">
        <v>149</v>
      </c>
      <c r="E25" s="492">
        <f t="shared" si="1"/>
        <v>44.012303235388138</v>
      </c>
      <c r="F25" s="492">
        <f t="shared" ref="F25:AK25" si="15">SUM(F14*100/F6)</f>
        <v>35.929034299534635</v>
      </c>
      <c r="G25" s="492">
        <f t="shared" si="15"/>
        <v>42.849829203845594</v>
      </c>
      <c r="H25" s="492">
        <f t="shared" si="15"/>
        <v>43.898769681902209</v>
      </c>
      <c r="I25" s="492">
        <f t="shared" si="15"/>
        <v>50.283597450097183</v>
      </c>
      <c r="J25" s="492">
        <f t="shared" si="15"/>
        <v>42.562732461589761</v>
      </c>
      <c r="K25" s="492">
        <f t="shared" si="15"/>
        <v>45.488610486640781</v>
      </c>
      <c r="L25" s="492">
        <f t="shared" si="15"/>
        <v>42.847628480787144</v>
      </c>
      <c r="M25" s="492">
        <f t="shared" si="15"/>
        <v>41.593815667997454</v>
      </c>
      <c r="N25" s="492">
        <f t="shared" si="15"/>
        <v>45.615116859931049</v>
      </c>
      <c r="O25" s="492">
        <f t="shared" si="15"/>
        <v>47.287286207633507</v>
      </c>
      <c r="P25" s="492">
        <f t="shared" si="15"/>
        <v>44.577534437035581</v>
      </c>
      <c r="Q25" s="492">
        <f t="shared" si="15"/>
        <v>46.124186701891219</v>
      </c>
      <c r="R25" s="492">
        <f t="shared" si="15"/>
        <v>41.209759408614104</v>
      </c>
      <c r="S25" s="492">
        <f t="shared" si="15"/>
        <v>51.90057401879713</v>
      </c>
      <c r="T25" s="492">
        <f t="shared" si="15"/>
        <v>42.335506296943983</v>
      </c>
      <c r="U25" s="492">
        <f t="shared" si="15"/>
        <v>44.730402539381309</v>
      </c>
      <c r="V25" s="492">
        <f t="shared" si="15"/>
        <v>37.322195223358868</v>
      </c>
      <c r="W25" s="492">
        <f t="shared" si="15"/>
        <v>44.570420476602514</v>
      </c>
      <c r="X25" s="492">
        <f t="shared" si="15"/>
        <v>49.452102339869342</v>
      </c>
      <c r="Y25" s="492">
        <f t="shared" si="15"/>
        <v>49.629744760983712</v>
      </c>
      <c r="Z25" s="492">
        <f t="shared" si="15"/>
        <v>47.504988835023539</v>
      </c>
      <c r="AA25" s="492">
        <f t="shared" si="15"/>
        <v>49.421397669665843</v>
      </c>
      <c r="AB25" s="492">
        <f t="shared" si="15"/>
        <v>49.323439054735701</v>
      </c>
      <c r="AC25" s="492">
        <f t="shared" si="15"/>
        <v>49.934611501076631</v>
      </c>
      <c r="AD25" s="492">
        <f t="shared" si="15"/>
        <v>42.770071171488979</v>
      </c>
      <c r="AE25" s="492">
        <f t="shared" si="15"/>
        <v>47.515285742535099</v>
      </c>
      <c r="AF25" s="492">
        <f t="shared" si="15"/>
        <v>51.160469197268377</v>
      </c>
      <c r="AG25" s="492">
        <f t="shared" si="15"/>
        <v>53.427510841177423</v>
      </c>
      <c r="AH25" s="492">
        <f t="shared" si="15"/>
        <v>46.493491367387115</v>
      </c>
      <c r="AI25" s="492">
        <f t="shared" si="15"/>
        <v>48.036843269205434</v>
      </c>
      <c r="AJ25" s="492">
        <f t="shared" si="15"/>
        <v>44.967922259466953</v>
      </c>
      <c r="AK25" s="492">
        <f t="shared" si="15"/>
        <v>49.87661123870916</v>
      </c>
      <c r="AL25" s="492">
        <f t="shared" ref="AL25:AO25" si="16">SUM(AL14*100/AL6)</f>
        <v>48.939028890741127</v>
      </c>
      <c r="AM25" s="492">
        <f t="shared" si="16"/>
        <v>47.448755224810967</v>
      </c>
      <c r="AN25" s="492">
        <f t="shared" si="16"/>
        <v>46.570944669272997</v>
      </c>
      <c r="AO25" s="492">
        <f t="shared" si="16"/>
        <v>45.984665271285884</v>
      </c>
    </row>
    <row r="26" spans="1:41" s="491" customFormat="1" ht="26.25" customHeight="1">
      <c r="A26" s="494" t="s">
        <v>93</v>
      </c>
      <c r="B26" s="492">
        <f t="shared" si="0"/>
        <v>20.673739190326778</v>
      </c>
      <c r="C26" s="492">
        <f t="shared" si="6"/>
        <v>20.402441663794278</v>
      </c>
      <c r="D26" s="493" t="s">
        <v>149</v>
      </c>
      <c r="E26" s="492">
        <f t="shared" si="1"/>
        <v>24.908906016737493</v>
      </c>
      <c r="F26" s="492">
        <f t="shared" ref="F26:AK26" si="17">SUM(F15*100/F6)</f>
        <v>24.375124199669447</v>
      </c>
      <c r="G26" s="492">
        <f t="shared" si="17"/>
        <v>27.028133598476249</v>
      </c>
      <c r="H26" s="492">
        <f t="shared" si="17"/>
        <v>25.233824185631416</v>
      </c>
      <c r="I26" s="492">
        <f t="shared" si="17"/>
        <v>20.890937597285983</v>
      </c>
      <c r="J26" s="492">
        <f t="shared" si="17"/>
        <v>17.814304049267275</v>
      </c>
      <c r="K26" s="492">
        <f t="shared" si="17"/>
        <v>20.739363130723707</v>
      </c>
      <c r="L26" s="492">
        <f t="shared" si="17"/>
        <v>27.211745399769136</v>
      </c>
      <c r="M26" s="492">
        <f t="shared" si="17"/>
        <v>24.071397278854317</v>
      </c>
      <c r="N26" s="492">
        <f t="shared" si="17"/>
        <v>17.622944549651752</v>
      </c>
      <c r="O26" s="492">
        <f t="shared" si="17"/>
        <v>23.171034558979695</v>
      </c>
      <c r="P26" s="492">
        <f t="shared" si="17"/>
        <v>24.262527929101655</v>
      </c>
      <c r="Q26" s="492">
        <f t="shared" si="17"/>
        <v>20.128805517394223</v>
      </c>
      <c r="R26" s="492">
        <f t="shared" si="17"/>
        <v>16.09141998417201</v>
      </c>
      <c r="S26" s="492">
        <f t="shared" si="17"/>
        <v>17.976141829374505</v>
      </c>
      <c r="T26" s="492">
        <f t="shared" si="17"/>
        <v>20.822524630037222</v>
      </c>
      <c r="U26" s="492">
        <f t="shared" si="17"/>
        <v>23.069271001011007</v>
      </c>
      <c r="V26" s="492">
        <f t="shared" si="17"/>
        <v>20.367461663859778</v>
      </c>
      <c r="W26" s="492">
        <f t="shared" si="17"/>
        <v>21.487140735717123</v>
      </c>
      <c r="X26" s="492">
        <f t="shared" si="17"/>
        <v>18.870234360218451</v>
      </c>
      <c r="Y26" s="492">
        <f t="shared" si="17"/>
        <v>18.949901310842424</v>
      </c>
      <c r="Z26" s="492">
        <f t="shared" si="17"/>
        <v>15.764929577497794</v>
      </c>
      <c r="AA26" s="492">
        <f t="shared" si="17"/>
        <v>18.497632351770232</v>
      </c>
      <c r="AB26" s="492">
        <f t="shared" si="17"/>
        <v>18.753254861468594</v>
      </c>
      <c r="AC26" s="492">
        <f t="shared" si="17"/>
        <v>20.642768944416733</v>
      </c>
      <c r="AD26" s="492">
        <f t="shared" si="17"/>
        <v>20.612249981718964</v>
      </c>
      <c r="AE26" s="492">
        <f t="shared" si="17"/>
        <v>18.099742930591258</v>
      </c>
      <c r="AF26" s="492">
        <f t="shared" si="17"/>
        <v>16.973326506971922</v>
      </c>
      <c r="AG26" s="492">
        <f t="shared" si="17"/>
        <v>21.831112553115457</v>
      </c>
      <c r="AH26" s="492">
        <f t="shared" si="17"/>
        <v>17.535374058322912</v>
      </c>
      <c r="AI26" s="492">
        <f t="shared" si="17"/>
        <v>13.785728143170447</v>
      </c>
      <c r="AJ26" s="492">
        <f t="shared" si="17"/>
        <v>16.754205034424235</v>
      </c>
      <c r="AK26" s="492">
        <f t="shared" si="17"/>
        <v>14.04161728345213</v>
      </c>
      <c r="AL26" s="492">
        <f t="shared" ref="AL26:AO26" si="18">SUM(AL15*100/AL6)</f>
        <v>15.747231560839792</v>
      </c>
      <c r="AM26" s="492">
        <f t="shared" si="18"/>
        <v>18.772516320196054</v>
      </c>
      <c r="AN26" s="492">
        <f t="shared" si="18"/>
        <v>15.03095305167545</v>
      </c>
      <c r="AO26" s="492">
        <f t="shared" si="18"/>
        <v>13.738104990585768</v>
      </c>
    </row>
    <row r="27" spans="1:41" ht="9.75" customHeight="1">
      <c r="A27" s="466"/>
      <c r="B27" s="466"/>
      <c r="C27" s="466"/>
      <c r="D27" s="466"/>
      <c r="E27" s="466"/>
      <c r="F27" s="466"/>
      <c r="G27" s="381"/>
      <c r="H27" s="381"/>
      <c r="I27" s="381"/>
      <c r="J27" s="466"/>
      <c r="K27" s="381"/>
      <c r="L27" s="381"/>
      <c r="M27" s="381"/>
      <c r="N27" s="490"/>
      <c r="O27" s="490"/>
      <c r="P27" s="490"/>
      <c r="Q27" s="381"/>
      <c r="R27" s="490"/>
      <c r="S27" s="490"/>
      <c r="T27" s="490"/>
      <c r="U27" s="490"/>
      <c r="V27" s="490"/>
      <c r="W27" s="490"/>
      <c r="X27" s="490"/>
      <c r="Y27" s="490"/>
      <c r="Z27" s="490"/>
      <c r="AA27" s="490"/>
      <c r="AB27" s="490"/>
      <c r="AC27" s="490"/>
      <c r="AD27" s="490"/>
      <c r="AE27" s="490"/>
      <c r="AF27" s="490"/>
      <c r="AG27" s="490"/>
      <c r="AH27" s="490"/>
      <c r="AI27" s="490"/>
      <c r="AJ27" s="490"/>
      <c r="AK27" s="490"/>
      <c r="AL27" s="490"/>
      <c r="AM27" s="490"/>
      <c r="AN27" s="490"/>
      <c r="AO27" s="490"/>
    </row>
    <row r="28" spans="1:41" ht="30.75" customHeight="1">
      <c r="A28" s="489" t="s">
        <v>184</v>
      </c>
      <c r="P28" s="488"/>
    </row>
    <row r="29" spans="1:41" ht="30.75" customHeight="1">
      <c r="A29" s="464" t="s">
        <v>23</v>
      </c>
      <c r="P29" s="465"/>
    </row>
    <row r="30" spans="1:41" ht="30.75" customHeight="1">
      <c r="P30" s="465"/>
    </row>
    <row r="31" spans="1:41" ht="30.75" customHeight="1">
      <c r="P31" s="465"/>
    </row>
    <row r="32" spans="1:41" ht="30.75" customHeight="1">
      <c r="P32" s="465"/>
    </row>
    <row r="33" spans="16:16" s="464" customFormat="1" ht="30.75" customHeight="1">
      <c r="P33" s="465"/>
    </row>
    <row r="34" spans="16:16" s="464" customFormat="1" ht="30.75" customHeight="1">
      <c r="P34" s="465"/>
    </row>
    <row r="35" spans="16:16" s="464" customFormat="1" ht="30.75" customHeight="1">
      <c r="P35" s="465"/>
    </row>
    <row r="36" spans="16:16" s="464" customFormat="1" ht="30.75" customHeight="1">
      <c r="P36" s="465"/>
    </row>
    <row r="37" spans="16:16" s="464" customFormat="1" ht="30.75" customHeight="1">
      <c r="P37" s="465"/>
    </row>
    <row r="38" spans="16:16" s="464" customFormat="1" ht="30.75" customHeight="1">
      <c r="P38" s="465"/>
    </row>
    <row r="39" spans="16:16" s="464" customFormat="1" ht="30.75" customHeight="1">
      <c r="P39" s="465"/>
    </row>
    <row r="40" spans="16:16" s="464" customFormat="1" ht="30.75" customHeight="1">
      <c r="P40" s="465"/>
    </row>
    <row r="41" spans="16:16" s="464" customFormat="1" ht="30.75" customHeight="1">
      <c r="P41" s="465"/>
    </row>
  </sheetData>
  <sheetProtection selectLockedCells="1" selectUnlockedCells="1"/>
  <mergeCells count="13">
    <mergeCell ref="AL3:AO3"/>
    <mergeCell ref="AH3:AK3"/>
    <mergeCell ref="A5:L5"/>
    <mergeCell ref="A16:L16"/>
    <mergeCell ref="A3:A4"/>
    <mergeCell ref="B3:E3"/>
    <mergeCell ref="F3:I3"/>
    <mergeCell ref="N3:Q3"/>
    <mergeCell ref="AD3:AG3"/>
    <mergeCell ref="Z3:AC3"/>
    <mergeCell ref="V3:Y3"/>
    <mergeCell ref="R3:U3"/>
    <mergeCell ref="J3:M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4"/>
  <sheetViews>
    <sheetView topLeftCell="A2" zoomScale="90" zoomScaleNormal="90" workbookViewId="0">
      <selection activeCell="H16" sqref="H16"/>
    </sheetView>
  </sheetViews>
  <sheetFormatPr defaultColWidth="9.140625" defaultRowHeight="24" customHeight="1"/>
  <cols>
    <col min="1" max="1" width="24.140625" style="9" customWidth="1"/>
    <col min="2" max="2" width="11.42578125" style="9" customWidth="1"/>
    <col min="3" max="3" width="10.7109375" style="9" customWidth="1"/>
    <col min="4" max="4" width="11.140625" style="9" customWidth="1"/>
    <col min="5" max="5" width="1" style="9" customWidth="1"/>
    <col min="6" max="6" width="24.42578125" style="9" customWidth="1"/>
    <col min="7" max="7" width="11.42578125" style="9" customWidth="1"/>
    <col min="8" max="8" width="9.7109375" style="9" customWidth="1"/>
    <col min="9" max="9" width="11.42578125" style="9" customWidth="1"/>
    <col min="10" max="10" width="1.42578125" style="9" customWidth="1"/>
    <col min="11" max="11" width="24.28515625" style="9" customWidth="1"/>
    <col min="12" max="12" width="11.42578125" style="9" customWidth="1"/>
    <col min="13" max="13" width="9.42578125" style="9" customWidth="1"/>
    <col min="14" max="14" width="11.5703125" style="9" customWidth="1"/>
    <col min="15" max="15" width="1.140625" style="9" customWidth="1"/>
    <col min="16" max="16" width="24.85546875" style="9" customWidth="1"/>
    <col min="17" max="17" width="11.28515625" style="9" customWidth="1"/>
    <col min="18" max="18" width="9.42578125" style="9" customWidth="1"/>
    <col min="19" max="19" width="11.28515625" style="9" customWidth="1"/>
    <col min="20" max="20" width="0.7109375" style="9" customWidth="1"/>
    <col min="21" max="21" width="25" style="9" customWidth="1"/>
    <col min="22" max="22" width="11.28515625" style="9" customWidth="1"/>
    <col min="23" max="23" width="9.42578125" style="9" customWidth="1"/>
    <col min="24" max="24" width="11.42578125" style="9" customWidth="1"/>
    <col min="25" max="25" width="9.140625" style="9"/>
    <col min="26" max="28" width="11.7109375" style="9" bestFit="1" customWidth="1"/>
    <col min="29" max="16384" width="9.140625" style="9"/>
  </cols>
  <sheetData>
    <row r="1" spans="1:29" ht="29.25" customHeight="1">
      <c r="A1" s="41" t="s">
        <v>22</v>
      </c>
      <c r="F1" s="41"/>
      <c r="K1" s="41"/>
      <c r="P1" s="41"/>
      <c r="U1" s="41"/>
    </row>
    <row r="2" spans="1:29" s="41" customFormat="1" ht="22.9" customHeight="1">
      <c r="A2" s="250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44" t="s">
        <v>109</v>
      </c>
      <c r="Q2" s="44"/>
      <c r="R2" s="44"/>
      <c r="S2" s="44"/>
      <c r="U2" s="44" t="s">
        <v>108</v>
      </c>
      <c r="V2" s="44"/>
      <c r="W2" s="44"/>
      <c r="X2" s="44"/>
    </row>
    <row r="3" spans="1:29" s="41" customFormat="1" ht="32.25" customHeight="1">
      <c r="A3" s="43" t="s">
        <v>9</v>
      </c>
      <c r="B3" s="42" t="s">
        <v>0</v>
      </c>
      <c r="C3" s="42" t="s">
        <v>1</v>
      </c>
      <c r="D3" s="42" t="s">
        <v>2</v>
      </c>
      <c r="F3" s="43" t="s">
        <v>9</v>
      </c>
      <c r="G3" s="42" t="s">
        <v>0</v>
      </c>
      <c r="H3" s="42" t="s">
        <v>1</v>
      </c>
      <c r="I3" s="42" t="s">
        <v>2</v>
      </c>
      <c r="K3" s="43" t="s">
        <v>9</v>
      </c>
      <c r="L3" s="42" t="s">
        <v>0</v>
      </c>
      <c r="M3" s="42" t="s">
        <v>1</v>
      </c>
      <c r="N3" s="42" t="s">
        <v>2</v>
      </c>
      <c r="P3" s="43" t="s">
        <v>9</v>
      </c>
      <c r="Q3" s="42" t="s">
        <v>0</v>
      </c>
      <c r="R3" s="42" t="s">
        <v>1</v>
      </c>
      <c r="S3" s="42" t="s">
        <v>2</v>
      </c>
      <c r="U3" s="43" t="s">
        <v>9</v>
      </c>
      <c r="V3" s="42" t="s">
        <v>0</v>
      </c>
      <c r="W3" s="42" t="s">
        <v>1</v>
      </c>
      <c r="X3" s="42" t="s">
        <v>2</v>
      </c>
    </row>
    <row r="4" spans="1:29" s="41" customFormat="1" ht="27.75" customHeight="1">
      <c r="A4" s="29"/>
      <c r="B4" s="29"/>
      <c r="C4" s="30" t="s">
        <v>21</v>
      </c>
      <c r="D4" s="29"/>
      <c r="F4" s="29"/>
      <c r="G4" s="29"/>
      <c r="H4" s="30" t="s">
        <v>21</v>
      </c>
      <c r="I4" s="29"/>
      <c r="K4" s="29"/>
      <c r="L4" s="29"/>
      <c r="M4" s="30" t="s">
        <v>21</v>
      </c>
      <c r="N4" s="29"/>
      <c r="P4" s="29"/>
      <c r="Q4" s="29"/>
      <c r="R4" s="30" t="s">
        <v>21</v>
      </c>
      <c r="S4" s="29"/>
      <c r="U4" s="29"/>
      <c r="V4" s="29"/>
      <c r="W4" s="30" t="s">
        <v>21</v>
      </c>
      <c r="X4" s="29"/>
    </row>
    <row r="5" spans="1:29" s="20" customFormat="1" ht="20.25" customHeight="1">
      <c r="A5" s="20" t="s">
        <v>19</v>
      </c>
      <c r="B5" s="40">
        <v>2049836</v>
      </c>
      <c r="C5" s="40">
        <v>990254</v>
      </c>
      <c r="D5" s="39">
        <v>1059582</v>
      </c>
      <c r="E5" s="18"/>
      <c r="F5" s="20" t="s">
        <v>19</v>
      </c>
      <c r="G5" s="38">
        <v>2051355</v>
      </c>
      <c r="H5" s="38">
        <v>990836</v>
      </c>
      <c r="I5" s="38">
        <v>1060519</v>
      </c>
      <c r="J5" s="38"/>
      <c r="K5" s="20" t="s">
        <v>19</v>
      </c>
      <c r="L5" s="38">
        <f>L6+L11</f>
        <v>2052652</v>
      </c>
      <c r="M5" s="38">
        <f>M6+M11</f>
        <v>991315</v>
      </c>
      <c r="N5" s="38">
        <f>N6+N11</f>
        <v>1061337</v>
      </c>
      <c r="O5" s="38"/>
      <c r="P5" s="20" t="s">
        <v>19</v>
      </c>
      <c r="Q5" s="38">
        <v>2053245</v>
      </c>
      <c r="R5" s="38">
        <v>991480</v>
      </c>
      <c r="S5" s="38">
        <v>1061765</v>
      </c>
      <c r="U5" s="20" t="s">
        <v>19</v>
      </c>
      <c r="V5" s="38">
        <f t="shared" ref="V5:V14" si="0">(B5+G5+L5+Q5)/4</f>
        <v>2051772</v>
      </c>
      <c r="W5" s="38">
        <f t="shared" ref="W5:W14" si="1">(C5+H5+M5+R5)/4</f>
        <v>990971.25</v>
      </c>
      <c r="X5" s="38">
        <f t="shared" ref="X5:X14" si="2">(D5+I5+N5+S5)/4</f>
        <v>1060800.75</v>
      </c>
    </row>
    <row r="6" spans="1:29" s="18" customFormat="1" ht="20.25" customHeight="1">
      <c r="A6" s="18" t="s">
        <v>18</v>
      </c>
      <c r="B6" s="35">
        <v>1268832</v>
      </c>
      <c r="C6" s="35">
        <v>703491</v>
      </c>
      <c r="D6" s="35">
        <v>565341</v>
      </c>
      <c r="F6" s="18" t="s">
        <v>18</v>
      </c>
      <c r="G6" s="34">
        <v>1245867</v>
      </c>
      <c r="H6" s="34">
        <v>686365</v>
      </c>
      <c r="I6" s="34">
        <v>559502</v>
      </c>
      <c r="J6" s="28"/>
      <c r="K6" s="18" t="s">
        <v>18</v>
      </c>
      <c r="L6" s="34">
        <f>L7+L10</f>
        <v>1201981</v>
      </c>
      <c r="M6" s="34">
        <f>M7+M10</f>
        <v>685500</v>
      </c>
      <c r="N6" s="34">
        <f>N7+N10</f>
        <v>516481</v>
      </c>
      <c r="O6" s="28"/>
      <c r="P6" s="18" t="s">
        <v>18</v>
      </c>
      <c r="Q6" s="34">
        <v>1244690</v>
      </c>
      <c r="R6" s="34">
        <v>685175</v>
      </c>
      <c r="S6" s="34">
        <v>559515</v>
      </c>
      <c r="U6" s="18" t="s">
        <v>18</v>
      </c>
      <c r="V6" s="34">
        <f t="shared" si="0"/>
        <v>1240342.5</v>
      </c>
      <c r="W6" s="34">
        <f t="shared" si="1"/>
        <v>690132.75</v>
      </c>
      <c r="X6" s="34">
        <f t="shared" si="2"/>
        <v>550209.75</v>
      </c>
    </row>
    <row r="7" spans="1:29" s="18" customFormat="1" ht="20.25" customHeight="1">
      <c r="A7" s="18" t="s">
        <v>17</v>
      </c>
      <c r="B7" s="36">
        <v>1197845.3400000001</v>
      </c>
      <c r="C7" s="36">
        <v>660978.76</v>
      </c>
      <c r="D7" s="35">
        <v>536866</v>
      </c>
      <c r="E7" s="27"/>
      <c r="F7" s="18" t="s">
        <v>17</v>
      </c>
      <c r="G7" s="34">
        <v>1197067</v>
      </c>
      <c r="H7" s="34">
        <v>655195</v>
      </c>
      <c r="I7" s="34">
        <v>541872</v>
      </c>
      <c r="J7" s="28"/>
      <c r="K7" s="18" t="s">
        <v>17</v>
      </c>
      <c r="L7" s="34">
        <v>1178865</v>
      </c>
      <c r="M7" s="34">
        <v>665381</v>
      </c>
      <c r="N7" s="34">
        <v>513484</v>
      </c>
      <c r="O7" s="28"/>
      <c r="P7" s="18" t="s">
        <v>17</v>
      </c>
      <c r="Q7" s="34">
        <v>1224882</v>
      </c>
      <c r="R7" s="34">
        <v>670502</v>
      </c>
      <c r="S7" s="34">
        <v>554380</v>
      </c>
      <c r="U7" s="18" t="s">
        <v>17</v>
      </c>
      <c r="V7" s="34">
        <f t="shared" si="0"/>
        <v>1199664.835</v>
      </c>
      <c r="W7" s="34">
        <f t="shared" si="1"/>
        <v>663014.18999999994</v>
      </c>
      <c r="X7" s="34">
        <f t="shared" si="2"/>
        <v>536650.5</v>
      </c>
    </row>
    <row r="8" spans="1:29" s="18" customFormat="1" ht="20.25" customHeight="1">
      <c r="A8" s="18" t="s">
        <v>16</v>
      </c>
      <c r="B8" s="36">
        <v>1184151</v>
      </c>
      <c r="C8" s="36">
        <v>650780</v>
      </c>
      <c r="D8" s="35">
        <v>533371</v>
      </c>
      <c r="F8" s="18" t="s">
        <v>16</v>
      </c>
      <c r="G8" s="34">
        <v>1171095</v>
      </c>
      <c r="H8" s="34">
        <v>644778</v>
      </c>
      <c r="I8" s="34">
        <v>526317</v>
      </c>
      <c r="J8" s="28"/>
      <c r="K8" s="18" t="s">
        <v>16</v>
      </c>
      <c r="L8" s="34">
        <v>1164344</v>
      </c>
      <c r="M8" s="34">
        <v>655575</v>
      </c>
      <c r="N8" s="34">
        <v>508769</v>
      </c>
      <c r="O8" s="28"/>
      <c r="P8" s="18" t="s">
        <v>16</v>
      </c>
      <c r="Q8" s="34">
        <v>1198717</v>
      </c>
      <c r="R8" s="34">
        <v>654869</v>
      </c>
      <c r="S8" s="34">
        <v>543848</v>
      </c>
      <c r="U8" s="18" t="s">
        <v>16</v>
      </c>
      <c r="V8" s="34">
        <f t="shared" si="0"/>
        <v>1179576.75</v>
      </c>
      <c r="W8" s="34">
        <f t="shared" si="1"/>
        <v>651500.5</v>
      </c>
      <c r="X8" s="34">
        <f t="shared" si="2"/>
        <v>528076.25</v>
      </c>
    </row>
    <row r="9" spans="1:29" s="18" customFormat="1" ht="20.25" customHeight="1">
      <c r="A9" s="18" t="s">
        <v>15</v>
      </c>
      <c r="B9" s="36">
        <v>13694</v>
      </c>
      <c r="C9" s="36">
        <v>10199</v>
      </c>
      <c r="D9" s="35">
        <v>3495</v>
      </c>
      <c r="F9" s="18" t="s">
        <v>15</v>
      </c>
      <c r="G9" s="34">
        <v>25972</v>
      </c>
      <c r="H9" s="34">
        <v>10417</v>
      </c>
      <c r="I9" s="34">
        <v>15555</v>
      </c>
      <c r="J9" s="28"/>
      <c r="K9" s="18" t="s">
        <v>15</v>
      </c>
      <c r="L9" s="34">
        <v>14521</v>
      </c>
      <c r="M9" s="34">
        <v>9806</v>
      </c>
      <c r="N9" s="34">
        <v>4715</v>
      </c>
      <c r="O9" s="28"/>
      <c r="P9" s="18" t="s">
        <v>15</v>
      </c>
      <c r="Q9" s="34">
        <v>26165</v>
      </c>
      <c r="R9" s="34">
        <v>15633</v>
      </c>
      <c r="S9" s="34">
        <v>10532</v>
      </c>
      <c r="U9" s="18" t="s">
        <v>15</v>
      </c>
      <c r="V9" s="34">
        <f t="shared" si="0"/>
        <v>20088</v>
      </c>
      <c r="W9" s="34">
        <f t="shared" si="1"/>
        <v>11513.75</v>
      </c>
      <c r="X9" s="34">
        <f t="shared" si="2"/>
        <v>8574.25</v>
      </c>
      <c r="Z9" s="120"/>
      <c r="AA9" s="120"/>
      <c r="AB9" s="120"/>
      <c r="AC9" s="120"/>
    </row>
    <row r="10" spans="1:29" s="18" customFormat="1" ht="20.25" customHeight="1">
      <c r="A10" s="18" t="s">
        <v>14</v>
      </c>
      <c r="B10" s="35">
        <v>70987</v>
      </c>
      <c r="C10" s="35">
        <v>42512</v>
      </c>
      <c r="D10" s="37">
        <v>28475</v>
      </c>
      <c r="F10" s="18" t="s">
        <v>14</v>
      </c>
      <c r="G10" s="34">
        <v>48800</v>
      </c>
      <c r="H10" s="34">
        <v>31170</v>
      </c>
      <c r="I10" s="34">
        <v>17630</v>
      </c>
      <c r="J10" s="28"/>
      <c r="K10" s="18" t="s">
        <v>14</v>
      </c>
      <c r="L10" s="34">
        <v>23116</v>
      </c>
      <c r="M10" s="34">
        <v>20119</v>
      </c>
      <c r="N10" s="34">
        <v>2997</v>
      </c>
      <c r="O10" s="28"/>
      <c r="P10" s="18" t="s">
        <v>14</v>
      </c>
      <c r="Q10" s="34">
        <v>19808</v>
      </c>
      <c r="R10" s="34">
        <v>14673</v>
      </c>
      <c r="S10" s="34">
        <v>5135</v>
      </c>
      <c r="U10" s="18" t="s">
        <v>14</v>
      </c>
      <c r="V10" s="34">
        <f t="shared" si="0"/>
        <v>40677.75</v>
      </c>
      <c r="W10" s="34">
        <f t="shared" si="1"/>
        <v>27118.5</v>
      </c>
      <c r="X10" s="34">
        <f t="shared" si="2"/>
        <v>13559.25</v>
      </c>
    </row>
    <row r="11" spans="1:29" s="18" customFormat="1" ht="20.25" customHeight="1">
      <c r="A11" s="18" t="s">
        <v>13</v>
      </c>
      <c r="B11" s="36">
        <v>781004</v>
      </c>
      <c r="C11" s="36">
        <v>286763</v>
      </c>
      <c r="D11" s="36">
        <v>494241</v>
      </c>
      <c r="F11" s="18" t="s">
        <v>13</v>
      </c>
      <c r="G11" s="34">
        <v>805488</v>
      </c>
      <c r="H11" s="34">
        <v>304471</v>
      </c>
      <c r="I11" s="34">
        <v>501017</v>
      </c>
      <c r="J11" s="28"/>
      <c r="K11" s="18" t="s">
        <v>13</v>
      </c>
      <c r="L11" s="34">
        <v>850671</v>
      </c>
      <c r="M11" s="34">
        <v>305815</v>
      </c>
      <c r="N11" s="34">
        <v>544856</v>
      </c>
      <c r="P11" s="18" t="s">
        <v>13</v>
      </c>
      <c r="Q11" s="34">
        <v>808555</v>
      </c>
      <c r="R11" s="34">
        <v>306305</v>
      </c>
      <c r="S11" s="34">
        <v>502250</v>
      </c>
      <c r="U11" s="18" t="s">
        <v>13</v>
      </c>
      <c r="V11" s="34">
        <f t="shared" si="0"/>
        <v>811429.5</v>
      </c>
      <c r="W11" s="34">
        <f t="shared" si="1"/>
        <v>300838.5</v>
      </c>
      <c r="X11" s="34">
        <f t="shared" si="2"/>
        <v>510591</v>
      </c>
    </row>
    <row r="12" spans="1:29" s="18" customFormat="1" ht="20.25" customHeight="1">
      <c r="A12" s="18" t="s">
        <v>12</v>
      </c>
      <c r="B12" s="36">
        <v>189898</v>
      </c>
      <c r="C12" s="36">
        <v>7101</v>
      </c>
      <c r="D12" s="35">
        <v>182797</v>
      </c>
      <c r="E12" s="11"/>
      <c r="F12" s="18" t="s">
        <v>12</v>
      </c>
      <c r="G12" s="34">
        <v>190458</v>
      </c>
      <c r="H12" s="34">
        <v>10637</v>
      </c>
      <c r="I12" s="34">
        <v>179821</v>
      </c>
      <c r="J12" s="28"/>
      <c r="K12" s="18" t="s">
        <v>12</v>
      </c>
      <c r="L12" s="34">
        <v>231399</v>
      </c>
      <c r="M12" s="34">
        <v>11292</v>
      </c>
      <c r="N12" s="34">
        <v>220107</v>
      </c>
      <c r="P12" s="18" t="s">
        <v>12</v>
      </c>
      <c r="Q12" s="34">
        <v>189374</v>
      </c>
      <c r="R12" s="34">
        <v>10905</v>
      </c>
      <c r="S12" s="34">
        <v>178469</v>
      </c>
      <c r="U12" s="18" t="s">
        <v>12</v>
      </c>
      <c r="V12" s="34">
        <f t="shared" si="0"/>
        <v>200282.25</v>
      </c>
      <c r="W12" s="34">
        <f t="shared" si="1"/>
        <v>9983.75</v>
      </c>
      <c r="X12" s="34">
        <f t="shared" si="2"/>
        <v>190298.5</v>
      </c>
    </row>
    <row r="13" spans="1:29" s="20" customFormat="1" ht="20.25" customHeight="1">
      <c r="A13" s="18" t="s">
        <v>11</v>
      </c>
      <c r="B13" s="36">
        <v>174365</v>
      </c>
      <c r="C13" s="36">
        <v>78621</v>
      </c>
      <c r="D13" s="35">
        <v>95744</v>
      </c>
      <c r="E13" s="11"/>
      <c r="F13" s="18" t="s">
        <v>11</v>
      </c>
      <c r="G13" s="34">
        <v>164015</v>
      </c>
      <c r="H13" s="34">
        <v>75551</v>
      </c>
      <c r="I13" s="34">
        <v>88464</v>
      </c>
      <c r="J13" s="28"/>
      <c r="K13" s="18" t="s">
        <v>11</v>
      </c>
      <c r="L13" s="34">
        <v>178910</v>
      </c>
      <c r="M13" s="34">
        <v>82234</v>
      </c>
      <c r="N13" s="34">
        <v>96676</v>
      </c>
      <c r="O13" s="28"/>
      <c r="P13" s="18" t="s">
        <v>11</v>
      </c>
      <c r="Q13" s="34">
        <v>150770</v>
      </c>
      <c r="R13" s="34">
        <v>66991</v>
      </c>
      <c r="S13" s="34">
        <v>83779</v>
      </c>
      <c r="U13" s="18" t="s">
        <v>11</v>
      </c>
      <c r="V13" s="34">
        <f t="shared" si="0"/>
        <v>167015</v>
      </c>
      <c r="W13" s="34">
        <f t="shared" si="1"/>
        <v>75849.25</v>
      </c>
      <c r="X13" s="34">
        <f t="shared" si="2"/>
        <v>91165.75</v>
      </c>
    </row>
    <row r="14" spans="1:29" s="18" customFormat="1" ht="20.25" customHeight="1">
      <c r="A14" s="17" t="s">
        <v>10</v>
      </c>
      <c r="B14" s="36">
        <v>416741</v>
      </c>
      <c r="C14" s="36">
        <v>201041</v>
      </c>
      <c r="D14" s="35">
        <v>215700</v>
      </c>
      <c r="E14" s="11"/>
      <c r="F14" s="17" t="s">
        <v>10</v>
      </c>
      <c r="G14" s="34">
        <v>451015</v>
      </c>
      <c r="H14" s="34">
        <v>218283</v>
      </c>
      <c r="I14" s="34">
        <v>232732</v>
      </c>
      <c r="J14" s="28"/>
      <c r="K14" s="17" t="s">
        <v>10</v>
      </c>
      <c r="L14" s="34">
        <v>440362</v>
      </c>
      <c r="M14" s="34">
        <v>212289</v>
      </c>
      <c r="N14" s="34">
        <v>228073</v>
      </c>
      <c r="O14" s="28"/>
      <c r="P14" s="17" t="s">
        <v>10</v>
      </c>
      <c r="Q14" s="34">
        <v>468411</v>
      </c>
      <c r="R14" s="34">
        <v>228409</v>
      </c>
      <c r="S14" s="34">
        <v>240002</v>
      </c>
      <c r="U14" s="17" t="s">
        <v>10</v>
      </c>
      <c r="V14" s="34">
        <f t="shared" si="0"/>
        <v>444132.25</v>
      </c>
      <c r="W14" s="34">
        <f t="shared" si="1"/>
        <v>215005.5</v>
      </c>
      <c r="X14" s="34">
        <f t="shared" si="2"/>
        <v>229126.75</v>
      </c>
    </row>
    <row r="15" spans="1:29" s="18" customFormat="1" ht="11.25" customHeight="1">
      <c r="A15" s="23"/>
      <c r="B15" s="33"/>
      <c r="C15" s="33"/>
      <c r="D15" s="33"/>
      <c r="E15" s="32"/>
      <c r="F15" s="23"/>
      <c r="G15" s="31"/>
      <c r="H15" s="31"/>
      <c r="I15" s="31"/>
      <c r="K15" s="23"/>
      <c r="L15" s="31"/>
      <c r="M15" s="31"/>
      <c r="N15" s="31"/>
      <c r="O15" s="28"/>
      <c r="P15" s="23"/>
      <c r="Q15" s="119"/>
      <c r="R15" s="119"/>
      <c r="S15" s="119"/>
      <c r="U15" s="23"/>
      <c r="V15" s="119"/>
      <c r="W15" s="119"/>
      <c r="X15" s="119"/>
    </row>
    <row r="16" spans="1:29" s="27" customFormat="1" ht="23.25" customHeight="1">
      <c r="A16" s="29"/>
      <c r="B16" s="26"/>
      <c r="C16" s="30" t="s">
        <v>20</v>
      </c>
      <c r="D16" s="29"/>
      <c r="F16" s="29"/>
      <c r="G16" s="26"/>
      <c r="H16" s="30" t="s">
        <v>20</v>
      </c>
      <c r="I16" s="29"/>
      <c r="K16" s="29"/>
      <c r="L16" s="26"/>
      <c r="M16" s="30" t="s">
        <v>20</v>
      </c>
      <c r="N16" s="29"/>
      <c r="O16" s="28"/>
      <c r="P16" s="29"/>
      <c r="Q16" s="26"/>
      <c r="R16" s="30" t="s">
        <v>20</v>
      </c>
      <c r="S16" s="29"/>
      <c r="U16" s="29"/>
      <c r="V16" s="26"/>
      <c r="W16" s="30" t="s">
        <v>20</v>
      </c>
      <c r="X16" s="29"/>
    </row>
    <row r="17" spans="1:24" s="24" customFormat="1" ht="20.25" customHeight="1">
      <c r="A17" s="25"/>
      <c r="F17" s="25"/>
      <c r="K17" s="25"/>
      <c r="P17" s="25"/>
      <c r="U17" s="25"/>
    </row>
    <row r="18" spans="1:24" s="20" customFormat="1" ht="20.25" customHeight="1">
      <c r="A18" s="20" t="s">
        <v>19</v>
      </c>
      <c r="B18" s="22">
        <v>100</v>
      </c>
      <c r="C18" s="22">
        <v>100</v>
      </c>
      <c r="D18" s="22">
        <v>100</v>
      </c>
      <c r="E18" s="21"/>
      <c r="F18" s="20" t="s">
        <v>19</v>
      </c>
      <c r="G18" s="22">
        <v>100</v>
      </c>
      <c r="H18" s="22">
        <v>100</v>
      </c>
      <c r="I18" s="22">
        <v>100</v>
      </c>
      <c r="J18" s="21"/>
      <c r="K18" s="20" t="s">
        <v>19</v>
      </c>
      <c r="L18" s="22">
        <v>100</v>
      </c>
      <c r="M18" s="22">
        <v>100</v>
      </c>
      <c r="N18" s="22">
        <v>100</v>
      </c>
      <c r="O18" s="21"/>
      <c r="P18" s="20" t="s">
        <v>19</v>
      </c>
      <c r="Q18" s="22">
        <v>100</v>
      </c>
      <c r="R18" s="22">
        <v>100</v>
      </c>
      <c r="S18" s="22">
        <v>100</v>
      </c>
      <c r="U18" s="20" t="s">
        <v>19</v>
      </c>
      <c r="V18" s="22">
        <v>100</v>
      </c>
      <c r="W18" s="22">
        <v>100</v>
      </c>
      <c r="X18" s="22">
        <v>100</v>
      </c>
    </row>
    <row r="19" spans="1:24" s="18" customFormat="1" ht="20.25" customHeight="1">
      <c r="A19" s="18" t="s">
        <v>18</v>
      </c>
      <c r="B19" s="16">
        <f>B6*100/B$5</f>
        <v>61.899195838106074</v>
      </c>
      <c r="C19" s="16">
        <f>C6*100/C$5</f>
        <v>71.041470168259863</v>
      </c>
      <c r="D19" s="16">
        <f>D6*100/D$5</f>
        <v>53.355096632445623</v>
      </c>
      <c r="E19" s="15"/>
      <c r="F19" s="18" t="s">
        <v>18</v>
      </c>
      <c r="G19" s="16">
        <f t="shared" ref="G19:I27" si="3">G6*100/G$5</f>
        <v>60.733856402231694</v>
      </c>
      <c r="H19" s="16">
        <f t="shared" si="3"/>
        <v>69.271302213484375</v>
      </c>
      <c r="I19" s="16">
        <f t="shared" si="3"/>
        <v>52.757376341206523</v>
      </c>
      <c r="J19" s="15"/>
      <c r="K19" s="18" t="s">
        <v>18</v>
      </c>
      <c r="L19" s="16">
        <f t="shared" ref="L19:N27" si="4">L6*100/L$5</f>
        <v>58.557466146234241</v>
      </c>
      <c r="M19" s="16">
        <f t="shared" si="4"/>
        <v>69.150572724108883</v>
      </c>
      <c r="N19" s="16">
        <f t="shared" si="4"/>
        <v>48.663242683520878</v>
      </c>
      <c r="O19" s="15"/>
      <c r="P19" s="18" t="s">
        <v>18</v>
      </c>
      <c r="Q19" s="16">
        <f>Q6*100/Q$5</f>
        <v>60.620627348416775</v>
      </c>
      <c r="R19" s="16">
        <f t="shared" ref="Q19:S27" si="5">R6*100/R$5</f>
        <v>69.106285552910805</v>
      </c>
      <c r="S19" s="16">
        <f t="shared" si="5"/>
        <v>52.696689003687254</v>
      </c>
      <c r="U19" s="18" t="s">
        <v>18</v>
      </c>
      <c r="V19" s="16">
        <f t="shared" ref="V19:X27" si="6">V6*100/V$5</f>
        <v>60.452257853211762</v>
      </c>
      <c r="W19" s="16">
        <f t="shared" si="6"/>
        <v>69.642055710496138</v>
      </c>
      <c r="X19" s="16">
        <f t="shared" si="6"/>
        <v>51.867398283796462</v>
      </c>
    </row>
    <row r="20" spans="1:24" s="18" customFormat="1" ht="20.25" customHeight="1">
      <c r="A20" s="18" t="s">
        <v>17</v>
      </c>
      <c r="B20" s="16">
        <f t="shared" ref="B20:C25" si="7">B7*100/B$5</f>
        <v>58.4361548923914</v>
      </c>
      <c r="C20" s="16">
        <f t="shared" si="7"/>
        <v>66.748405964530306</v>
      </c>
      <c r="D20" s="16">
        <f t="shared" ref="D20:D27" si="8">D7*100/D$5</f>
        <v>50.667716137118219</v>
      </c>
      <c r="E20" s="15"/>
      <c r="F20" s="18" t="s">
        <v>17</v>
      </c>
      <c r="G20" s="16">
        <f t="shared" si="3"/>
        <v>58.354941002410605</v>
      </c>
      <c r="H20" s="16">
        <f t="shared" si="3"/>
        <v>66.125473842290759</v>
      </c>
      <c r="I20" s="16">
        <f t="shared" si="3"/>
        <v>51.094982739583166</v>
      </c>
      <c r="J20" s="15"/>
      <c r="K20" s="18" t="s">
        <v>17</v>
      </c>
      <c r="L20" s="16">
        <f t="shared" si="4"/>
        <v>57.43131324744769</v>
      </c>
      <c r="M20" s="16">
        <f t="shared" si="4"/>
        <v>67.121046287002613</v>
      </c>
      <c r="N20" s="16">
        <f t="shared" si="4"/>
        <v>48.380863005812479</v>
      </c>
      <c r="O20" s="15"/>
      <c r="P20" s="18" t="s">
        <v>17</v>
      </c>
      <c r="Q20" s="16">
        <f t="shared" si="5"/>
        <v>59.655910522124735</v>
      </c>
      <c r="R20" s="16">
        <f>R7*100/R$5</f>
        <v>67.626376729737359</v>
      </c>
      <c r="S20" s="16">
        <f t="shared" si="5"/>
        <v>52.213060328792153</v>
      </c>
      <c r="U20" s="18" t="s">
        <v>17</v>
      </c>
      <c r="V20" s="16">
        <f t="shared" si="6"/>
        <v>58.469695219546814</v>
      </c>
      <c r="W20" s="16">
        <f t="shared" si="6"/>
        <v>66.905491960538711</v>
      </c>
      <c r="X20" s="16">
        <f t="shared" si="6"/>
        <v>50.589189345878573</v>
      </c>
    </row>
    <row r="21" spans="1:24" s="11" customFormat="1" ht="20.25" customHeight="1">
      <c r="A21" s="18" t="s">
        <v>16</v>
      </c>
      <c r="B21" s="16">
        <f t="shared" si="7"/>
        <v>57.768084861423063</v>
      </c>
      <c r="C21" s="16">
        <f t="shared" si="7"/>
        <v>65.718492427195443</v>
      </c>
      <c r="D21" s="16">
        <f t="shared" si="8"/>
        <v>50.337869084223776</v>
      </c>
      <c r="E21" s="15"/>
      <c r="F21" s="18" t="s">
        <v>16</v>
      </c>
      <c r="G21" s="16">
        <f t="shared" si="3"/>
        <v>57.088851027735323</v>
      </c>
      <c r="H21" s="16">
        <f t="shared" si="3"/>
        <v>65.07413941358611</v>
      </c>
      <c r="I21" s="16">
        <f t="shared" si="3"/>
        <v>49.628248055904706</v>
      </c>
      <c r="J21" s="15"/>
      <c r="K21" s="18" t="s">
        <v>16</v>
      </c>
      <c r="L21" s="16">
        <f t="shared" si="4"/>
        <v>56.723886952099043</v>
      </c>
      <c r="M21" s="16">
        <f t="shared" si="4"/>
        <v>66.131855162082687</v>
      </c>
      <c r="N21" s="16">
        <f t="shared" si="4"/>
        <v>47.936612028036336</v>
      </c>
      <c r="O21" s="15"/>
      <c r="P21" s="18" t="s">
        <v>16</v>
      </c>
      <c r="Q21" s="16">
        <f t="shared" si="5"/>
        <v>58.3815862208358</v>
      </c>
      <c r="R21" s="16">
        <f t="shared" si="5"/>
        <v>66.049642958002181</v>
      </c>
      <c r="S21" s="16">
        <f>S8*100/S$5</f>
        <v>51.221127085560362</v>
      </c>
      <c r="U21" s="18" t="s">
        <v>16</v>
      </c>
      <c r="V21" s="16">
        <f t="shared" si="6"/>
        <v>57.490634924348321</v>
      </c>
      <c r="W21" s="16">
        <f t="shared" si="6"/>
        <v>65.743632824867518</v>
      </c>
      <c r="X21" s="16">
        <f t="shared" si="6"/>
        <v>49.780908431672962</v>
      </c>
    </row>
    <row r="22" spans="1:24" s="11" customFormat="1" ht="20.25" customHeight="1">
      <c r="A22" s="18" t="s">
        <v>15</v>
      </c>
      <c r="B22" s="19">
        <f t="shared" si="7"/>
        <v>0.66805344427554203</v>
      </c>
      <c r="C22" s="16">
        <f t="shared" si="7"/>
        <v>1.0299377735409299</v>
      </c>
      <c r="D22" s="16">
        <f t="shared" si="8"/>
        <v>0.32984705289444327</v>
      </c>
      <c r="E22" s="15"/>
      <c r="F22" s="18" t="s">
        <v>15</v>
      </c>
      <c r="G22" s="16">
        <f t="shared" si="3"/>
        <v>1.2660899746752756</v>
      </c>
      <c r="H22" s="16">
        <f t="shared" si="3"/>
        <v>1.0513344287046493</v>
      </c>
      <c r="I22" s="16">
        <f t="shared" si="3"/>
        <v>1.4667346836784632</v>
      </c>
      <c r="J22" s="15"/>
      <c r="K22" s="18" t="s">
        <v>15</v>
      </c>
      <c r="L22" s="16">
        <f t="shared" si="4"/>
        <v>0.70742629534865142</v>
      </c>
      <c r="M22" s="16">
        <f t="shared" si="4"/>
        <v>0.98919112491992955</v>
      </c>
      <c r="N22" s="16">
        <f t="shared" si="4"/>
        <v>0.44425097777614464</v>
      </c>
      <c r="O22" s="15"/>
      <c r="P22" s="18" t="s">
        <v>15</v>
      </c>
      <c r="Q22" s="16">
        <f t="shared" si="5"/>
        <v>1.2743243012889354</v>
      </c>
      <c r="R22" s="16">
        <f t="shared" si="5"/>
        <v>1.5767337717351837</v>
      </c>
      <c r="S22" s="16">
        <f t="shared" si="5"/>
        <v>0.99193324323178855</v>
      </c>
      <c r="U22" s="18" t="s">
        <v>15</v>
      </c>
      <c r="V22" s="16">
        <f t="shared" si="6"/>
        <v>0.97905615243799016</v>
      </c>
      <c r="W22" s="16">
        <f t="shared" si="6"/>
        <v>1.1618651903372574</v>
      </c>
      <c r="X22" s="16">
        <f t="shared" si="6"/>
        <v>0.8082809142056131</v>
      </c>
    </row>
    <row r="23" spans="1:24" s="11" customFormat="1" ht="20.25" customHeight="1">
      <c r="A23" s="18" t="s">
        <v>14</v>
      </c>
      <c r="B23" s="16">
        <f t="shared" si="7"/>
        <v>3.4630575324074706</v>
      </c>
      <c r="C23" s="16">
        <f t="shared" si="7"/>
        <v>4.2930399675234838</v>
      </c>
      <c r="D23" s="16">
        <f t="shared" si="8"/>
        <v>2.6873804953274028</v>
      </c>
      <c r="E23" s="15"/>
      <c r="F23" s="18" t="s">
        <v>14</v>
      </c>
      <c r="G23" s="16">
        <f t="shared" si="3"/>
        <v>2.3789153998210937</v>
      </c>
      <c r="H23" s="16">
        <f t="shared" si="3"/>
        <v>3.1458283711936184</v>
      </c>
      <c r="I23" s="16">
        <f t="shared" si="3"/>
        <v>1.662393601623356</v>
      </c>
      <c r="J23" s="15"/>
      <c r="K23" s="18" t="s">
        <v>14</v>
      </c>
      <c r="L23" s="16">
        <f t="shared" si="4"/>
        <v>1.1261528987865455</v>
      </c>
      <c r="M23" s="16">
        <f t="shared" si="4"/>
        <v>2.0295264371062678</v>
      </c>
      <c r="N23" s="16">
        <f t="shared" si="4"/>
        <v>0.28237967770839989</v>
      </c>
      <c r="O23" s="15"/>
      <c r="P23" s="18" t="s">
        <v>14</v>
      </c>
      <c r="Q23" s="16">
        <f>Q10*100/Q$5</f>
        <v>0.96471682629204014</v>
      </c>
      <c r="R23" s="16">
        <f>R10*100/R$5</f>
        <v>1.4799088231734376</v>
      </c>
      <c r="S23" s="16">
        <f>S10*100/S$5</f>
        <v>0.48362867489510392</v>
      </c>
      <c r="U23" s="18" t="s">
        <v>14</v>
      </c>
      <c r="V23" s="16">
        <f t="shared" si="6"/>
        <v>1.9825667764254509</v>
      </c>
      <c r="W23" s="16">
        <f t="shared" si="6"/>
        <v>2.7365576952913617</v>
      </c>
      <c r="X23" s="16">
        <f t="shared" si="6"/>
        <v>1.2782089379178889</v>
      </c>
    </row>
    <row r="24" spans="1:24" s="11" customFormat="1" ht="20.25" customHeight="1">
      <c r="A24" s="18" t="s">
        <v>13</v>
      </c>
      <c r="B24" s="16">
        <f t="shared" si="7"/>
        <v>38.100804161893926</v>
      </c>
      <c r="C24" s="16">
        <f t="shared" si="7"/>
        <v>28.95852983174014</v>
      </c>
      <c r="D24" s="16">
        <f t="shared" si="8"/>
        <v>46.644903367554377</v>
      </c>
      <c r="E24" s="15"/>
      <c r="F24" s="18" t="s">
        <v>13</v>
      </c>
      <c r="G24" s="16">
        <f t="shared" si="3"/>
        <v>39.266143597768306</v>
      </c>
      <c r="H24" s="16">
        <f t="shared" si="3"/>
        <v>30.728697786515628</v>
      </c>
      <c r="I24" s="16">
        <f t="shared" si="3"/>
        <v>47.242623658793477</v>
      </c>
      <c r="J24" s="15"/>
      <c r="K24" s="18" t="s">
        <v>13</v>
      </c>
      <c r="L24" s="16">
        <f t="shared" si="4"/>
        <v>41.442533853765759</v>
      </c>
      <c r="M24" s="16">
        <f t="shared" si="4"/>
        <v>30.849427275891113</v>
      </c>
      <c r="N24" s="16">
        <f t="shared" si="4"/>
        <v>51.336757316479122</v>
      </c>
      <c r="O24" s="15"/>
      <c r="P24" s="18" t="s">
        <v>13</v>
      </c>
      <c r="Q24" s="16">
        <f>Q11*100/Q$5-0.03</f>
        <v>39.349372651583224</v>
      </c>
      <c r="R24" s="16">
        <f t="shared" si="5"/>
        <v>30.893714447089199</v>
      </c>
      <c r="S24" s="16">
        <f t="shared" si="5"/>
        <v>47.303310996312746</v>
      </c>
      <c r="U24" s="18" t="s">
        <v>13</v>
      </c>
      <c r="V24" s="16">
        <f t="shared" si="6"/>
        <v>39.547742146788238</v>
      </c>
      <c r="W24" s="16">
        <f t="shared" si="6"/>
        <v>30.357944289503859</v>
      </c>
      <c r="X24" s="16">
        <f t="shared" si="6"/>
        <v>48.132601716203538</v>
      </c>
    </row>
    <row r="25" spans="1:24" s="11" customFormat="1" ht="20.25" customHeight="1">
      <c r="A25" s="18" t="s">
        <v>12</v>
      </c>
      <c r="B25" s="16">
        <f t="shared" si="7"/>
        <v>9.2640581978265573</v>
      </c>
      <c r="C25" s="16">
        <f t="shared" si="7"/>
        <v>0.71708874692755598</v>
      </c>
      <c r="D25" s="16">
        <f t="shared" si="8"/>
        <v>17.251803069512317</v>
      </c>
      <c r="E25" s="15"/>
      <c r="F25" s="18" t="s">
        <v>12</v>
      </c>
      <c r="G25" s="16">
        <f t="shared" si="3"/>
        <v>9.2844973200640553</v>
      </c>
      <c r="H25" s="16">
        <f t="shared" si="3"/>
        <v>1.0735379013277677</v>
      </c>
      <c r="I25" s="16">
        <f t="shared" si="3"/>
        <v>16.955943269286077</v>
      </c>
      <c r="J25" s="15"/>
      <c r="K25" s="18" t="s">
        <v>12</v>
      </c>
      <c r="L25" s="16">
        <f t="shared" si="4"/>
        <v>11.273172461771406</v>
      </c>
      <c r="M25" s="16">
        <f t="shared" si="4"/>
        <v>1.1390930229039204</v>
      </c>
      <c r="N25" s="16">
        <f t="shared" si="4"/>
        <v>20.738653227014606</v>
      </c>
      <c r="O25" s="15"/>
      <c r="P25" s="18" t="s">
        <v>12</v>
      </c>
      <c r="Q25" s="16">
        <f t="shared" si="5"/>
        <v>9.2231565156617936</v>
      </c>
      <c r="R25" s="16">
        <f t="shared" si="5"/>
        <v>1.0998709000685842</v>
      </c>
      <c r="S25" s="16">
        <f t="shared" si="5"/>
        <v>16.808710025288082</v>
      </c>
      <c r="U25" s="18" t="s">
        <v>12</v>
      </c>
      <c r="V25" s="16">
        <f t="shared" si="6"/>
        <v>9.7614281703815049</v>
      </c>
      <c r="W25" s="16">
        <f t="shared" si="6"/>
        <v>1.0074712056479944</v>
      </c>
      <c r="X25" s="16">
        <f t="shared" si="6"/>
        <v>17.939137015127489</v>
      </c>
    </row>
    <row r="26" spans="1:24" s="11" customFormat="1" ht="20.25" customHeight="1">
      <c r="A26" s="18" t="s">
        <v>11</v>
      </c>
      <c r="B26" s="16">
        <f>B13*100/B$5</f>
        <v>8.5062902593183072</v>
      </c>
      <c r="C26" s="16">
        <f>C13*100/C$5</f>
        <v>7.939478154089759</v>
      </c>
      <c r="D26" s="16">
        <f t="shared" si="8"/>
        <v>9.0360160893635406</v>
      </c>
      <c r="E26" s="15"/>
      <c r="F26" s="18" t="s">
        <v>11</v>
      </c>
      <c r="G26" s="16">
        <f t="shared" si="3"/>
        <v>7.9954469119191947</v>
      </c>
      <c r="H26" s="16">
        <f t="shared" si="3"/>
        <v>7.6249752734054876</v>
      </c>
      <c r="I26" s="16">
        <f t="shared" si="3"/>
        <v>8.3415761528081998</v>
      </c>
      <c r="J26" s="15"/>
      <c r="K26" s="18" t="s">
        <v>11</v>
      </c>
      <c r="L26" s="16">
        <f t="shared" si="4"/>
        <v>8.7160414916897757</v>
      </c>
      <c r="M26" s="16">
        <f t="shared" si="4"/>
        <v>8.2954459480588909</v>
      </c>
      <c r="N26" s="16">
        <f t="shared" si="4"/>
        <v>9.1088881288412633</v>
      </c>
      <c r="O26" s="15"/>
      <c r="P26" s="18" t="s">
        <v>11</v>
      </c>
      <c r="Q26" s="16">
        <f>Q13*100/Q$5</f>
        <v>7.3430106977004694</v>
      </c>
      <c r="R26" s="16">
        <f t="shared" si="5"/>
        <v>6.7566668011457622</v>
      </c>
      <c r="S26" s="16">
        <f t="shared" si="5"/>
        <v>7.8905407505427281</v>
      </c>
      <c r="U26" s="18" t="s">
        <v>11</v>
      </c>
      <c r="V26" s="16">
        <f t="shared" si="6"/>
        <v>8.1400370021620336</v>
      </c>
      <c r="W26" s="16">
        <f t="shared" si="6"/>
        <v>7.6540313354196705</v>
      </c>
      <c r="X26" s="16">
        <f t="shared" si="6"/>
        <v>8.5940502964387981</v>
      </c>
    </row>
    <row r="27" spans="1:24" s="11" customFormat="1" ht="20.25" customHeight="1">
      <c r="A27" s="17" t="s">
        <v>10</v>
      </c>
      <c r="B27" s="16">
        <f>B14*100/B$5</f>
        <v>20.330455704749063</v>
      </c>
      <c r="C27" s="16">
        <f>C14*100/C$5</f>
        <v>20.301962930722823</v>
      </c>
      <c r="D27" s="16">
        <f t="shared" si="8"/>
        <v>20.357084208678515</v>
      </c>
      <c r="E27" s="15"/>
      <c r="F27" s="17" t="s">
        <v>10</v>
      </c>
      <c r="G27" s="16">
        <f t="shared" si="3"/>
        <v>21.986199365785055</v>
      </c>
      <c r="H27" s="16">
        <f t="shared" si="3"/>
        <v>22.030184611782374</v>
      </c>
      <c r="I27" s="16">
        <f t="shared" si="3"/>
        <v>21.945104236699201</v>
      </c>
      <c r="J27" s="15"/>
      <c r="K27" s="17" t="s">
        <v>10</v>
      </c>
      <c r="L27" s="16">
        <f t="shared" si="4"/>
        <v>21.453319900304582</v>
      </c>
      <c r="M27" s="16">
        <f t="shared" si="4"/>
        <v>21.414888304928301</v>
      </c>
      <c r="N27" s="16">
        <f t="shared" si="4"/>
        <v>21.489215960623252</v>
      </c>
      <c r="O27" s="15"/>
      <c r="P27" s="17" t="s">
        <v>10</v>
      </c>
      <c r="Q27" s="16">
        <f>Q14*100/Q$5</f>
        <v>22.813205438220962</v>
      </c>
      <c r="R27" s="16">
        <f t="shared" si="5"/>
        <v>23.037176745874852</v>
      </c>
      <c r="S27" s="16">
        <f t="shared" si="5"/>
        <v>22.604060220481934</v>
      </c>
      <c r="U27" s="17" t="s">
        <v>10</v>
      </c>
      <c r="V27" s="16">
        <f t="shared" si="6"/>
        <v>21.646276974244703</v>
      </c>
      <c r="W27" s="16">
        <f t="shared" si="6"/>
        <v>21.696441748436193</v>
      </c>
      <c r="X27" s="16">
        <f t="shared" si="6"/>
        <v>21.599414404637251</v>
      </c>
    </row>
    <row r="28" spans="1:24" s="11" customFormat="1" ht="20.25" customHeight="1">
      <c r="A28" s="14"/>
      <c r="B28" s="13"/>
      <c r="C28" s="13"/>
      <c r="D28" s="13"/>
      <c r="F28" s="14"/>
      <c r="G28" s="13"/>
      <c r="H28" s="13"/>
      <c r="I28" s="13"/>
      <c r="K28" s="14"/>
      <c r="L28" s="13"/>
      <c r="M28" s="13"/>
      <c r="N28" s="13"/>
      <c r="P28" s="14"/>
      <c r="Q28" s="13"/>
      <c r="R28" s="13"/>
      <c r="S28" s="13"/>
      <c r="U28" s="14"/>
      <c r="V28" s="13"/>
      <c r="W28" s="13"/>
      <c r="X28" s="13"/>
    </row>
    <row r="29" spans="1:24" s="11" customFormat="1" ht="20.25" customHeight="1">
      <c r="A29" s="12"/>
      <c r="B29" s="9"/>
      <c r="C29" s="9"/>
      <c r="D29" s="9"/>
      <c r="F29" s="12"/>
      <c r="G29" s="9"/>
      <c r="H29" s="9"/>
      <c r="I29" s="9"/>
      <c r="K29" s="12"/>
      <c r="L29" s="9"/>
      <c r="M29" s="9"/>
      <c r="N29" s="9"/>
      <c r="P29" s="12"/>
      <c r="Q29" s="9"/>
      <c r="R29" s="9"/>
      <c r="S29" s="9"/>
      <c r="U29" s="12"/>
      <c r="V29" s="9"/>
      <c r="W29" s="9"/>
      <c r="X29" s="9"/>
    </row>
    <row r="30" spans="1:24" s="11" customFormat="1" ht="24" customHeight="1">
      <c r="A30" s="12"/>
      <c r="B30" s="9"/>
      <c r="C30" s="9"/>
      <c r="D30" s="9"/>
      <c r="E30" s="9"/>
      <c r="F30" s="12"/>
      <c r="G30" s="9"/>
      <c r="H30" s="9"/>
      <c r="I30" s="9"/>
      <c r="J30" s="9"/>
      <c r="K30" s="12"/>
      <c r="L30" s="9"/>
      <c r="M30" s="9"/>
      <c r="N30" s="9"/>
      <c r="O30" s="9"/>
      <c r="P30" s="12"/>
      <c r="Q30" s="9"/>
      <c r="R30" s="9"/>
      <c r="S30" s="9"/>
      <c r="U30" s="12"/>
      <c r="V30" s="9"/>
      <c r="W30" s="9"/>
      <c r="X30" s="9"/>
    </row>
    <row r="46" spans="2:24" ht="24" customHeight="1">
      <c r="B46" s="10"/>
      <c r="D46" s="10"/>
      <c r="G46" s="10"/>
      <c r="I46" s="10"/>
      <c r="L46" s="10"/>
      <c r="N46" s="10"/>
      <c r="Q46" s="10"/>
      <c r="S46" s="10"/>
      <c r="V46" s="10"/>
      <c r="X46" s="10"/>
    </row>
    <row r="47" spans="2:24" ht="24" customHeight="1">
      <c r="B47" s="10"/>
      <c r="D47" s="10"/>
      <c r="G47" s="10"/>
      <c r="I47" s="10"/>
      <c r="L47" s="10"/>
      <c r="N47" s="10"/>
      <c r="Q47" s="10"/>
      <c r="S47" s="10"/>
      <c r="V47" s="10"/>
      <c r="X47" s="10"/>
    </row>
    <row r="48" spans="2:24" ht="24" customHeight="1">
      <c r="B48" s="10"/>
      <c r="D48" s="10"/>
      <c r="G48" s="10"/>
      <c r="I48" s="10"/>
      <c r="L48" s="10"/>
      <c r="N48" s="10"/>
      <c r="Q48" s="10"/>
      <c r="S48" s="10"/>
      <c r="V48" s="10"/>
      <c r="X48" s="10"/>
    </row>
    <row r="49" spans="2:24" ht="24" customHeight="1">
      <c r="B49" s="10"/>
      <c r="D49" s="10"/>
      <c r="G49" s="10"/>
      <c r="I49" s="10"/>
      <c r="L49" s="10"/>
      <c r="N49" s="10"/>
      <c r="Q49" s="10"/>
      <c r="S49" s="10"/>
      <c r="V49" s="10"/>
      <c r="X49" s="10"/>
    </row>
    <row r="50" spans="2:24" ht="24" customHeight="1">
      <c r="B50" s="10"/>
      <c r="D50" s="10"/>
      <c r="G50" s="10"/>
      <c r="I50" s="10"/>
      <c r="L50" s="10"/>
      <c r="N50" s="10"/>
      <c r="Q50" s="10"/>
      <c r="S50" s="10"/>
      <c r="V50" s="10"/>
      <c r="X50" s="10"/>
    </row>
    <row r="51" spans="2:24" ht="24" customHeight="1">
      <c r="B51" s="10"/>
      <c r="D51" s="10"/>
      <c r="G51" s="10"/>
      <c r="I51" s="10"/>
      <c r="L51" s="10"/>
      <c r="N51" s="10"/>
      <c r="Q51" s="10"/>
      <c r="S51" s="10"/>
      <c r="V51" s="10"/>
      <c r="X51" s="10"/>
    </row>
    <row r="53" spans="2:24" ht="24" customHeight="1">
      <c r="B53" s="10"/>
      <c r="D53" s="10"/>
      <c r="G53" s="10"/>
      <c r="I53" s="10"/>
      <c r="L53" s="10"/>
      <c r="N53" s="10"/>
      <c r="Q53" s="10"/>
      <c r="S53" s="10"/>
      <c r="V53" s="10"/>
      <c r="X53" s="10"/>
    </row>
    <row r="54" spans="2:24" ht="24" customHeight="1">
      <c r="B54" s="10"/>
      <c r="D54" s="10"/>
      <c r="G54" s="10"/>
      <c r="I54" s="10"/>
      <c r="L54" s="10"/>
      <c r="N54" s="10"/>
      <c r="Q54" s="10"/>
      <c r="S54" s="10"/>
      <c r="V54" s="10"/>
      <c r="X54" s="10"/>
    </row>
    <row r="55" spans="2:24" ht="24" customHeight="1">
      <c r="B55" s="10"/>
      <c r="D55" s="10"/>
      <c r="G55" s="10"/>
      <c r="I55" s="10"/>
      <c r="L55" s="10"/>
      <c r="N55" s="10"/>
      <c r="Q55" s="10"/>
      <c r="S55" s="10"/>
      <c r="V55" s="10"/>
      <c r="X55" s="10"/>
    </row>
    <row r="56" spans="2:24" ht="24" customHeight="1">
      <c r="B56" s="10"/>
      <c r="D56" s="10"/>
      <c r="G56" s="10"/>
      <c r="I56" s="10"/>
      <c r="L56" s="10"/>
      <c r="N56" s="10"/>
      <c r="Q56" s="10"/>
      <c r="S56" s="10"/>
      <c r="V56" s="10"/>
      <c r="X56" s="10"/>
    </row>
    <row r="57" spans="2:24" ht="24" customHeight="1">
      <c r="B57" s="10"/>
      <c r="D57" s="10"/>
      <c r="G57" s="10"/>
      <c r="I57" s="10"/>
      <c r="L57" s="10"/>
      <c r="N57" s="10"/>
      <c r="Q57" s="10"/>
      <c r="S57" s="10"/>
      <c r="V57" s="10"/>
      <c r="X57" s="10"/>
    </row>
    <row r="73" spans="2:24" ht="24" customHeight="1">
      <c r="B73" s="10"/>
      <c r="D73" s="10"/>
      <c r="G73" s="10"/>
      <c r="I73" s="10"/>
      <c r="L73" s="10"/>
      <c r="N73" s="10"/>
      <c r="Q73" s="10"/>
      <c r="S73" s="10"/>
      <c r="V73" s="10"/>
      <c r="X73" s="10"/>
    </row>
    <row r="74" spans="2:24" ht="24" customHeight="1">
      <c r="B74" s="10"/>
      <c r="D74" s="10"/>
      <c r="G74" s="10"/>
      <c r="I74" s="10"/>
      <c r="L74" s="10"/>
      <c r="N74" s="10"/>
      <c r="Q74" s="10"/>
      <c r="S74" s="10"/>
      <c r="V74" s="10"/>
      <c r="X74" s="10"/>
    </row>
    <row r="75" spans="2:24" ht="24" customHeight="1">
      <c r="B75" s="10"/>
      <c r="D75" s="10"/>
      <c r="G75" s="10"/>
      <c r="I75" s="10"/>
      <c r="L75" s="10"/>
      <c r="N75" s="10"/>
      <c r="Q75" s="10"/>
      <c r="S75" s="10"/>
      <c r="V75" s="10"/>
      <c r="X75" s="10"/>
    </row>
    <row r="77" spans="2:24" ht="24" customHeight="1">
      <c r="B77" s="10"/>
      <c r="D77" s="10"/>
      <c r="G77" s="10"/>
      <c r="I77" s="10"/>
      <c r="L77" s="10"/>
      <c r="N77" s="10"/>
      <c r="Q77" s="10"/>
      <c r="S77" s="10"/>
      <c r="V77" s="10"/>
      <c r="X77" s="10"/>
    </row>
    <row r="78" spans="2:24" ht="24" customHeight="1">
      <c r="B78" s="10"/>
      <c r="G78" s="10"/>
      <c r="L78" s="10"/>
      <c r="Q78" s="10"/>
      <c r="V78" s="10"/>
    </row>
    <row r="79" spans="2:24" ht="24" customHeight="1">
      <c r="B79" s="10"/>
      <c r="D79" s="10"/>
      <c r="G79" s="10"/>
      <c r="I79" s="10"/>
      <c r="L79" s="10"/>
      <c r="N79" s="10"/>
      <c r="Q79" s="10"/>
      <c r="S79" s="10"/>
      <c r="V79" s="10"/>
      <c r="X79" s="10"/>
    </row>
    <row r="80" spans="2:24" ht="24" customHeight="1">
      <c r="B80" s="10"/>
      <c r="D80" s="10"/>
      <c r="G80" s="10"/>
      <c r="I80" s="10"/>
      <c r="L80" s="10"/>
      <c r="N80" s="10"/>
      <c r="Q80" s="10"/>
      <c r="S80" s="10"/>
      <c r="V80" s="10"/>
      <c r="X80" s="10"/>
    </row>
    <row r="82" spans="2:24" ht="24" customHeight="1">
      <c r="B82" s="10"/>
      <c r="D82" s="10"/>
      <c r="G82" s="10"/>
      <c r="I82" s="10"/>
      <c r="L82" s="10"/>
      <c r="N82" s="10"/>
      <c r="Q82" s="10"/>
      <c r="S82" s="10"/>
      <c r="V82" s="10"/>
      <c r="X82" s="10"/>
    </row>
    <row r="84" spans="2:24" ht="24" customHeight="1">
      <c r="B84" s="10"/>
      <c r="D84" s="10"/>
      <c r="G84" s="10"/>
      <c r="I84" s="10"/>
      <c r="L84" s="10"/>
      <c r="N84" s="10"/>
      <c r="Q84" s="10"/>
      <c r="S84" s="10"/>
      <c r="V84" s="10"/>
      <c r="X84" s="10"/>
    </row>
    <row r="86" spans="2:24" ht="24" customHeight="1">
      <c r="B86" s="10"/>
      <c r="D86" s="10"/>
      <c r="G86" s="10"/>
      <c r="I86" s="10"/>
      <c r="L86" s="10"/>
      <c r="N86" s="10"/>
      <c r="Q86" s="10"/>
      <c r="S86" s="10"/>
      <c r="V86" s="10"/>
      <c r="X86" s="10"/>
    </row>
    <row r="99" spans="2:24" ht="24" customHeight="1">
      <c r="B99" s="10"/>
      <c r="D99" s="10"/>
      <c r="G99" s="10"/>
      <c r="I99" s="10"/>
      <c r="L99" s="10"/>
      <c r="N99" s="10"/>
      <c r="Q99" s="10"/>
      <c r="S99" s="10"/>
      <c r="V99" s="10"/>
      <c r="X99" s="10"/>
    </row>
    <row r="100" spans="2:24" ht="24" customHeight="1">
      <c r="B100" s="10"/>
      <c r="D100" s="10"/>
      <c r="G100" s="10"/>
      <c r="I100" s="10"/>
      <c r="L100" s="10"/>
      <c r="N100" s="10"/>
      <c r="Q100" s="10"/>
      <c r="S100" s="10"/>
      <c r="V100" s="10"/>
      <c r="X100" s="10"/>
    </row>
    <row r="103" spans="2:24" ht="24" customHeight="1">
      <c r="B103" s="10"/>
      <c r="D103" s="10"/>
      <c r="G103" s="10"/>
      <c r="I103" s="10"/>
      <c r="L103" s="10"/>
      <c r="N103" s="10"/>
      <c r="Q103" s="10"/>
      <c r="S103" s="10"/>
      <c r="V103" s="10"/>
      <c r="X103" s="10"/>
    </row>
    <row r="105" spans="2:24" ht="24" customHeight="1">
      <c r="B105" s="10"/>
      <c r="D105" s="10"/>
      <c r="G105" s="10"/>
      <c r="I105" s="10"/>
      <c r="L105" s="10"/>
      <c r="N105" s="10"/>
      <c r="Q105" s="10"/>
      <c r="S105" s="10"/>
      <c r="V105" s="10"/>
      <c r="X105" s="10"/>
    </row>
    <row r="107" spans="2:24" ht="24" customHeight="1">
      <c r="B107" s="10"/>
      <c r="D107" s="10"/>
      <c r="G107" s="10"/>
      <c r="I107" s="10"/>
      <c r="L107" s="10"/>
      <c r="N107" s="10"/>
      <c r="Q107" s="10"/>
      <c r="S107" s="10"/>
      <c r="V107" s="10"/>
      <c r="X107" s="10"/>
    </row>
    <row r="108" spans="2:24" ht="24" customHeight="1">
      <c r="B108" s="10"/>
      <c r="D108" s="10"/>
      <c r="G108" s="10"/>
      <c r="I108" s="10"/>
      <c r="L108" s="10"/>
      <c r="N108" s="10"/>
      <c r="Q108" s="10"/>
      <c r="S108" s="10"/>
      <c r="V108" s="10"/>
      <c r="X108" s="10"/>
    </row>
    <row r="109" spans="2:24" ht="24" customHeight="1">
      <c r="B109" s="10"/>
      <c r="D109" s="10"/>
      <c r="G109" s="10"/>
      <c r="I109" s="10"/>
      <c r="L109" s="10"/>
      <c r="N109" s="10"/>
      <c r="Q109" s="10"/>
      <c r="S109" s="10"/>
      <c r="V109" s="10"/>
      <c r="X109" s="10"/>
    </row>
    <row r="110" spans="2:24" ht="24" customHeight="1">
      <c r="B110" s="10"/>
      <c r="D110" s="10"/>
      <c r="G110" s="10"/>
      <c r="I110" s="10"/>
      <c r="L110" s="10"/>
      <c r="N110" s="10"/>
      <c r="Q110" s="10"/>
      <c r="S110" s="10"/>
      <c r="V110" s="10"/>
      <c r="X110" s="10"/>
    </row>
    <row r="111" spans="2:24" ht="24" customHeight="1">
      <c r="B111" s="10"/>
      <c r="D111" s="10"/>
      <c r="G111" s="10"/>
      <c r="I111" s="10"/>
      <c r="L111" s="10"/>
      <c r="N111" s="10"/>
      <c r="Q111" s="10"/>
      <c r="S111" s="10"/>
      <c r="V111" s="10"/>
      <c r="X111" s="10"/>
    </row>
    <row r="113" spans="2:24" ht="24" customHeight="1">
      <c r="B113" s="10"/>
      <c r="D113" s="10"/>
      <c r="G113" s="10"/>
      <c r="I113" s="10"/>
      <c r="L113" s="10"/>
      <c r="N113" s="10"/>
      <c r="Q113" s="10"/>
      <c r="S113" s="10"/>
      <c r="V113" s="10"/>
      <c r="X113" s="10"/>
    </row>
    <row r="114" spans="2:24" ht="24" customHeight="1">
      <c r="B114" s="10"/>
      <c r="D114" s="10"/>
      <c r="G114" s="10"/>
      <c r="I114" s="10"/>
      <c r="L114" s="10"/>
      <c r="N114" s="10"/>
      <c r="Q114" s="10"/>
      <c r="S114" s="10"/>
      <c r="V114" s="10"/>
      <c r="X114" s="10"/>
    </row>
    <row r="115" spans="2:24" ht="24" customHeight="1">
      <c r="B115" s="10"/>
      <c r="D115" s="10"/>
      <c r="G115" s="10"/>
      <c r="I115" s="10"/>
      <c r="L115" s="10"/>
      <c r="N115" s="10"/>
      <c r="Q115" s="10"/>
      <c r="S115" s="10"/>
      <c r="V115" s="10"/>
      <c r="X115" s="10"/>
    </row>
    <row r="116" spans="2:24" ht="24" customHeight="1">
      <c r="B116" s="10"/>
      <c r="D116" s="10"/>
      <c r="G116" s="10"/>
      <c r="I116" s="10"/>
      <c r="L116" s="10"/>
      <c r="N116" s="10"/>
      <c r="Q116" s="10"/>
      <c r="S116" s="10"/>
      <c r="V116" s="10"/>
      <c r="X116" s="10"/>
    </row>
    <row r="117" spans="2:24" ht="24" customHeight="1">
      <c r="B117" s="10"/>
      <c r="D117" s="10"/>
      <c r="G117" s="10"/>
      <c r="I117" s="10"/>
      <c r="L117" s="10"/>
      <c r="N117" s="10"/>
      <c r="Q117" s="10"/>
      <c r="S117" s="10"/>
      <c r="V117" s="10"/>
      <c r="X117" s="10"/>
    </row>
    <row r="135" spans="2:24" ht="24" customHeight="1">
      <c r="B135" s="10"/>
      <c r="D135" s="10"/>
      <c r="G135" s="10"/>
      <c r="I135" s="10"/>
      <c r="L135" s="10"/>
      <c r="N135" s="10"/>
      <c r="Q135" s="10"/>
      <c r="S135" s="10"/>
      <c r="V135" s="10"/>
      <c r="X135" s="10"/>
    </row>
    <row r="136" spans="2:24" ht="24" customHeight="1">
      <c r="B136" s="10"/>
      <c r="D136" s="10"/>
      <c r="G136" s="10"/>
      <c r="I136" s="10"/>
      <c r="L136" s="10"/>
      <c r="N136" s="10"/>
      <c r="Q136" s="10"/>
      <c r="S136" s="10"/>
      <c r="V136" s="10"/>
      <c r="X136" s="10"/>
    </row>
    <row r="137" spans="2:24" ht="24" customHeight="1">
      <c r="B137" s="10"/>
      <c r="D137" s="10"/>
      <c r="G137" s="10"/>
      <c r="I137" s="10"/>
      <c r="L137" s="10"/>
      <c r="N137" s="10"/>
      <c r="Q137" s="10"/>
      <c r="S137" s="10"/>
      <c r="V137" s="10"/>
      <c r="X137" s="10"/>
    </row>
    <row r="138" spans="2:24" ht="24" customHeight="1">
      <c r="B138" s="10"/>
      <c r="D138" s="10"/>
      <c r="G138" s="10"/>
      <c r="I138" s="10"/>
      <c r="L138" s="10"/>
      <c r="N138" s="10"/>
      <c r="Q138" s="10"/>
      <c r="S138" s="10"/>
      <c r="V138" s="10"/>
      <c r="X138" s="10"/>
    </row>
    <row r="139" spans="2:24" ht="24" customHeight="1">
      <c r="B139" s="10"/>
      <c r="D139" s="10"/>
      <c r="G139" s="10"/>
      <c r="I139" s="10"/>
      <c r="L139" s="10"/>
      <c r="N139" s="10"/>
      <c r="Q139" s="10"/>
      <c r="S139" s="10"/>
      <c r="V139" s="10"/>
      <c r="X139" s="10"/>
    </row>
    <row r="140" spans="2:24" ht="24" customHeight="1">
      <c r="B140" s="10"/>
      <c r="D140" s="10"/>
      <c r="G140" s="10"/>
      <c r="I140" s="10"/>
      <c r="L140" s="10"/>
      <c r="N140" s="10"/>
      <c r="Q140" s="10"/>
      <c r="S140" s="10"/>
      <c r="V140" s="10"/>
      <c r="X140" s="10"/>
    </row>
    <row r="161" spans="2:24" ht="24" customHeight="1">
      <c r="B161" s="10"/>
      <c r="D161" s="10"/>
      <c r="G161" s="10"/>
      <c r="I161" s="10"/>
      <c r="L161" s="10"/>
      <c r="N161" s="10"/>
      <c r="Q161" s="10"/>
      <c r="S161" s="10"/>
      <c r="V161" s="10"/>
      <c r="X161" s="10"/>
    </row>
    <row r="162" spans="2:24" ht="24" customHeight="1">
      <c r="B162" s="10"/>
      <c r="D162" s="10"/>
      <c r="G162" s="10"/>
      <c r="I162" s="10"/>
      <c r="L162" s="10"/>
      <c r="N162" s="10"/>
      <c r="Q162" s="10"/>
      <c r="S162" s="10"/>
      <c r="V162" s="10"/>
      <c r="X162" s="10"/>
    </row>
    <row r="164" spans="2:24" ht="24" customHeight="1">
      <c r="B164" s="10"/>
      <c r="D164" s="10"/>
      <c r="G164" s="10"/>
      <c r="I164" s="10"/>
      <c r="L164" s="10"/>
      <c r="N164" s="10"/>
      <c r="Q164" s="10"/>
      <c r="S164" s="10"/>
      <c r="V164" s="10"/>
      <c r="X164" s="10"/>
    </row>
    <row r="165" spans="2:24" ht="24" customHeight="1">
      <c r="B165" s="10"/>
      <c r="D165" s="10"/>
      <c r="G165" s="10"/>
      <c r="I165" s="10"/>
      <c r="L165" s="10"/>
      <c r="N165" s="10"/>
      <c r="Q165" s="10"/>
      <c r="S165" s="10"/>
      <c r="V165" s="10"/>
      <c r="X165" s="10"/>
    </row>
    <row r="166" spans="2:24" ht="24" customHeight="1">
      <c r="B166" s="10"/>
      <c r="D166" s="10"/>
      <c r="G166" s="10"/>
      <c r="I166" s="10"/>
      <c r="L166" s="10"/>
      <c r="N166" s="10"/>
      <c r="Q166" s="10"/>
      <c r="S166" s="10"/>
      <c r="V166" s="10"/>
      <c r="X166" s="10"/>
    </row>
    <row r="167" spans="2:24" ht="24" customHeight="1">
      <c r="B167" s="10"/>
      <c r="D167" s="10"/>
      <c r="G167" s="10"/>
      <c r="I167" s="10"/>
      <c r="L167" s="10"/>
      <c r="N167" s="10"/>
      <c r="Q167" s="10"/>
      <c r="S167" s="10"/>
      <c r="V167" s="10"/>
      <c r="X167" s="10"/>
    </row>
    <row r="168" spans="2:24" ht="24" customHeight="1">
      <c r="B168" s="10"/>
      <c r="D168" s="10"/>
      <c r="G168" s="10"/>
      <c r="I168" s="10"/>
      <c r="L168" s="10"/>
      <c r="N168" s="10"/>
      <c r="Q168" s="10"/>
      <c r="S168" s="10"/>
      <c r="V168" s="10"/>
      <c r="X168" s="10"/>
    </row>
    <row r="169" spans="2:24" ht="24" customHeight="1">
      <c r="B169" s="10"/>
      <c r="D169" s="10"/>
      <c r="G169" s="10"/>
      <c r="I169" s="10"/>
      <c r="L169" s="10"/>
      <c r="N169" s="10"/>
      <c r="Q169" s="10"/>
      <c r="S169" s="10"/>
      <c r="V169" s="10"/>
      <c r="X169" s="10"/>
    </row>
    <row r="182" spans="2:24" ht="24" customHeight="1">
      <c r="B182" s="10"/>
      <c r="C182" s="10"/>
      <c r="D182" s="10"/>
      <c r="G182" s="10"/>
      <c r="H182" s="10"/>
      <c r="I182" s="10"/>
      <c r="L182" s="10"/>
      <c r="M182" s="10"/>
      <c r="N182" s="10"/>
      <c r="Q182" s="10"/>
      <c r="R182" s="10"/>
      <c r="S182" s="10"/>
      <c r="V182" s="10"/>
      <c r="W182" s="10"/>
      <c r="X182" s="10"/>
    </row>
    <row r="183" spans="2:24" ht="24" customHeight="1">
      <c r="B183" s="10"/>
      <c r="C183" s="10"/>
      <c r="D183" s="10"/>
      <c r="G183" s="10"/>
      <c r="H183" s="10"/>
      <c r="I183" s="10"/>
      <c r="L183" s="10"/>
      <c r="M183" s="10"/>
      <c r="N183" s="10"/>
      <c r="Q183" s="10"/>
      <c r="R183" s="10"/>
      <c r="S183" s="10"/>
      <c r="V183" s="10"/>
      <c r="W183" s="10"/>
      <c r="X183" s="10"/>
    </row>
    <row r="184" spans="2:24" ht="24" customHeight="1">
      <c r="B184" s="10"/>
      <c r="C184" s="10"/>
      <c r="D184" s="10"/>
      <c r="G184" s="10"/>
      <c r="H184" s="10"/>
      <c r="I184" s="10"/>
      <c r="L184" s="10"/>
      <c r="M184" s="10"/>
      <c r="N184" s="10"/>
      <c r="Q184" s="10"/>
      <c r="R184" s="10"/>
      <c r="S184" s="10"/>
      <c r="V184" s="10"/>
      <c r="W184" s="10"/>
      <c r="X184" s="10"/>
    </row>
  </sheetData>
  <pageMargins left="0.35433070866141736" right="0" top="1.1417322834645669" bottom="0.98425196850393704" header="0.6692913385826772" footer="0.51181102362204722"/>
  <pageSetup paperSize="5" scale="63" orientation="landscape" r:id="rId1"/>
  <headerFooter alignWithMargins="0">
    <oddHeader>&amp;C&amp;"TH SarabunPSK,ธรรมดา"&amp;16 16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536"/>
  <sheetViews>
    <sheetView topLeftCell="S9" zoomScale="80" zoomScaleNormal="80" workbookViewId="0">
      <selection activeCell="AE21" sqref="AE21"/>
    </sheetView>
  </sheetViews>
  <sheetFormatPr defaultColWidth="11.28515625" defaultRowHeight="8.25" customHeight="1"/>
  <cols>
    <col min="1" max="1" width="22.28515625" style="171" customWidth="1"/>
    <col min="2" max="2" width="12.42578125" style="174" customWidth="1"/>
    <col min="3" max="3" width="10.7109375" style="174" customWidth="1"/>
    <col min="4" max="4" width="12.42578125" style="174" customWidth="1"/>
    <col min="5" max="5" width="1.140625" style="174" customWidth="1"/>
    <col min="6" max="6" width="22.42578125" style="171" customWidth="1"/>
    <col min="7" max="7" width="12" style="174" customWidth="1"/>
    <col min="8" max="8" width="10.7109375" style="174" customWidth="1"/>
    <col min="9" max="9" width="12.7109375" style="174" customWidth="1"/>
    <col min="10" max="10" width="1.140625" style="174" customWidth="1"/>
    <col min="11" max="11" width="22.5703125" style="171" customWidth="1"/>
    <col min="12" max="12" width="12.5703125" style="174" customWidth="1"/>
    <col min="13" max="13" width="10.5703125" style="174" customWidth="1"/>
    <col min="14" max="14" width="12.28515625" style="174" customWidth="1"/>
    <col min="15" max="15" width="1.28515625" style="174" customWidth="1"/>
    <col min="16" max="16" width="20.5703125" style="171" customWidth="1"/>
    <col min="17" max="17" width="12.28515625" style="174" customWidth="1"/>
    <col min="18" max="18" width="10.5703125" style="174" customWidth="1"/>
    <col min="19" max="19" width="12.85546875" style="174" customWidth="1"/>
    <col min="20" max="20" width="1.7109375" style="174" customWidth="1"/>
    <col min="21" max="21" width="22.28515625" style="171" customWidth="1"/>
    <col min="22" max="22" width="11.140625" style="174" customWidth="1"/>
    <col min="23" max="23" width="9.42578125" style="174" customWidth="1"/>
    <col min="24" max="24" width="10.7109375" style="174" customWidth="1"/>
    <col min="25" max="16384" width="11.28515625" style="174"/>
  </cols>
  <sheetData>
    <row r="1" spans="1:24" s="48" customFormat="1" ht="34.9" customHeight="1">
      <c r="A1" s="48" t="s">
        <v>39</v>
      </c>
      <c r="B1" s="49"/>
      <c r="C1" s="49"/>
      <c r="D1" s="49"/>
      <c r="G1" s="49"/>
      <c r="H1" s="49"/>
      <c r="I1" s="49"/>
      <c r="L1" s="49"/>
      <c r="M1" s="49"/>
      <c r="N1" s="49"/>
      <c r="Q1" s="49"/>
      <c r="R1" s="49"/>
      <c r="S1" s="49"/>
      <c r="V1" s="49"/>
      <c r="W1" s="49"/>
      <c r="X1" s="49"/>
    </row>
    <row r="2" spans="1:24" s="132" customFormat="1" ht="25.15" customHeight="1">
      <c r="A2" s="250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171" customFormat="1" ht="30" customHeight="1">
      <c r="A3" s="169" t="s">
        <v>6</v>
      </c>
      <c r="B3" s="170" t="s">
        <v>0</v>
      </c>
      <c r="C3" s="170" t="s">
        <v>1</v>
      </c>
      <c r="D3" s="170" t="s">
        <v>2</v>
      </c>
      <c r="F3" s="169" t="s">
        <v>6</v>
      </c>
      <c r="G3" s="170" t="s">
        <v>0</v>
      </c>
      <c r="H3" s="170" t="s">
        <v>1</v>
      </c>
      <c r="I3" s="170" t="s">
        <v>2</v>
      </c>
      <c r="K3" s="169" t="s">
        <v>6</v>
      </c>
      <c r="L3" s="170" t="s">
        <v>0</v>
      </c>
      <c r="M3" s="170" t="s">
        <v>1</v>
      </c>
      <c r="N3" s="170" t="s">
        <v>2</v>
      </c>
      <c r="P3" s="169" t="s">
        <v>6</v>
      </c>
      <c r="Q3" s="170" t="s">
        <v>0</v>
      </c>
      <c r="R3" s="170" t="s">
        <v>1</v>
      </c>
      <c r="S3" s="170" t="s">
        <v>2</v>
      </c>
      <c r="U3" s="169" t="s">
        <v>6</v>
      </c>
      <c r="V3" s="170" t="s">
        <v>0</v>
      </c>
      <c r="W3" s="170" t="s">
        <v>1</v>
      </c>
      <c r="X3" s="170" t="s">
        <v>2</v>
      </c>
    </row>
    <row r="4" spans="1:24" s="171" customFormat="1" ht="19.5" customHeight="1">
      <c r="B4" s="667" t="s">
        <v>21</v>
      </c>
      <c r="C4" s="667"/>
      <c r="D4" s="667"/>
      <c r="G4" s="667" t="s">
        <v>21</v>
      </c>
      <c r="H4" s="667"/>
      <c r="I4" s="667"/>
      <c r="L4" s="667" t="s">
        <v>21</v>
      </c>
      <c r="M4" s="667"/>
      <c r="N4" s="667"/>
      <c r="Q4" s="667" t="s">
        <v>21</v>
      </c>
      <c r="R4" s="667"/>
      <c r="S4" s="667"/>
      <c r="V4" s="667" t="s">
        <v>21</v>
      </c>
      <c r="W4" s="667"/>
      <c r="X4" s="667"/>
    </row>
    <row r="5" spans="1:24" ht="21" customHeight="1">
      <c r="A5" s="172" t="s">
        <v>38</v>
      </c>
      <c r="B5" s="173">
        <v>2049836</v>
      </c>
      <c r="C5" s="173">
        <v>990254</v>
      </c>
      <c r="D5" s="173">
        <v>1059582</v>
      </c>
      <c r="F5" s="172" t="s">
        <v>38</v>
      </c>
      <c r="G5" s="47">
        <v>2051355</v>
      </c>
      <c r="H5" s="47">
        <v>990836</v>
      </c>
      <c r="I5" s="47">
        <v>1060519</v>
      </c>
      <c r="J5" s="171"/>
      <c r="K5" s="172" t="s">
        <v>38</v>
      </c>
      <c r="L5" s="47">
        <v>2052652</v>
      </c>
      <c r="M5" s="47">
        <v>991315</v>
      </c>
      <c r="N5" s="47">
        <v>1061337</v>
      </c>
      <c r="P5" s="172" t="s">
        <v>38</v>
      </c>
      <c r="Q5" s="47">
        <v>2053245</v>
      </c>
      <c r="R5" s="47">
        <v>991480</v>
      </c>
      <c r="S5" s="47">
        <v>1061765</v>
      </c>
      <c r="U5" s="172" t="s">
        <v>38</v>
      </c>
      <c r="V5" s="137">
        <f>(B5+G5+L5+Q5)/4</f>
        <v>2051772</v>
      </c>
      <c r="W5" s="137">
        <f>(C5+H5+M5+R5)/4</f>
        <v>990971.25</v>
      </c>
      <c r="X5" s="137">
        <f>(D5+I5+N5+S5)/4</f>
        <v>1060800.75</v>
      </c>
    </row>
    <row r="6" spans="1:24" ht="12.6" customHeight="1">
      <c r="A6" s="172"/>
      <c r="B6" s="175"/>
      <c r="C6" s="175"/>
      <c r="D6" s="176"/>
      <c r="F6" s="172"/>
      <c r="G6" s="46"/>
      <c r="H6" s="46"/>
      <c r="I6" s="46"/>
      <c r="K6" s="172"/>
      <c r="L6" s="46"/>
      <c r="M6" s="46"/>
      <c r="N6" s="46"/>
      <c r="P6" s="172"/>
      <c r="Q6" s="46"/>
      <c r="R6" s="46"/>
      <c r="S6" s="46"/>
      <c r="U6" s="172"/>
      <c r="V6" s="46"/>
      <c r="W6" s="46"/>
      <c r="X6" s="46"/>
    </row>
    <row r="7" spans="1:24" ht="21" customHeight="1">
      <c r="A7" s="177" t="s">
        <v>37</v>
      </c>
      <c r="B7" s="176">
        <v>50865</v>
      </c>
      <c r="C7" s="176">
        <v>15439</v>
      </c>
      <c r="D7" s="176">
        <v>35426</v>
      </c>
      <c r="F7" s="177" t="s">
        <v>37</v>
      </c>
      <c r="G7" s="46">
        <v>50533</v>
      </c>
      <c r="H7" s="46">
        <v>20364</v>
      </c>
      <c r="I7" s="46">
        <v>30169</v>
      </c>
      <c r="K7" s="177" t="s">
        <v>37</v>
      </c>
      <c r="L7" s="46">
        <v>41929</v>
      </c>
      <c r="M7" s="46">
        <v>16389</v>
      </c>
      <c r="N7" s="46">
        <v>25540</v>
      </c>
      <c r="P7" s="177" t="s">
        <v>37</v>
      </c>
      <c r="Q7" s="46">
        <v>49436</v>
      </c>
      <c r="R7" s="46">
        <v>12305</v>
      </c>
      <c r="S7" s="46">
        <v>37131</v>
      </c>
      <c r="U7" s="177" t="s">
        <v>37</v>
      </c>
      <c r="V7" s="150">
        <f t="shared" ref="V7:V13" si="0">(B7+G7+L7+Q7)/4</f>
        <v>48190.75</v>
      </c>
      <c r="W7" s="150">
        <f t="shared" ref="W7:W13" si="1">(C7+H7+M7+R7)/4</f>
        <v>16124.25</v>
      </c>
      <c r="X7" s="150">
        <f t="shared" ref="X7:X13" si="2">(D7+I7+N7+S7)/4</f>
        <v>32066.5</v>
      </c>
    </row>
    <row r="8" spans="1:24" ht="21" customHeight="1">
      <c r="A8" s="174" t="s">
        <v>36</v>
      </c>
      <c r="B8" s="176">
        <v>603664</v>
      </c>
      <c r="C8" s="176">
        <v>260026</v>
      </c>
      <c r="D8" s="176">
        <v>343638</v>
      </c>
      <c r="F8" s="174" t="s">
        <v>36</v>
      </c>
      <c r="G8" s="46">
        <v>632934</v>
      </c>
      <c r="H8" s="46">
        <v>272973</v>
      </c>
      <c r="I8" s="46">
        <v>359961</v>
      </c>
      <c r="K8" s="174" t="s">
        <v>36</v>
      </c>
      <c r="L8" s="46">
        <v>650243</v>
      </c>
      <c r="M8" s="46">
        <v>286778</v>
      </c>
      <c r="N8" s="46">
        <v>363465</v>
      </c>
      <c r="P8" s="174" t="s">
        <v>36</v>
      </c>
      <c r="Q8" s="46">
        <v>621796</v>
      </c>
      <c r="R8" s="46">
        <v>273009</v>
      </c>
      <c r="S8" s="46">
        <v>348787</v>
      </c>
      <c r="U8" s="174" t="s">
        <v>36</v>
      </c>
      <c r="V8" s="150">
        <f t="shared" si="0"/>
        <v>627159.25</v>
      </c>
      <c r="W8" s="150">
        <f t="shared" si="1"/>
        <v>273196.5</v>
      </c>
      <c r="X8" s="150">
        <f t="shared" si="2"/>
        <v>353962.75</v>
      </c>
    </row>
    <row r="9" spans="1:24" ht="21" customHeight="1">
      <c r="A9" s="178" t="s">
        <v>35</v>
      </c>
      <c r="B9" s="176">
        <v>395951</v>
      </c>
      <c r="C9" s="176">
        <v>224958</v>
      </c>
      <c r="D9" s="176">
        <v>170993</v>
      </c>
      <c r="F9" s="178" t="s">
        <v>35</v>
      </c>
      <c r="G9" s="46">
        <v>370448</v>
      </c>
      <c r="H9" s="46">
        <v>216268</v>
      </c>
      <c r="I9" s="46">
        <v>154180</v>
      </c>
      <c r="K9" s="178" t="s">
        <v>35</v>
      </c>
      <c r="L9" s="46">
        <v>375676</v>
      </c>
      <c r="M9" s="46">
        <v>201243</v>
      </c>
      <c r="N9" s="46">
        <v>174433</v>
      </c>
      <c r="P9" s="178" t="s">
        <v>35</v>
      </c>
      <c r="Q9" s="46">
        <v>414137</v>
      </c>
      <c r="R9" s="46">
        <v>227459</v>
      </c>
      <c r="S9" s="46">
        <v>186678</v>
      </c>
      <c r="U9" s="178" t="s">
        <v>35</v>
      </c>
      <c r="V9" s="150">
        <f t="shared" si="0"/>
        <v>389053</v>
      </c>
      <c r="W9" s="150">
        <f t="shared" si="1"/>
        <v>217482</v>
      </c>
      <c r="X9" s="150">
        <f t="shared" si="2"/>
        <v>171571</v>
      </c>
    </row>
    <row r="10" spans="1:24" ht="21" customHeight="1">
      <c r="A10" s="178" t="s">
        <v>34</v>
      </c>
      <c r="B10" s="176">
        <v>397466</v>
      </c>
      <c r="C10" s="176">
        <v>210725</v>
      </c>
      <c r="D10" s="176">
        <v>186741</v>
      </c>
      <c r="F10" s="178" t="s">
        <v>34</v>
      </c>
      <c r="G10" s="46">
        <v>372087</v>
      </c>
      <c r="H10" s="46">
        <v>204410</v>
      </c>
      <c r="I10" s="46">
        <v>167677</v>
      </c>
      <c r="K10" s="178" t="s">
        <v>34</v>
      </c>
      <c r="L10" s="46">
        <v>406391</v>
      </c>
      <c r="M10" s="46">
        <v>202313</v>
      </c>
      <c r="N10" s="46">
        <v>204078</v>
      </c>
      <c r="P10" s="178" t="s">
        <v>34</v>
      </c>
      <c r="Q10" s="46">
        <v>371919</v>
      </c>
      <c r="R10" s="46">
        <v>177941</v>
      </c>
      <c r="S10" s="46">
        <v>193978</v>
      </c>
      <c r="U10" s="178" t="s">
        <v>34</v>
      </c>
      <c r="V10" s="150">
        <f t="shared" si="0"/>
        <v>386965.75</v>
      </c>
      <c r="W10" s="150">
        <f t="shared" si="1"/>
        <v>198847.25</v>
      </c>
      <c r="X10" s="150">
        <f t="shared" si="2"/>
        <v>188118.5</v>
      </c>
    </row>
    <row r="11" spans="1:24" ht="21" customHeight="1">
      <c r="A11" s="174" t="s">
        <v>33</v>
      </c>
      <c r="B11" s="176">
        <v>354380</v>
      </c>
      <c r="C11" s="176">
        <v>170771</v>
      </c>
      <c r="D11" s="176">
        <v>183609</v>
      </c>
      <c r="F11" s="174" t="s">
        <v>33</v>
      </c>
      <c r="G11" s="46">
        <v>382672</v>
      </c>
      <c r="H11" s="46">
        <v>171960</v>
      </c>
      <c r="I11" s="46">
        <v>210712</v>
      </c>
      <c r="K11" s="174" t="s">
        <v>33</v>
      </c>
      <c r="L11" s="46">
        <v>341321</v>
      </c>
      <c r="M11" s="46">
        <v>182968</v>
      </c>
      <c r="N11" s="46">
        <v>158353</v>
      </c>
      <c r="P11" s="174" t="s">
        <v>33</v>
      </c>
      <c r="Q11" s="46">
        <f>SUM(Q12:Q13)</f>
        <v>346520</v>
      </c>
      <c r="R11" s="46">
        <f>SUM(R12:R13)</f>
        <v>186641</v>
      </c>
      <c r="S11" s="46">
        <f>SUM(S12:S13)</f>
        <v>159879</v>
      </c>
      <c r="U11" s="174" t="s">
        <v>33</v>
      </c>
      <c r="V11" s="150">
        <f t="shared" si="0"/>
        <v>356223.25</v>
      </c>
      <c r="W11" s="150">
        <f t="shared" si="1"/>
        <v>178085</v>
      </c>
      <c r="X11" s="150">
        <f t="shared" si="2"/>
        <v>178138.25</v>
      </c>
    </row>
    <row r="12" spans="1:24" ht="21" customHeight="1">
      <c r="A12" s="179" t="s">
        <v>32</v>
      </c>
      <c r="B12" s="176">
        <v>286814</v>
      </c>
      <c r="C12" s="176">
        <v>129566</v>
      </c>
      <c r="D12" s="176">
        <v>157248</v>
      </c>
      <c r="F12" s="179" t="s">
        <v>32</v>
      </c>
      <c r="G12" s="46">
        <v>282789</v>
      </c>
      <c r="H12" s="46">
        <v>108341</v>
      </c>
      <c r="I12" s="46">
        <v>174448</v>
      </c>
      <c r="K12" s="179" t="s">
        <v>32</v>
      </c>
      <c r="L12" s="46">
        <v>272456</v>
      </c>
      <c r="M12" s="46">
        <v>133349</v>
      </c>
      <c r="N12" s="46">
        <v>139107</v>
      </c>
      <c r="P12" s="179" t="s">
        <v>32</v>
      </c>
      <c r="Q12" s="46">
        <v>292303</v>
      </c>
      <c r="R12" s="46">
        <v>154901</v>
      </c>
      <c r="S12" s="46">
        <v>137402</v>
      </c>
      <c r="U12" s="179" t="s">
        <v>32</v>
      </c>
      <c r="V12" s="150">
        <f t="shared" si="0"/>
        <v>283590.5</v>
      </c>
      <c r="W12" s="150">
        <f t="shared" si="1"/>
        <v>131539.25</v>
      </c>
      <c r="X12" s="150">
        <f t="shared" si="2"/>
        <v>152051.25</v>
      </c>
    </row>
    <row r="13" spans="1:24" ht="21" customHeight="1">
      <c r="A13" s="179" t="s">
        <v>31</v>
      </c>
      <c r="B13" s="176">
        <v>67124</v>
      </c>
      <c r="C13" s="176">
        <v>40763</v>
      </c>
      <c r="D13" s="176">
        <v>26361</v>
      </c>
      <c r="F13" s="179" t="s">
        <v>31</v>
      </c>
      <c r="G13" s="46">
        <v>99883</v>
      </c>
      <c r="H13" s="46">
        <v>63619</v>
      </c>
      <c r="I13" s="46">
        <v>36264</v>
      </c>
      <c r="K13" s="179" t="s">
        <v>31</v>
      </c>
      <c r="L13" s="46">
        <v>68865</v>
      </c>
      <c r="M13" s="46">
        <v>49619</v>
      </c>
      <c r="N13" s="46">
        <v>19246</v>
      </c>
      <c r="P13" s="179" t="s">
        <v>31</v>
      </c>
      <c r="Q13" s="46">
        <v>54217</v>
      </c>
      <c r="R13" s="46">
        <v>31740</v>
      </c>
      <c r="S13" s="46">
        <v>22477</v>
      </c>
      <c r="U13" s="179" t="s">
        <v>31</v>
      </c>
      <c r="V13" s="150">
        <f t="shared" si="0"/>
        <v>72522.25</v>
      </c>
      <c r="W13" s="150">
        <f t="shared" si="1"/>
        <v>46435.25</v>
      </c>
      <c r="X13" s="150">
        <f t="shared" si="2"/>
        <v>26087</v>
      </c>
    </row>
    <row r="14" spans="1:24" ht="21" customHeight="1">
      <c r="A14" s="180" t="s">
        <v>30</v>
      </c>
      <c r="B14" s="181">
        <v>442</v>
      </c>
      <c r="C14" s="181">
        <v>442</v>
      </c>
      <c r="D14" s="222">
        <v>0</v>
      </c>
      <c r="F14" s="180" t="s">
        <v>30</v>
      </c>
      <c r="G14" s="222">
        <v>0</v>
      </c>
      <c r="H14" s="222">
        <v>0</v>
      </c>
      <c r="I14" s="222">
        <v>0</v>
      </c>
      <c r="K14" s="180" t="s">
        <v>30</v>
      </c>
      <c r="L14" s="222">
        <v>0</v>
      </c>
      <c r="M14" s="222">
        <v>0</v>
      </c>
      <c r="N14" s="222">
        <v>0</v>
      </c>
      <c r="P14" s="180" t="s">
        <v>30</v>
      </c>
      <c r="Q14" s="222">
        <v>0</v>
      </c>
      <c r="R14" s="222">
        <v>0</v>
      </c>
      <c r="S14" s="222">
        <v>0</v>
      </c>
      <c r="U14" s="180" t="s">
        <v>30</v>
      </c>
      <c r="V14" s="150">
        <f t="shared" ref="V14:W18" si="3">(B14+G14+L14+Q14)/4</f>
        <v>110.5</v>
      </c>
      <c r="W14" s="150">
        <f t="shared" si="3"/>
        <v>110.5</v>
      </c>
      <c r="X14" s="222">
        <v>0</v>
      </c>
    </row>
    <row r="15" spans="1:24" ht="21" customHeight="1">
      <c r="A15" s="174" t="s">
        <v>29</v>
      </c>
      <c r="B15" s="176">
        <v>245193</v>
      </c>
      <c r="C15" s="176">
        <v>107148</v>
      </c>
      <c r="D15" s="176">
        <v>138045</v>
      </c>
      <c r="F15" s="174" t="s">
        <v>29</v>
      </c>
      <c r="G15" s="46">
        <v>239071</v>
      </c>
      <c r="H15" s="46">
        <v>103396</v>
      </c>
      <c r="I15" s="46">
        <v>135675</v>
      </c>
      <c r="K15" s="174" t="s">
        <v>29</v>
      </c>
      <c r="L15" s="46">
        <v>235247</v>
      </c>
      <c r="M15" s="46">
        <v>101366</v>
      </c>
      <c r="N15" s="46">
        <v>133881</v>
      </c>
      <c r="P15" s="174" t="s">
        <v>29</v>
      </c>
      <c r="Q15" s="46">
        <f>SUM(Q16:Q18)</f>
        <v>248072</v>
      </c>
      <c r="R15" s="46">
        <f>SUM(R16:R18)</f>
        <v>112760</v>
      </c>
      <c r="S15" s="46">
        <f>SUM(S16:S18)</f>
        <v>135312</v>
      </c>
      <c r="U15" s="174" t="s">
        <v>29</v>
      </c>
      <c r="V15" s="150">
        <f t="shared" si="3"/>
        <v>241895.75</v>
      </c>
      <c r="W15" s="150">
        <f t="shared" si="3"/>
        <v>106167.5</v>
      </c>
      <c r="X15" s="150">
        <f>(D15+I15+N15+S15)/4</f>
        <v>135728.25</v>
      </c>
    </row>
    <row r="16" spans="1:24" ht="21" customHeight="1">
      <c r="A16" s="180" t="s">
        <v>28</v>
      </c>
      <c r="B16" s="176">
        <v>120619</v>
      </c>
      <c r="C16" s="176">
        <v>42065</v>
      </c>
      <c r="D16" s="176">
        <v>78554</v>
      </c>
      <c r="F16" s="180" t="s">
        <v>28</v>
      </c>
      <c r="G16" s="46">
        <v>131867</v>
      </c>
      <c r="H16" s="46">
        <v>48040</v>
      </c>
      <c r="I16" s="46">
        <v>83827</v>
      </c>
      <c r="K16" s="180" t="s">
        <v>28</v>
      </c>
      <c r="L16" s="46">
        <v>117238</v>
      </c>
      <c r="M16" s="46">
        <v>42770</v>
      </c>
      <c r="N16" s="46">
        <v>74468</v>
      </c>
      <c r="P16" s="180" t="s">
        <v>28</v>
      </c>
      <c r="Q16" s="46">
        <v>135622</v>
      </c>
      <c r="R16" s="46">
        <v>53592</v>
      </c>
      <c r="S16" s="46">
        <v>82030</v>
      </c>
      <c r="U16" s="180" t="s">
        <v>28</v>
      </c>
      <c r="V16" s="150">
        <f t="shared" si="3"/>
        <v>126336.5</v>
      </c>
      <c r="W16" s="150">
        <f t="shared" si="3"/>
        <v>46616.75</v>
      </c>
      <c r="X16" s="150">
        <f>(D16+I16+N16+S16)/4</f>
        <v>79719.75</v>
      </c>
    </row>
    <row r="17" spans="1:24" ht="21" customHeight="1">
      <c r="A17" s="180" t="s">
        <v>27</v>
      </c>
      <c r="B17" s="176">
        <v>79171</v>
      </c>
      <c r="C17" s="176">
        <v>48346</v>
      </c>
      <c r="D17" s="176">
        <v>30825</v>
      </c>
      <c r="F17" s="180" t="s">
        <v>27</v>
      </c>
      <c r="G17" s="46">
        <v>75253</v>
      </c>
      <c r="H17" s="46">
        <v>47086</v>
      </c>
      <c r="I17" s="46">
        <v>28167</v>
      </c>
      <c r="K17" s="180" t="s">
        <v>27</v>
      </c>
      <c r="L17" s="46">
        <v>85755</v>
      </c>
      <c r="M17" s="46">
        <v>49341</v>
      </c>
      <c r="N17" s="46">
        <v>36414</v>
      </c>
      <c r="P17" s="180" t="s">
        <v>27</v>
      </c>
      <c r="Q17" s="46">
        <v>75927</v>
      </c>
      <c r="R17" s="46">
        <v>47615</v>
      </c>
      <c r="S17" s="46">
        <v>28312</v>
      </c>
      <c r="U17" s="180" t="s">
        <v>27</v>
      </c>
      <c r="V17" s="150">
        <f t="shared" si="3"/>
        <v>79026.5</v>
      </c>
      <c r="W17" s="150">
        <f t="shared" si="3"/>
        <v>48097</v>
      </c>
      <c r="X17" s="150">
        <f>(D17+I17+N17+S17)/4</f>
        <v>30929.5</v>
      </c>
    </row>
    <row r="18" spans="1:24" ht="21" customHeight="1">
      <c r="A18" s="180" t="s">
        <v>26</v>
      </c>
      <c r="B18" s="176">
        <v>45403</v>
      </c>
      <c r="C18" s="176">
        <v>16737</v>
      </c>
      <c r="D18" s="176">
        <v>28666</v>
      </c>
      <c r="F18" s="180" t="s">
        <v>26</v>
      </c>
      <c r="G18" s="46">
        <v>31951</v>
      </c>
      <c r="H18" s="46">
        <v>8270</v>
      </c>
      <c r="I18" s="46">
        <v>23681</v>
      </c>
      <c r="K18" s="180" t="s">
        <v>26</v>
      </c>
      <c r="L18" s="46">
        <v>32254</v>
      </c>
      <c r="M18" s="46">
        <v>9255</v>
      </c>
      <c r="N18" s="46">
        <v>22999</v>
      </c>
      <c r="P18" s="180" t="s">
        <v>26</v>
      </c>
      <c r="Q18" s="46">
        <v>36523</v>
      </c>
      <c r="R18" s="46">
        <v>11553</v>
      </c>
      <c r="S18" s="46">
        <v>24970</v>
      </c>
      <c r="U18" s="180" t="s">
        <v>26</v>
      </c>
      <c r="V18" s="150">
        <f t="shared" si="3"/>
        <v>36532.75</v>
      </c>
      <c r="W18" s="150">
        <f t="shared" si="3"/>
        <v>11453.75</v>
      </c>
      <c r="X18" s="150">
        <f>(D18+I18+N18+S18)/4</f>
        <v>25079</v>
      </c>
    </row>
    <row r="19" spans="1:24" ht="21" customHeight="1">
      <c r="A19" s="179" t="s">
        <v>25</v>
      </c>
      <c r="B19" s="222">
        <v>0</v>
      </c>
      <c r="C19" s="222">
        <v>0</v>
      </c>
      <c r="D19" s="222">
        <v>0</v>
      </c>
      <c r="F19" s="179" t="s">
        <v>25</v>
      </c>
      <c r="G19" s="222">
        <v>0</v>
      </c>
      <c r="H19" s="222">
        <v>0</v>
      </c>
      <c r="I19" s="222">
        <v>0</v>
      </c>
      <c r="K19" s="179" t="s">
        <v>25</v>
      </c>
      <c r="L19" s="222">
        <v>0</v>
      </c>
      <c r="M19" s="222">
        <v>0</v>
      </c>
      <c r="N19" s="222">
        <v>0</v>
      </c>
      <c r="P19" s="179" t="s">
        <v>25</v>
      </c>
      <c r="Q19" s="222">
        <v>0</v>
      </c>
      <c r="R19" s="222">
        <v>0</v>
      </c>
      <c r="S19" s="222">
        <v>0</v>
      </c>
      <c r="U19" s="179" t="s">
        <v>25</v>
      </c>
      <c r="V19" s="222">
        <v>0</v>
      </c>
      <c r="W19" s="222">
        <v>0</v>
      </c>
      <c r="X19" s="222">
        <v>0</v>
      </c>
    </row>
    <row r="20" spans="1:24" ht="21" customHeight="1">
      <c r="A20" s="179" t="s">
        <v>24</v>
      </c>
      <c r="B20" s="181">
        <v>2317</v>
      </c>
      <c r="C20" s="181">
        <v>1187</v>
      </c>
      <c r="D20" s="181">
        <v>1130</v>
      </c>
      <c r="F20" s="179" t="s">
        <v>24</v>
      </c>
      <c r="G20" s="46">
        <v>3610</v>
      </c>
      <c r="H20" s="46">
        <v>1465</v>
      </c>
      <c r="I20" s="46">
        <v>2145</v>
      </c>
      <c r="K20" s="179" t="s">
        <v>24</v>
      </c>
      <c r="L20" s="46">
        <v>1845</v>
      </c>
      <c r="M20" s="46">
        <v>258</v>
      </c>
      <c r="N20" s="46">
        <v>1587</v>
      </c>
      <c r="P20" s="179" t="s">
        <v>24</v>
      </c>
      <c r="Q20" s="46">
        <v>1365</v>
      </c>
      <c r="R20" s="46">
        <v>1365</v>
      </c>
      <c r="S20" s="165">
        <v>0</v>
      </c>
      <c r="U20" s="179" t="s">
        <v>24</v>
      </c>
      <c r="V20" s="150">
        <f>(B20+G20+L20+Q20)/4</f>
        <v>2284.25</v>
      </c>
      <c r="W20" s="150">
        <f>(C20+H20+M20+R20)/4</f>
        <v>1068.75</v>
      </c>
      <c r="X20" s="150">
        <f>(D20+I20+N20+S20)/4</f>
        <v>1215.5</v>
      </c>
    </row>
    <row r="21" spans="1:24" ht="21" customHeight="1">
      <c r="A21" s="174"/>
      <c r="B21" s="668" t="s">
        <v>20</v>
      </c>
      <c r="C21" s="668"/>
      <c r="D21" s="668"/>
      <c r="F21" s="174"/>
      <c r="G21" s="668" t="s">
        <v>20</v>
      </c>
      <c r="H21" s="668"/>
      <c r="I21" s="668"/>
      <c r="K21" s="174"/>
      <c r="L21" s="668" t="s">
        <v>20</v>
      </c>
      <c r="M21" s="668"/>
      <c r="N21" s="668"/>
      <c r="P21" s="174"/>
      <c r="Q21" s="668" t="s">
        <v>20</v>
      </c>
      <c r="R21" s="668"/>
      <c r="S21" s="668"/>
      <c r="U21" s="174"/>
      <c r="V21" s="668" t="s">
        <v>20</v>
      </c>
      <c r="W21" s="668"/>
      <c r="X21" s="668"/>
    </row>
    <row r="22" spans="1:24" ht="18.75" customHeight="1">
      <c r="A22" s="182" t="s">
        <v>38</v>
      </c>
      <c r="B22" s="183">
        <f>B5/$B$5*100</f>
        <v>100</v>
      </c>
      <c r="C22" s="183">
        <f>C5/$C$5*100</f>
        <v>100</v>
      </c>
      <c r="D22" s="183">
        <f>D5/$D$5*100</f>
        <v>100</v>
      </c>
      <c r="F22" s="182" t="s">
        <v>38</v>
      </c>
      <c r="G22" s="183">
        <f>G5/$G$5*100</f>
        <v>100</v>
      </c>
      <c r="H22" s="183">
        <f>H5/$H$5*100</f>
        <v>100</v>
      </c>
      <c r="I22" s="183">
        <f>I5/$I$5*100</f>
        <v>100</v>
      </c>
      <c r="K22" s="182" t="s">
        <v>38</v>
      </c>
      <c r="L22" s="183">
        <f>L5/$L$5*100</f>
        <v>100</v>
      </c>
      <c r="M22" s="183">
        <f>M5/$M$5*100</f>
        <v>100</v>
      </c>
      <c r="N22" s="183">
        <f>N5/$N$5*100</f>
        <v>100</v>
      </c>
      <c r="P22" s="182" t="s">
        <v>38</v>
      </c>
      <c r="Q22" s="184">
        <f>Q5/$Q$5*100</f>
        <v>100</v>
      </c>
      <c r="R22" s="184">
        <f>R5/$R$5*100</f>
        <v>100</v>
      </c>
      <c r="S22" s="184">
        <f>S5/$S$5*100</f>
        <v>100</v>
      </c>
      <c r="U22" s="182" t="s">
        <v>38</v>
      </c>
      <c r="V22" s="184">
        <f>V5/$V$5*100</f>
        <v>100</v>
      </c>
      <c r="W22" s="184">
        <f>W5/$W$5*100</f>
        <v>100</v>
      </c>
      <c r="X22" s="184">
        <f>X5/$X$5*100</f>
        <v>100</v>
      </c>
    </row>
    <row r="23" spans="1:24" ht="6" customHeight="1">
      <c r="A23" s="182"/>
      <c r="B23" s="183"/>
      <c r="C23" s="183"/>
      <c r="D23" s="183"/>
      <c r="F23" s="182"/>
      <c r="G23" s="185"/>
      <c r="H23" s="183"/>
      <c r="I23" s="183"/>
      <c r="K23" s="182"/>
      <c r="L23" s="185"/>
      <c r="M23" s="183"/>
      <c r="N23" s="183"/>
      <c r="P23" s="182"/>
      <c r="Q23" s="186"/>
      <c r="R23" s="184"/>
      <c r="S23" s="184"/>
      <c r="U23" s="182"/>
      <c r="V23" s="186"/>
      <c r="W23" s="184"/>
      <c r="X23" s="184"/>
    </row>
    <row r="24" spans="1:24" ht="20.25" customHeight="1">
      <c r="A24" s="177" t="s">
        <v>37</v>
      </c>
      <c r="B24" s="185">
        <f t="shared" ref="B24:B37" si="4">B7/$B$5*100</f>
        <v>2.481418025637173</v>
      </c>
      <c r="C24" s="185">
        <f>C7/$C$5*100</f>
        <v>1.5590949392782054</v>
      </c>
      <c r="D24" s="185">
        <f t="shared" ref="D24:D35" si="5">D7/$D$5*100</f>
        <v>3.3433939043887118</v>
      </c>
      <c r="F24" s="177" t="s">
        <v>37</v>
      </c>
      <c r="G24" s="185">
        <f t="shared" ref="G24:G37" si="6">G7/$G$5*100</f>
        <v>2.4633961454745763</v>
      </c>
      <c r="H24" s="185">
        <f t="shared" ref="H24:H37" si="7">H7/$H$5*100</f>
        <v>2.0552341658962732</v>
      </c>
      <c r="I24" s="185">
        <f t="shared" ref="I24:I37" si="8">I7/$I$5*100</f>
        <v>2.8447392267370972</v>
      </c>
      <c r="K24" s="177" t="s">
        <v>37</v>
      </c>
      <c r="L24" s="185">
        <f t="shared" ref="L24:L37" si="9">L7/$L$5*100</f>
        <v>2.0426745498019145</v>
      </c>
      <c r="M24" s="185">
        <f t="shared" ref="M24:M37" si="10">M7/$M$5*100</f>
        <v>1.6532585505111896</v>
      </c>
      <c r="N24" s="185">
        <f t="shared" ref="N24:N37" si="11">N7/$N$5*100</f>
        <v>2.4063987216124567</v>
      </c>
      <c r="P24" s="177" t="s">
        <v>37</v>
      </c>
      <c r="Q24" s="184">
        <f t="shared" ref="Q24:Q37" si="12">Q7/$Q$5*100</f>
        <v>2.407700980642836</v>
      </c>
      <c r="R24" s="184">
        <f t="shared" ref="R24:R37" si="13">R7/$R$5*100</f>
        <v>1.2410739500544641</v>
      </c>
      <c r="S24" s="184">
        <f t="shared" ref="S24:S37" si="14">S7/$S$5*100</f>
        <v>3.4971015243486079</v>
      </c>
      <c r="U24" s="177" t="s">
        <v>37</v>
      </c>
      <c r="V24" s="184">
        <f t="shared" ref="V24:V37" si="15">V7/$V$5*100</f>
        <v>2.3487380664128374</v>
      </c>
      <c r="W24" s="184">
        <f t="shared" ref="W24:W37" si="16">W7/$W$5*100</f>
        <v>1.6271158219776809</v>
      </c>
      <c r="X24" s="184">
        <f t="shared" ref="X24:X37" si="17">X7/$X$5*100</f>
        <v>3.0228579683790757</v>
      </c>
    </row>
    <row r="25" spans="1:24" ht="20.25" customHeight="1">
      <c r="A25" s="174" t="s">
        <v>36</v>
      </c>
      <c r="B25" s="185">
        <f t="shared" si="4"/>
        <v>29.449380340671155</v>
      </c>
      <c r="C25" s="185">
        <f>C8/$C$5*100-0.03</f>
        <v>26.228515491984883</v>
      </c>
      <c r="D25" s="185">
        <f t="shared" si="5"/>
        <v>32.431468258237686</v>
      </c>
      <c r="F25" s="174" t="s">
        <v>36</v>
      </c>
      <c r="G25" s="185">
        <f t="shared" si="6"/>
        <v>30.85443523914681</v>
      </c>
      <c r="H25" s="185">
        <f t="shared" si="7"/>
        <v>27.549766056138452</v>
      </c>
      <c r="I25" s="185">
        <f t="shared" si="8"/>
        <v>33.941966150535727</v>
      </c>
      <c r="K25" s="174" t="s">
        <v>36</v>
      </c>
      <c r="L25" s="185">
        <f t="shared" si="9"/>
        <v>31.678189970827979</v>
      </c>
      <c r="M25" s="185">
        <f t="shared" si="10"/>
        <v>28.929048788730121</v>
      </c>
      <c r="N25" s="185">
        <f t="shared" si="11"/>
        <v>34.245955808569754</v>
      </c>
      <c r="P25" s="174" t="s">
        <v>36</v>
      </c>
      <c r="Q25" s="184">
        <f t="shared" si="12"/>
        <v>30.28357551095948</v>
      </c>
      <c r="R25" s="184">
        <f t="shared" si="13"/>
        <v>27.535502481139307</v>
      </c>
      <c r="S25" s="184">
        <f t="shared" si="14"/>
        <v>32.849736052704692</v>
      </c>
      <c r="U25" s="174" t="s">
        <v>36</v>
      </c>
      <c r="V25" s="184">
        <f t="shared" si="15"/>
        <v>30.566712578200693</v>
      </c>
      <c r="W25" s="184">
        <f t="shared" si="16"/>
        <v>27.568559632784499</v>
      </c>
      <c r="X25" s="184">
        <f t="shared" si="17"/>
        <v>33.367505631948319</v>
      </c>
    </row>
    <row r="26" spans="1:24" ht="20.25" customHeight="1">
      <c r="A26" s="178" t="s">
        <v>35</v>
      </c>
      <c r="B26" s="185">
        <f t="shared" si="4"/>
        <v>19.316228225087276</v>
      </c>
      <c r="C26" s="185">
        <f t="shared" ref="C26:C37" si="18">C9/$C$5*100</f>
        <v>22.717201849222523</v>
      </c>
      <c r="D26" s="185">
        <f t="shared" si="5"/>
        <v>16.137778859965536</v>
      </c>
      <c r="F26" s="178" t="s">
        <v>35</v>
      </c>
      <c r="G26" s="185">
        <f t="shared" si="6"/>
        <v>18.058697787559929</v>
      </c>
      <c r="H26" s="185">
        <f t="shared" si="7"/>
        <v>21.826820987529722</v>
      </c>
      <c r="I26" s="185">
        <f t="shared" si="8"/>
        <v>14.538164804213785</v>
      </c>
      <c r="K26" s="178" t="s">
        <v>35</v>
      </c>
      <c r="L26" s="185">
        <f t="shared" si="9"/>
        <v>18.301982021307069</v>
      </c>
      <c r="M26" s="185">
        <f t="shared" si="10"/>
        <v>20.300610804840037</v>
      </c>
      <c r="N26" s="185">
        <f t="shared" si="11"/>
        <v>16.435213320556997</v>
      </c>
      <c r="P26" s="178" t="s">
        <v>35</v>
      </c>
      <c r="Q26" s="184">
        <f t="shared" si="12"/>
        <v>20.16987743790926</v>
      </c>
      <c r="R26" s="184">
        <f t="shared" si="13"/>
        <v>22.941360390527294</v>
      </c>
      <c r="S26" s="184">
        <f t="shared" si="14"/>
        <v>17.58185662552448</v>
      </c>
      <c r="U26" s="178" t="s">
        <v>35</v>
      </c>
      <c r="V26" s="184">
        <f t="shared" si="15"/>
        <v>18.961804722941924</v>
      </c>
      <c r="W26" s="184">
        <f t="shared" si="16"/>
        <v>21.94634809032048</v>
      </c>
      <c r="X26" s="184">
        <f t="shared" si="17"/>
        <v>16.173725367369883</v>
      </c>
    </row>
    <row r="27" spans="1:24" ht="20.25" customHeight="1">
      <c r="A27" s="178" t="s">
        <v>34</v>
      </c>
      <c r="B27" s="185">
        <f t="shared" si="4"/>
        <v>19.390136576779803</v>
      </c>
      <c r="C27" s="185">
        <f t="shared" si="18"/>
        <v>21.279893845417437</v>
      </c>
      <c r="D27" s="185">
        <f t="shared" si="5"/>
        <v>17.624025323193486</v>
      </c>
      <c r="F27" s="178" t="s">
        <v>34</v>
      </c>
      <c r="G27" s="185">
        <f t="shared" si="6"/>
        <v>18.138596196172774</v>
      </c>
      <c r="H27" s="185">
        <f t="shared" si="7"/>
        <v>20.630053813143647</v>
      </c>
      <c r="I27" s="185">
        <f t="shared" si="8"/>
        <v>15.810843558672689</v>
      </c>
      <c r="K27" s="178" t="s">
        <v>34</v>
      </c>
      <c r="L27" s="185">
        <f t="shared" si="9"/>
        <v>19.798338929346034</v>
      </c>
      <c r="M27" s="185">
        <f t="shared" si="10"/>
        <v>20.408548241477227</v>
      </c>
      <c r="N27" s="185">
        <f t="shared" si="11"/>
        <v>19.228388344135748</v>
      </c>
      <c r="P27" s="178" t="s">
        <v>34</v>
      </c>
      <c r="Q27" s="184">
        <f t="shared" si="12"/>
        <v>18.113717554407778</v>
      </c>
      <c r="R27" s="184">
        <f t="shared" si="13"/>
        <v>17.947008512526725</v>
      </c>
      <c r="S27" s="184">
        <f t="shared" si="14"/>
        <v>18.269391061110511</v>
      </c>
      <c r="U27" s="178" t="s">
        <v>34</v>
      </c>
      <c r="V27" s="184">
        <f t="shared" si="15"/>
        <v>18.860075583446896</v>
      </c>
      <c r="W27" s="184">
        <f t="shared" si="16"/>
        <v>20.065894949020972</v>
      </c>
      <c r="X27" s="184">
        <f t="shared" si="17"/>
        <v>17.733631881387716</v>
      </c>
    </row>
    <row r="28" spans="1:24" ht="20.25" customHeight="1">
      <c r="A28" s="174" t="s">
        <v>33</v>
      </c>
      <c r="B28" s="185">
        <f t="shared" si="4"/>
        <v>17.288212325278703</v>
      </c>
      <c r="C28" s="185">
        <f t="shared" si="18"/>
        <v>17.245171440862649</v>
      </c>
      <c r="D28" s="185">
        <f t="shared" si="5"/>
        <v>17.328437062917263</v>
      </c>
      <c r="F28" s="174" t="s">
        <v>33</v>
      </c>
      <c r="G28" s="185">
        <f t="shared" si="6"/>
        <v>18.654596595908558</v>
      </c>
      <c r="H28" s="185">
        <f t="shared" si="7"/>
        <v>17.355041601233705</v>
      </c>
      <c r="I28" s="185">
        <f t="shared" si="8"/>
        <v>19.868762370122553</v>
      </c>
      <c r="K28" s="174" t="s">
        <v>33</v>
      </c>
      <c r="L28" s="185">
        <f t="shared" si="9"/>
        <v>16.628293544156534</v>
      </c>
      <c r="M28" s="185">
        <f t="shared" si="10"/>
        <v>18.457099912742166</v>
      </c>
      <c r="N28" s="185">
        <f t="shared" si="11"/>
        <v>14.920143177897312</v>
      </c>
      <c r="P28" s="174" t="s">
        <v>33</v>
      </c>
      <c r="Q28" s="184">
        <f t="shared" si="12"/>
        <v>16.876700052843184</v>
      </c>
      <c r="R28" s="184">
        <f t="shared" si="13"/>
        <v>18.82448460886755</v>
      </c>
      <c r="S28" s="184">
        <f t="shared" si="14"/>
        <v>15.057851784528593</v>
      </c>
      <c r="U28" s="174" t="s">
        <v>33</v>
      </c>
      <c r="V28" s="184">
        <f t="shared" si="15"/>
        <v>17.361736586716262</v>
      </c>
      <c r="W28" s="184">
        <f t="shared" si="16"/>
        <v>17.970753440122504</v>
      </c>
      <c r="X28" s="184">
        <f t="shared" si="17"/>
        <v>16.792809582760949</v>
      </c>
    </row>
    <row r="29" spans="1:24" ht="20.25" customHeight="1">
      <c r="A29" s="179" t="s">
        <v>32</v>
      </c>
      <c r="B29" s="185">
        <f t="shared" si="4"/>
        <v>13.992046192963731</v>
      </c>
      <c r="C29" s="185">
        <f t="shared" si="18"/>
        <v>13.084117812197679</v>
      </c>
      <c r="D29" s="185">
        <f t="shared" si="5"/>
        <v>14.840569205592393</v>
      </c>
      <c r="F29" s="179" t="s">
        <v>32</v>
      </c>
      <c r="G29" s="185">
        <f t="shared" si="6"/>
        <v>13.785473504098512</v>
      </c>
      <c r="H29" s="185">
        <f t="shared" si="7"/>
        <v>10.934301943005705</v>
      </c>
      <c r="I29" s="185">
        <f t="shared" si="8"/>
        <v>16.449304538626841</v>
      </c>
      <c r="K29" s="179" t="s">
        <v>32</v>
      </c>
      <c r="L29" s="185">
        <f t="shared" si="9"/>
        <v>13.273365382929011</v>
      </c>
      <c r="M29" s="185">
        <f t="shared" si="10"/>
        <v>13.451728259937557</v>
      </c>
      <c r="N29" s="185">
        <f t="shared" si="11"/>
        <v>13.106770045706501</v>
      </c>
      <c r="P29" s="179" t="s">
        <v>32</v>
      </c>
      <c r="Q29" s="184">
        <f t="shared" si="12"/>
        <v>14.236148145983552</v>
      </c>
      <c r="R29" s="184">
        <f t="shared" si="13"/>
        <v>15.623209747044822</v>
      </c>
      <c r="S29" s="184">
        <f t="shared" si="14"/>
        <v>12.94090500251939</v>
      </c>
      <c r="U29" s="179" t="s">
        <v>32</v>
      </c>
      <c r="V29" s="184">
        <f t="shared" si="15"/>
        <v>13.821735553463055</v>
      </c>
      <c r="W29" s="184">
        <f t="shared" si="16"/>
        <v>13.273770555906642</v>
      </c>
      <c r="X29" s="184">
        <f t="shared" si="17"/>
        <v>14.33362957181167</v>
      </c>
    </row>
    <row r="30" spans="1:24" ht="20.25" customHeight="1">
      <c r="A30" s="179" t="s">
        <v>31</v>
      </c>
      <c r="B30" s="185">
        <f t="shared" si="4"/>
        <v>3.2746034316891692</v>
      </c>
      <c r="C30" s="185">
        <f t="shared" si="18"/>
        <v>4.1164186158298781</v>
      </c>
      <c r="D30" s="185">
        <f t="shared" si="5"/>
        <v>2.4878678573248698</v>
      </c>
      <c r="F30" s="179" t="s">
        <v>31</v>
      </c>
      <c r="G30" s="185">
        <f t="shared" si="6"/>
        <v>4.8691230918100477</v>
      </c>
      <c r="H30" s="185">
        <f t="shared" si="7"/>
        <v>6.4207396582280012</v>
      </c>
      <c r="I30" s="185">
        <f t="shared" si="8"/>
        <v>3.4194578314957114</v>
      </c>
      <c r="K30" s="179" t="s">
        <v>31</v>
      </c>
      <c r="L30" s="185">
        <f t="shared" si="9"/>
        <v>3.3549281612275244</v>
      </c>
      <c r="M30" s="185">
        <f t="shared" si="10"/>
        <v>5.0053716528046079</v>
      </c>
      <c r="N30" s="185">
        <f t="shared" si="11"/>
        <v>1.8133731321908122</v>
      </c>
      <c r="P30" s="179" t="s">
        <v>31</v>
      </c>
      <c r="Q30" s="184">
        <f t="shared" si="12"/>
        <v>2.6405519068596295</v>
      </c>
      <c r="R30" s="184">
        <f t="shared" si="13"/>
        <v>3.2012748618227298</v>
      </c>
      <c r="S30" s="184">
        <f t="shared" si="14"/>
        <v>2.1169467820092014</v>
      </c>
      <c r="U30" s="179" t="s">
        <v>31</v>
      </c>
      <c r="V30" s="184">
        <f t="shared" si="15"/>
        <v>3.5346154446010574</v>
      </c>
      <c r="W30" s="184">
        <f t="shared" si="16"/>
        <v>4.6858322075438616</v>
      </c>
      <c r="X30" s="184">
        <f t="shared" si="17"/>
        <v>2.4591800109492761</v>
      </c>
    </row>
    <row r="31" spans="1:24" ht="20.25" customHeight="1">
      <c r="A31" s="180" t="s">
        <v>30</v>
      </c>
      <c r="B31" s="185">
        <f t="shared" si="4"/>
        <v>2.1562700625806161E-2</v>
      </c>
      <c r="C31" s="185">
        <f t="shared" si="18"/>
        <v>4.4635012835090797E-2</v>
      </c>
      <c r="D31" s="185">
        <f t="shared" si="5"/>
        <v>0</v>
      </c>
      <c r="F31" s="180" t="s">
        <v>30</v>
      </c>
      <c r="G31" s="185">
        <f t="shared" si="6"/>
        <v>0</v>
      </c>
      <c r="H31" s="185">
        <f t="shared" si="7"/>
        <v>0</v>
      </c>
      <c r="I31" s="185">
        <f t="shared" si="8"/>
        <v>0</v>
      </c>
      <c r="K31" s="180" t="s">
        <v>30</v>
      </c>
      <c r="L31" s="185">
        <f t="shared" si="9"/>
        <v>0</v>
      </c>
      <c r="M31" s="185">
        <f t="shared" si="10"/>
        <v>0</v>
      </c>
      <c r="N31" s="185">
        <f t="shared" si="11"/>
        <v>0</v>
      </c>
      <c r="P31" s="180" t="s">
        <v>30</v>
      </c>
      <c r="Q31" s="184">
        <f t="shared" si="12"/>
        <v>0</v>
      </c>
      <c r="R31" s="184">
        <f t="shared" si="13"/>
        <v>0</v>
      </c>
      <c r="S31" s="184">
        <f t="shared" si="14"/>
        <v>0</v>
      </c>
      <c r="U31" s="180" t="s">
        <v>30</v>
      </c>
      <c r="V31" s="184">
        <f t="shared" si="15"/>
        <v>5.3855886521504337E-3</v>
      </c>
      <c r="W31" s="184">
        <f t="shared" si="16"/>
        <v>1.1150676672002341E-2</v>
      </c>
      <c r="X31" s="184">
        <f t="shared" si="17"/>
        <v>0</v>
      </c>
    </row>
    <row r="32" spans="1:24" ht="20.25" customHeight="1">
      <c r="A32" s="174" t="s">
        <v>29</v>
      </c>
      <c r="B32" s="185">
        <f t="shared" si="4"/>
        <v>11.961591073627353</v>
      </c>
      <c r="C32" s="185">
        <f t="shared" si="18"/>
        <v>10.820254197407937</v>
      </c>
      <c r="D32" s="185">
        <f t="shared" si="5"/>
        <v>13.028250763036745</v>
      </c>
      <c r="F32" s="174" t="s">
        <v>29</v>
      </c>
      <c r="G32" s="185">
        <f t="shared" si="6"/>
        <v>11.654296794070261</v>
      </c>
      <c r="H32" s="185">
        <f t="shared" si="7"/>
        <v>10.435228433363342</v>
      </c>
      <c r="I32" s="185">
        <f t="shared" si="8"/>
        <v>12.793264429963067</v>
      </c>
      <c r="K32" s="174" t="s">
        <v>29</v>
      </c>
      <c r="L32" s="185">
        <f t="shared" si="9"/>
        <v>11.460637263403637</v>
      </c>
      <c r="M32" s="185">
        <f t="shared" si="10"/>
        <v>10.225407665575524</v>
      </c>
      <c r="N32" s="185">
        <f t="shared" si="11"/>
        <v>12.614372249342104</v>
      </c>
      <c r="P32" s="174" t="s">
        <v>29</v>
      </c>
      <c r="Q32" s="184">
        <f t="shared" si="12"/>
        <v>12.081948330569416</v>
      </c>
      <c r="R32" s="184">
        <f t="shared" si="13"/>
        <v>11.372897083148423</v>
      </c>
      <c r="S32" s="184">
        <f t="shared" si="14"/>
        <v>12.744062951783116</v>
      </c>
      <c r="U32" s="174" t="s">
        <v>29</v>
      </c>
      <c r="V32" s="184">
        <f t="shared" si="15"/>
        <v>11.789601866094284</v>
      </c>
      <c r="W32" s="184">
        <f t="shared" si="16"/>
        <v>10.713479326468855</v>
      </c>
      <c r="X32" s="184">
        <f t="shared" si="17"/>
        <v>12.794886315832638</v>
      </c>
    </row>
    <row r="33" spans="1:24" ht="20.25" customHeight="1">
      <c r="A33" s="180" t="s">
        <v>28</v>
      </c>
      <c r="B33" s="185">
        <f t="shared" si="4"/>
        <v>5.884324404488944</v>
      </c>
      <c r="C33" s="185">
        <f t="shared" si="18"/>
        <v>4.2479000337287198</v>
      </c>
      <c r="D33" s="185">
        <f t="shared" si="5"/>
        <v>7.4136782240543919</v>
      </c>
      <c r="F33" s="180" t="s">
        <v>28</v>
      </c>
      <c r="G33" s="185">
        <f t="shared" si="6"/>
        <v>6.42828764402066</v>
      </c>
      <c r="H33" s="185">
        <f t="shared" si="7"/>
        <v>4.8484310218845499</v>
      </c>
      <c r="I33" s="185">
        <f t="shared" si="8"/>
        <v>7.9043374046103843</v>
      </c>
      <c r="K33" s="180" t="s">
        <v>28</v>
      </c>
      <c r="L33" s="185">
        <f t="shared" si="9"/>
        <v>5.7115380493137655</v>
      </c>
      <c r="M33" s="185">
        <f t="shared" si="10"/>
        <v>4.3144711822175594</v>
      </c>
      <c r="N33" s="185">
        <f t="shared" si="11"/>
        <v>7.0164330462426161</v>
      </c>
      <c r="P33" s="180" t="s">
        <v>28</v>
      </c>
      <c r="Q33" s="184">
        <f t="shared" si="12"/>
        <v>6.6052516869638058</v>
      </c>
      <c r="R33" s="184">
        <f t="shared" si="13"/>
        <v>5.4052527534594743</v>
      </c>
      <c r="S33" s="184">
        <f t="shared" si="14"/>
        <v>7.7258150344002674</v>
      </c>
      <c r="U33" s="180" t="s">
        <v>28</v>
      </c>
      <c r="V33" s="184">
        <f t="shared" si="15"/>
        <v>6.1574336719674507</v>
      </c>
      <c r="W33" s="184">
        <f t="shared" si="16"/>
        <v>4.7041475723942545</v>
      </c>
      <c r="X33" s="184">
        <f t="shared" si="17"/>
        <v>7.5150540758950255</v>
      </c>
    </row>
    <row r="34" spans="1:24" ht="20.25" customHeight="1">
      <c r="A34" s="180" t="s">
        <v>27</v>
      </c>
      <c r="B34" s="185">
        <f t="shared" si="4"/>
        <v>3.8623089847187777</v>
      </c>
      <c r="C34" s="185">
        <f t="shared" si="18"/>
        <v>4.8821817432699088</v>
      </c>
      <c r="D34" s="185">
        <f t="shared" si="5"/>
        <v>2.9091660673737381</v>
      </c>
      <c r="F34" s="180" t="s">
        <v>27</v>
      </c>
      <c r="G34" s="185">
        <f t="shared" si="6"/>
        <v>3.6684532906298521</v>
      </c>
      <c r="H34" s="185">
        <f t="shared" si="7"/>
        <v>4.7521486906006647</v>
      </c>
      <c r="I34" s="185">
        <f t="shared" si="8"/>
        <v>2.6559637309656878</v>
      </c>
      <c r="K34" s="180" t="s">
        <v>27</v>
      </c>
      <c r="L34" s="185">
        <f t="shared" si="9"/>
        <v>4.1777661288908208</v>
      </c>
      <c r="M34" s="185">
        <f t="shared" si="10"/>
        <v>4.9773280945007388</v>
      </c>
      <c r="N34" s="185">
        <f t="shared" si="11"/>
        <v>3.4309554835080656</v>
      </c>
      <c r="P34" s="180" t="s">
        <v>27</v>
      </c>
      <c r="Q34" s="184">
        <f t="shared" si="12"/>
        <v>3.6979025883418686</v>
      </c>
      <c r="R34" s="184">
        <f t="shared" si="13"/>
        <v>4.8024165893411865</v>
      </c>
      <c r="S34" s="184">
        <f t="shared" si="14"/>
        <v>2.6665034164810484</v>
      </c>
      <c r="U34" s="180" t="s">
        <v>27</v>
      </c>
      <c r="V34" s="184">
        <f t="shared" si="15"/>
        <v>3.8516219151055768</v>
      </c>
      <c r="W34" s="184">
        <f t="shared" si="16"/>
        <v>4.8535212298035892</v>
      </c>
      <c r="X34" s="184">
        <f t="shared" si="17"/>
        <v>2.9156747862404888</v>
      </c>
    </row>
    <row r="35" spans="1:24" ht="20.25" customHeight="1">
      <c r="A35" s="180" t="s">
        <v>26</v>
      </c>
      <c r="B35" s="185">
        <f t="shared" si="4"/>
        <v>2.2149576844196317</v>
      </c>
      <c r="C35" s="185">
        <f t="shared" si="18"/>
        <v>1.6901724204093089</v>
      </c>
      <c r="D35" s="185">
        <f t="shared" si="5"/>
        <v>2.7054064716086157</v>
      </c>
      <c r="F35" s="180" t="s">
        <v>26</v>
      </c>
      <c r="G35" s="185">
        <f t="shared" si="6"/>
        <v>1.5575558594197494</v>
      </c>
      <c r="H35" s="185">
        <f t="shared" si="7"/>
        <v>0.83464872087812714</v>
      </c>
      <c r="I35" s="185">
        <f t="shared" si="8"/>
        <v>2.2329632943869937</v>
      </c>
      <c r="K35" s="180" t="s">
        <v>26</v>
      </c>
      <c r="L35" s="185">
        <f t="shared" si="9"/>
        <v>1.5713330851990497</v>
      </c>
      <c r="M35" s="185">
        <f t="shared" si="10"/>
        <v>0.93360838885722508</v>
      </c>
      <c r="N35" s="185">
        <f t="shared" si="11"/>
        <v>2.1669837195914208</v>
      </c>
      <c r="P35" s="180" t="s">
        <v>26</v>
      </c>
      <c r="Q35" s="184">
        <f t="shared" si="12"/>
        <v>1.7787940552637411</v>
      </c>
      <c r="R35" s="184">
        <f t="shared" si="13"/>
        <v>1.1652277403477629</v>
      </c>
      <c r="S35" s="184">
        <f t="shared" si="14"/>
        <v>2.3517445009018001</v>
      </c>
      <c r="U35" s="180" t="s">
        <v>26</v>
      </c>
      <c r="V35" s="184">
        <f t="shared" si="15"/>
        <v>1.7805462790212556</v>
      </c>
      <c r="W35" s="184">
        <f t="shared" si="16"/>
        <v>1.1558105242710119</v>
      </c>
      <c r="X35" s="184">
        <f t="shared" si="17"/>
        <v>2.3641574536971248</v>
      </c>
    </row>
    <row r="36" spans="1:24" ht="20.25" customHeight="1">
      <c r="A36" s="179" t="s">
        <v>25</v>
      </c>
      <c r="B36" s="187">
        <v>0</v>
      </c>
      <c r="C36" s="187">
        <v>0</v>
      </c>
      <c r="D36" s="187">
        <v>0</v>
      </c>
      <c r="F36" s="179" t="s">
        <v>25</v>
      </c>
      <c r="G36" s="185">
        <f t="shared" si="6"/>
        <v>0</v>
      </c>
      <c r="H36" s="185">
        <f t="shared" si="7"/>
        <v>0</v>
      </c>
      <c r="I36" s="185">
        <f t="shared" si="8"/>
        <v>0</v>
      </c>
      <c r="K36" s="179" t="s">
        <v>25</v>
      </c>
      <c r="L36" s="185">
        <f t="shared" si="9"/>
        <v>0</v>
      </c>
      <c r="M36" s="185">
        <f t="shared" si="10"/>
        <v>0</v>
      </c>
      <c r="N36" s="185">
        <f t="shared" si="11"/>
        <v>0</v>
      </c>
      <c r="P36" s="179" t="s">
        <v>25</v>
      </c>
      <c r="Q36" s="184">
        <f t="shared" si="12"/>
        <v>0</v>
      </c>
      <c r="R36" s="184">
        <f t="shared" si="13"/>
        <v>0</v>
      </c>
      <c r="S36" s="184">
        <f t="shared" si="14"/>
        <v>0</v>
      </c>
      <c r="U36" s="179" t="s">
        <v>25</v>
      </c>
      <c r="V36" s="184">
        <f t="shared" si="15"/>
        <v>0</v>
      </c>
      <c r="W36" s="184">
        <f t="shared" si="16"/>
        <v>0</v>
      </c>
      <c r="X36" s="184">
        <f t="shared" si="17"/>
        <v>0</v>
      </c>
    </row>
    <row r="37" spans="1:24" ht="20.25" customHeight="1">
      <c r="A37" s="179" t="s">
        <v>24</v>
      </c>
      <c r="B37" s="185">
        <f t="shared" si="4"/>
        <v>0.11303343291853593</v>
      </c>
      <c r="C37" s="185">
        <f t="shared" si="18"/>
        <v>0.11986823582636374</v>
      </c>
      <c r="D37" s="185">
        <f>D20/$D$5*100</f>
        <v>0.10664582826057822</v>
      </c>
      <c r="F37" s="179" t="s">
        <v>24</v>
      </c>
      <c r="G37" s="185">
        <f t="shared" si="6"/>
        <v>0.1759812416670932</v>
      </c>
      <c r="H37" s="185">
        <f t="shared" si="7"/>
        <v>0.14785494269485566</v>
      </c>
      <c r="I37" s="185">
        <f t="shared" si="8"/>
        <v>0.20225945975508217</v>
      </c>
      <c r="K37" s="179" t="s">
        <v>24</v>
      </c>
      <c r="L37" s="185">
        <f t="shared" si="9"/>
        <v>8.9883721156825414E-2</v>
      </c>
      <c r="M37" s="185">
        <f t="shared" si="10"/>
        <v>2.6026036123734636E-2</v>
      </c>
      <c r="N37" s="185">
        <f t="shared" si="11"/>
        <v>0.14952837788562914</v>
      </c>
      <c r="P37" s="179" t="s">
        <v>24</v>
      </c>
      <c r="Q37" s="184">
        <f t="shared" si="12"/>
        <v>6.6480132668044978E-2</v>
      </c>
      <c r="R37" s="184">
        <f t="shared" si="13"/>
        <v>0.13767297373623269</v>
      </c>
      <c r="S37" s="184">
        <f t="shared" si="14"/>
        <v>0</v>
      </c>
      <c r="U37" s="179" t="s">
        <v>24</v>
      </c>
      <c r="V37" s="184">
        <f t="shared" si="15"/>
        <v>0.11133059618710071</v>
      </c>
      <c r="W37" s="184">
        <f t="shared" si="16"/>
        <v>0.10784873930500002</v>
      </c>
      <c r="X37" s="184">
        <f t="shared" si="17"/>
        <v>0.11458325232141851</v>
      </c>
    </row>
    <row r="38" spans="1:24" ht="2.25" customHeight="1">
      <c r="A38" s="188"/>
      <c r="B38" s="188"/>
      <c r="C38" s="188"/>
      <c r="D38" s="189">
        <v>0</v>
      </c>
      <c r="F38" s="188"/>
      <c r="G38" s="188"/>
      <c r="H38" s="188"/>
      <c r="I38" s="189">
        <v>0</v>
      </c>
      <c r="K38" s="188"/>
      <c r="L38" s="188"/>
      <c r="M38" s="188"/>
      <c r="N38" s="189">
        <v>0</v>
      </c>
      <c r="P38" s="188"/>
      <c r="Q38" s="188"/>
      <c r="R38" s="188"/>
      <c r="S38" s="168" t="s">
        <v>7</v>
      </c>
      <c r="U38" s="188"/>
      <c r="V38" s="188"/>
      <c r="W38" s="188"/>
      <c r="X38" s="168" t="s">
        <v>7</v>
      </c>
    </row>
    <row r="39" spans="1:24" ht="12.75" customHeight="1">
      <c r="A39" s="190"/>
      <c r="B39" s="131"/>
      <c r="F39" s="190"/>
      <c r="G39" s="131"/>
      <c r="K39" s="190"/>
      <c r="L39" s="131"/>
      <c r="P39" s="190"/>
      <c r="Q39" s="131"/>
      <c r="U39" s="190"/>
      <c r="V39" s="131"/>
    </row>
    <row r="40" spans="1:24" ht="20.25" customHeight="1">
      <c r="A40" s="148" t="s">
        <v>23</v>
      </c>
      <c r="F40" s="148" t="s">
        <v>23</v>
      </c>
      <c r="K40" s="148" t="s">
        <v>23</v>
      </c>
      <c r="P40" s="148" t="s">
        <v>23</v>
      </c>
      <c r="U40" s="148" t="s">
        <v>23</v>
      </c>
    </row>
    <row r="41" spans="1:24" ht="20.25" customHeight="1"/>
    <row r="42" spans="1:24" ht="20.25" customHeight="1"/>
    <row r="43" spans="1:24" ht="20.25" customHeight="1"/>
    <row r="44" spans="1:24" ht="20.25" customHeight="1"/>
    <row r="65536" spans="1:21" ht="26.25" customHeight="1">
      <c r="A65536" s="174"/>
      <c r="F65536" s="174"/>
      <c r="K65536" s="174"/>
      <c r="P65536" s="174"/>
      <c r="U65536" s="174"/>
    </row>
  </sheetData>
  <sheetProtection selectLockedCells="1" selectUnlockedCells="1"/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rintOptions horizontalCentered="1"/>
  <pageMargins left="0.21" right="0" top="0.78740157480314965" bottom="0.39370078740157483" header="0.51181102362204722" footer="0.51181102362204722"/>
  <pageSetup paperSize="5" scale="65" firstPageNumber="8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topLeftCell="A2" zoomScale="80" zoomScaleNormal="80" workbookViewId="0">
      <selection activeCell="A16" sqref="A16"/>
    </sheetView>
  </sheetViews>
  <sheetFormatPr defaultColWidth="11.28515625" defaultRowHeight="18" customHeight="1"/>
  <cols>
    <col min="1" max="1" width="43.42578125" style="50" customWidth="1"/>
    <col min="2" max="4" width="11.140625" style="50" customWidth="1"/>
    <col min="5" max="5" width="1.140625" style="50" customWidth="1"/>
    <col min="6" max="6" width="42.140625" style="50" customWidth="1"/>
    <col min="7" max="7" width="11.28515625" style="50" customWidth="1"/>
    <col min="8" max="8" width="10.28515625" style="50" customWidth="1"/>
    <col min="9" max="9" width="9.140625" style="50" customWidth="1"/>
    <col min="10" max="10" width="1.28515625" style="50" customWidth="1"/>
    <col min="11" max="11" width="42.42578125" style="50" customWidth="1"/>
    <col min="12" max="12" width="10.42578125" style="50" customWidth="1"/>
    <col min="13" max="13" width="9.42578125" style="50" customWidth="1"/>
    <col min="14" max="14" width="9.85546875" style="50" customWidth="1"/>
    <col min="15" max="15" width="1" style="50" customWidth="1"/>
    <col min="16" max="16" width="42.5703125" style="50" customWidth="1"/>
    <col min="17" max="17" width="11" style="50" customWidth="1"/>
    <col min="18" max="18" width="9.42578125" style="50" customWidth="1"/>
    <col min="19" max="19" width="9" style="50" customWidth="1"/>
    <col min="20" max="20" width="0.85546875" style="50" customWidth="1"/>
    <col min="21" max="21" width="43" style="50" customWidth="1"/>
    <col min="22" max="22" width="11.28515625" style="50"/>
    <col min="23" max="24" width="9.42578125" style="50" customWidth="1"/>
    <col min="25" max="16384" width="11.28515625" style="50"/>
  </cols>
  <sheetData>
    <row r="1" spans="1:24" s="92" customFormat="1" ht="35.450000000000003" customHeight="1">
      <c r="A1" s="92" t="s">
        <v>56</v>
      </c>
      <c r="B1" s="81"/>
      <c r="C1" s="81"/>
      <c r="D1" s="81"/>
      <c r="G1" s="81"/>
      <c r="H1" s="81"/>
      <c r="I1" s="81"/>
      <c r="L1" s="81"/>
      <c r="M1" s="81"/>
      <c r="N1" s="81"/>
      <c r="Q1" s="81"/>
      <c r="R1" s="81"/>
      <c r="S1" s="81"/>
      <c r="V1" s="81"/>
      <c r="W1" s="81"/>
      <c r="X1" s="8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60" customFormat="1" ht="23.25" customHeight="1">
      <c r="A3" s="91" t="s">
        <v>3</v>
      </c>
      <c r="B3" s="90" t="s">
        <v>0</v>
      </c>
      <c r="C3" s="90" t="s">
        <v>1</v>
      </c>
      <c r="D3" s="90" t="s">
        <v>2</v>
      </c>
      <c r="F3" s="91" t="s">
        <v>3</v>
      </c>
      <c r="G3" s="90" t="s">
        <v>0</v>
      </c>
      <c r="H3" s="90" t="s">
        <v>1</v>
      </c>
      <c r="I3" s="90" t="s">
        <v>2</v>
      </c>
      <c r="K3" s="91" t="s">
        <v>3</v>
      </c>
      <c r="L3" s="90" t="s">
        <v>0</v>
      </c>
      <c r="M3" s="90" t="s">
        <v>1</v>
      </c>
      <c r="N3" s="90" t="s">
        <v>2</v>
      </c>
      <c r="P3" s="91" t="s">
        <v>3</v>
      </c>
      <c r="Q3" s="90" t="s">
        <v>0</v>
      </c>
      <c r="R3" s="90" t="s">
        <v>1</v>
      </c>
      <c r="S3" s="90" t="s">
        <v>2</v>
      </c>
      <c r="U3" s="91" t="s">
        <v>3</v>
      </c>
      <c r="V3" s="90" t="s">
        <v>0</v>
      </c>
      <c r="W3" s="90" t="s">
        <v>1</v>
      </c>
      <c r="X3" s="90" t="s">
        <v>2</v>
      </c>
    </row>
    <row r="4" spans="1:24" s="60" customFormat="1" ht="18" customHeight="1">
      <c r="A4" s="212"/>
      <c r="B4" s="669" t="s">
        <v>21</v>
      </c>
      <c r="C4" s="669"/>
      <c r="D4" s="669"/>
      <c r="F4" s="212"/>
      <c r="G4" s="669" t="s">
        <v>21</v>
      </c>
      <c r="H4" s="669"/>
      <c r="I4" s="669"/>
      <c r="K4" s="212"/>
      <c r="L4" s="669" t="s">
        <v>21</v>
      </c>
      <c r="M4" s="669"/>
      <c r="N4" s="669"/>
      <c r="P4" s="212"/>
      <c r="Q4" s="669" t="s">
        <v>21</v>
      </c>
      <c r="R4" s="669"/>
      <c r="S4" s="669"/>
      <c r="U4" s="212"/>
      <c r="V4" s="669" t="s">
        <v>21</v>
      </c>
      <c r="W4" s="669"/>
      <c r="X4" s="669"/>
    </row>
    <row r="5" spans="1:24" s="60" customFormat="1" ht="18" customHeight="1">
      <c r="A5" s="68" t="s">
        <v>38</v>
      </c>
      <c r="B5" s="89">
        <v>1184151</v>
      </c>
      <c r="C5" s="89">
        <v>650780</v>
      </c>
      <c r="D5" s="89">
        <v>533371</v>
      </c>
      <c r="E5" s="72"/>
      <c r="F5" s="88" t="s">
        <v>38</v>
      </c>
      <c r="G5" s="89">
        <v>1171095</v>
      </c>
      <c r="H5" s="89">
        <v>644778</v>
      </c>
      <c r="I5" s="89">
        <v>526317</v>
      </c>
      <c r="K5" s="88" t="s">
        <v>38</v>
      </c>
      <c r="L5" s="89">
        <v>1164344</v>
      </c>
      <c r="M5" s="89">
        <v>655575</v>
      </c>
      <c r="N5" s="89">
        <v>508769</v>
      </c>
      <c r="P5" s="88" t="s">
        <v>38</v>
      </c>
      <c r="Q5" s="89">
        <v>1198717</v>
      </c>
      <c r="R5" s="89">
        <v>654869</v>
      </c>
      <c r="S5" s="89">
        <v>543848</v>
      </c>
      <c r="U5" s="88" t="s">
        <v>38</v>
      </c>
      <c r="V5" s="137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s="60" customFormat="1" ht="8.25" customHeight="1">
      <c r="A6" s="68"/>
      <c r="B6" s="80"/>
      <c r="C6" s="80"/>
      <c r="D6" s="80"/>
      <c r="F6" s="88"/>
      <c r="G6" s="80"/>
      <c r="H6" s="80"/>
      <c r="I6" s="80"/>
      <c r="K6" s="88"/>
      <c r="L6" s="80"/>
      <c r="M6" s="80"/>
      <c r="N6" s="80"/>
      <c r="P6" s="88"/>
      <c r="Q6" s="80"/>
      <c r="R6" s="80"/>
      <c r="S6" s="80"/>
      <c r="U6" s="88"/>
      <c r="V6" s="80"/>
      <c r="W6" s="80"/>
      <c r="X6" s="80"/>
    </row>
    <row r="7" spans="1:24" ht="18.600000000000001" customHeight="1">
      <c r="A7" s="57" t="s">
        <v>55</v>
      </c>
      <c r="B7" s="80"/>
      <c r="C7" s="80"/>
      <c r="D7" s="80"/>
      <c r="F7" s="75" t="s">
        <v>55</v>
      </c>
      <c r="G7" s="80"/>
      <c r="H7" s="80"/>
      <c r="I7" s="80"/>
      <c r="K7" s="75" t="s">
        <v>55</v>
      </c>
      <c r="L7" s="80"/>
      <c r="M7" s="80"/>
      <c r="N7" s="80"/>
      <c r="O7" s="87"/>
      <c r="P7" s="75" t="s">
        <v>55</v>
      </c>
      <c r="Q7" s="80"/>
      <c r="R7" s="80"/>
      <c r="S7" s="80"/>
      <c r="U7" s="75" t="s">
        <v>55</v>
      </c>
      <c r="V7" s="80"/>
      <c r="W7" s="80"/>
      <c r="X7" s="80"/>
    </row>
    <row r="8" spans="1:24" ht="18.600000000000001" customHeight="1">
      <c r="A8" s="57" t="s">
        <v>54</v>
      </c>
      <c r="B8" s="76">
        <v>38862</v>
      </c>
      <c r="C8" s="76">
        <v>27091</v>
      </c>
      <c r="D8" s="76">
        <v>11771</v>
      </c>
      <c r="E8" s="72"/>
      <c r="F8" s="75" t="s">
        <v>54</v>
      </c>
      <c r="G8" s="74">
        <v>35053</v>
      </c>
      <c r="H8" s="74">
        <v>27913</v>
      </c>
      <c r="I8" s="74">
        <v>7140</v>
      </c>
      <c r="K8" s="75" t="s">
        <v>54</v>
      </c>
      <c r="L8" s="74">
        <v>30501</v>
      </c>
      <c r="M8" s="74">
        <v>21550</v>
      </c>
      <c r="N8" s="74">
        <v>8951</v>
      </c>
      <c r="O8" s="86"/>
      <c r="P8" s="75" t="s">
        <v>54</v>
      </c>
      <c r="Q8" s="74">
        <v>41275</v>
      </c>
      <c r="R8" s="74">
        <v>29849</v>
      </c>
      <c r="S8" s="74">
        <v>11426</v>
      </c>
      <c r="U8" s="75" t="s">
        <v>54</v>
      </c>
      <c r="V8" s="150">
        <f t="shared" ref="V8:X9" si="0">(B8+G8+L8+Q8)/4</f>
        <v>36422.75</v>
      </c>
      <c r="W8" s="150">
        <f t="shared" si="0"/>
        <v>26600.75</v>
      </c>
      <c r="X8" s="150">
        <f t="shared" si="0"/>
        <v>9822</v>
      </c>
    </row>
    <row r="9" spans="1:24" ht="18.600000000000001" customHeight="1">
      <c r="A9" s="57" t="s">
        <v>53</v>
      </c>
      <c r="B9" s="76">
        <v>52150</v>
      </c>
      <c r="C9" s="76">
        <v>19821</v>
      </c>
      <c r="D9" s="76">
        <v>32329</v>
      </c>
      <c r="E9" s="72"/>
      <c r="F9" s="75" t="s">
        <v>53</v>
      </c>
      <c r="G9" s="74">
        <v>50056</v>
      </c>
      <c r="H9" s="74">
        <v>13804</v>
      </c>
      <c r="I9" s="74">
        <v>36252</v>
      </c>
      <c r="J9" s="85"/>
      <c r="K9" s="75" t="s">
        <v>53</v>
      </c>
      <c r="L9" s="74">
        <v>56131</v>
      </c>
      <c r="M9" s="74">
        <v>14430</v>
      </c>
      <c r="N9" s="74">
        <v>41701</v>
      </c>
      <c r="O9" s="84"/>
      <c r="P9" s="75" t="s">
        <v>53</v>
      </c>
      <c r="Q9" s="74">
        <v>51882</v>
      </c>
      <c r="R9" s="74">
        <v>18403</v>
      </c>
      <c r="S9" s="74">
        <v>33479</v>
      </c>
      <c r="U9" s="75" t="s">
        <v>53</v>
      </c>
      <c r="V9" s="150">
        <f t="shared" si="0"/>
        <v>52554.75</v>
      </c>
      <c r="W9" s="150">
        <f t="shared" si="0"/>
        <v>16614.5</v>
      </c>
      <c r="X9" s="150">
        <f t="shared" si="0"/>
        <v>35940.25</v>
      </c>
    </row>
    <row r="10" spans="1:24" ht="18.600000000000001" customHeight="1">
      <c r="A10" s="57" t="s">
        <v>52</v>
      </c>
      <c r="B10" s="80"/>
      <c r="C10" s="80"/>
      <c r="D10" s="80"/>
      <c r="E10" s="79"/>
      <c r="F10" s="75" t="s">
        <v>52</v>
      </c>
      <c r="G10" s="78"/>
      <c r="H10" s="78"/>
      <c r="I10" s="78"/>
      <c r="J10" s="85"/>
      <c r="K10" s="75" t="s">
        <v>52</v>
      </c>
      <c r="L10" s="78"/>
      <c r="M10" s="78"/>
      <c r="N10" s="78"/>
      <c r="O10" s="84"/>
      <c r="P10" s="75" t="s">
        <v>52</v>
      </c>
      <c r="Q10" s="78"/>
      <c r="R10" s="78"/>
      <c r="S10" s="78"/>
      <c r="U10" s="75" t="s">
        <v>52</v>
      </c>
      <c r="V10" s="78"/>
      <c r="W10" s="78"/>
      <c r="X10" s="78"/>
    </row>
    <row r="11" spans="1:24" ht="18.600000000000001" customHeight="1">
      <c r="A11" s="57" t="s">
        <v>51</v>
      </c>
      <c r="B11" s="76">
        <v>37305</v>
      </c>
      <c r="C11" s="76">
        <v>12492</v>
      </c>
      <c r="D11" s="76">
        <v>24813</v>
      </c>
      <c r="E11" s="72"/>
      <c r="F11" s="75" t="s">
        <v>51</v>
      </c>
      <c r="G11" s="74">
        <v>30645</v>
      </c>
      <c r="H11" s="74">
        <v>17393</v>
      </c>
      <c r="I11" s="74">
        <v>13252</v>
      </c>
      <c r="J11" s="82"/>
      <c r="K11" s="75" t="s">
        <v>51</v>
      </c>
      <c r="L11" s="74">
        <v>37933</v>
      </c>
      <c r="M11" s="74">
        <v>24614</v>
      </c>
      <c r="N11" s="74">
        <v>13319</v>
      </c>
      <c r="O11" s="77"/>
      <c r="P11" s="75" t="s">
        <v>51</v>
      </c>
      <c r="Q11" s="74">
        <v>24148</v>
      </c>
      <c r="R11" s="74">
        <v>8971</v>
      </c>
      <c r="S11" s="74">
        <v>15177</v>
      </c>
      <c r="U11" s="75" t="s">
        <v>51</v>
      </c>
      <c r="V11" s="150">
        <f t="shared" ref="V11:X13" si="1">(B11+G11+L11+Q11)/4</f>
        <v>32507.75</v>
      </c>
      <c r="W11" s="150">
        <f t="shared" si="1"/>
        <v>15867.5</v>
      </c>
      <c r="X11" s="150">
        <f t="shared" si="1"/>
        <v>16640.25</v>
      </c>
    </row>
    <row r="12" spans="1:24" ht="18.600000000000001" customHeight="1">
      <c r="A12" s="57" t="s">
        <v>50</v>
      </c>
      <c r="B12" s="76">
        <v>47492</v>
      </c>
      <c r="C12" s="76">
        <v>18199</v>
      </c>
      <c r="D12" s="76">
        <v>29293</v>
      </c>
      <c r="E12" s="72"/>
      <c r="F12" s="75" t="s">
        <v>50</v>
      </c>
      <c r="G12" s="74">
        <v>45570</v>
      </c>
      <c r="H12" s="74">
        <v>12163</v>
      </c>
      <c r="I12" s="74">
        <v>33407</v>
      </c>
      <c r="J12" s="82"/>
      <c r="K12" s="75" t="s">
        <v>50</v>
      </c>
      <c r="L12" s="74">
        <v>40136</v>
      </c>
      <c r="M12" s="74">
        <v>9318</v>
      </c>
      <c r="N12" s="74">
        <v>30818</v>
      </c>
      <c r="O12" s="81"/>
      <c r="P12" s="75" t="s">
        <v>50</v>
      </c>
      <c r="Q12" s="74">
        <v>40415</v>
      </c>
      <c r="R12" s="74">
        <v>17756</v>
      </c>
      <c r="S12" s="74">
        <v>22659</v>
      </c>
      <c r="U12" s="75" t="s">
        <v>50</v>
      </c>
      <c r="V12" s="150">
        <f t="shared" si="1"/>
        <v>43403.25</v>
      </c>
      <c r="W12" s="150">
        <f t="shared" si="1"/>
        <v>14359</v>
      </c>
      <c r="X12" s="150">
        <f t="shared" si="1"/>
        <v>29044.25</v>
      </c>
    </row>
    <row r="13" spans="1:24" ht="18.600000000000001" customHeight="1">
      <c r="A13" s="57" t="s">
        <v>49</v>
      </c>
      <c r="B13" s="76">
        <v>237568</v>
      </c>
      <c r="C13" s="76">
        <v>93563</v>
      </c>
      <c r="D13" s="76">
        <v>144005</v>
      </c>
      <c r="E13" s="72"/>
      <c r="F13" s="75" t="s">
        <v>49</v>
      </c>
      <c r="G13" s="74">
        <v>245594</v>
      </c>
      <c r="H13" s="74">
        <v>96136</v>
      </c>
      <c r="I13" s="74">
        <v>149458</v>
      </c>
      <c r="J13" s="82"/>
      <c r="K13" s="75" t="s">
        <v>49</v>
      </c>
      <c r="L13" s="74">
        <v>232153</v>
      </c>
      <c r="M13" s="74">
        <v>94988</v>
      </c>
      <c r="N13" s="74">
        <v>137165</v>
      </c>
      <c r="O13" s="77"/>
      <c r="P13" s="75" t="s">
        <v>49</v>
      </c>
      <c r="Q13" s="74">
        <v>220106</v>
      </c>
      <c r="R13" s="74">
        <v>76722</v>
      </c>
      <c r="S13" s="74">
        <v>143384</v>
      </c>
      <c r="U13" s="75" t="s">
        <v>49</v>
      </c>
      <c r="V13" s="150">
        <f t="shared" si="1"/>
        <v>233855.25</v>
      </c>
      <c r="W13" s="150">
        <f t="shared" si="1"/>
        <v>90352.25</v>
      </c>
      <c r="X13" s="150">
        <f t="shared" si="1"/>
        <v>143503</v>
      </c>
    </row>
    <row r="14" spans="1:24" ht="18.600000000000001" customHeight="1">
      <c r="A14" s="57" t="s">
        <v>48</v>
      </c>
      <c r="B14" s="80"/>
      <c r="C14" s="80"/>
      <c r="D14" s="80"/>
      <c r="E14" s="79"/>
      <c r="F14" s="75" t="s">
        <v>48</v>
      </c>
      <c r="G14" s="78"/>
      <c r="H14" s="78"/>
      <c r="I14" s="78"/>
      <c r="J14" s="82"/>
      <c r="K14" s="75" t="s">
        <v>48</v>
      </c>
      <c r="L14" s="78"/>
      <c r="M14" s="78"/>
      <c r="N14" s="78"/>
      <c r="O14" s="77"/>
      <c r="P14" s="75" t="s">
        <v>48</v>
      </c>
      <c r="Q14" s="78"/>
      <c r="R14" s="78"/>
      <c r="S14" s="78"/>
      <c r="U14" s="75" t="s">
        <v>48</v>
      </c>
      <c r="V14" s="78"/>
      <c r="W14" s="78"/>
      <c r="X14" s="78"/>
    </row>
    <row r="15" spans="1:24" ht="18.600000000000001" customHeight="1">
      <c r="A15" s="59" t="s">
        <v>47</v>
      </c>
      <c r="B15" s="76">
        <v>306068</v>
      </c>
      <c r="C15" s="76">
        <v>189383</v>
      </c>
      <c r="D15" s="76">
        <v>116685</v>
      </c>
      <c r="E15" s="72"/>
      <c r="F15" s="83" t="s">
        <v>47</v>
      </c>
      <c r="G15" s="74">
        <v>306856</v>
      </c>
      <c r="H15" s="74">
        <v>188245</v>
      </c>
      <c r="I15" s="74">
        <v>118611</v>
      </c>
      <c r="J15" s="82"/>
      <c r="K15" s="83" t="s">
        <v>47</v>
      </c>
      <c r="L15" s="74">
        <v>370035</v>
      </c>
      <c r="M15" s="74">
        <v>237295</v>
      </c>
      <c r="N15" s="74">
        <v>132740</v>
      </c>
      <c r="O15" s="77"/>
      <c r="P15" s="83" t="s">
        <v>47</v>
      </c>
      <c r="Q15" s="74">
        <v>403243</v>
      </c>
      <c r="R15" s="74">
        <v>246629</v>
      </c>
      <c r="S15" s="74">
        <v>156614</v>
      </c>
      <c r="U15" s="83" t="s">
        <v>47</v>
      </c>
      <c r="V15" s="150">
        <f>(B15+G15+L15+Q15)/4</f>
        <v>346550.5</v>
      </c>
      <c r="W15" s="150">
        <f>(C15+H15+M15+R15)/4</f>
        <v>215388</v>
      </c>
      <c r="X15" s="150">
        <f>(D15+I15+N15+S15)/4</f>
        <v>131162.5</v>
      </c>
    </row>
    <row r="16" spans="1:24" ht="18.600000000000001" customHeight="1">
      <c r="A16" s="57" t="s">
        <v>46</v>
      </c>
      <c r="B16" s="80"/>
      <c r="C16" s="80"/>
      <c r="D16" s="80"/>
      <c r="E16" s="79"/>
      <c r="F16" s="75" t="s">
        <v>46</v>
      </c>
      <c r="G16" s="78"/>
      <c r="H16" s="78"/>
      <c r="I16" s="78"/>
      <c r="J16" s="82"/>
      <c r="K16" s="75" t="s">
        <v>46</v>
      </c>
      <c r="L16" s="78"/>
      <c r="M16" s="78"/>
      <c r="N16" s="78"/>
      <c r="O16" s="77"/>
      <c r="P16" s="75" t="s">
        <v>46</v>
      </c>
      <c r="Q16" s="78"/>
      <c r="R16" s="78"/>
      <c r="S16" s="78"/>
      <c r="U16" s="75" t="s">
        <v>46</v>
      </c>
      <c r="V16" s="78"/>
      <c r="W16" s="78"/>
      <c r="X16" s="78"/>
    </row>
    <row r="17" spans="1:24" ht="18.600000000000001" customHeight="1">
      <c r="A17" s="57" t="s">
        <v>45</v>
      </c>
      <c r="B17" s="76">
        <v>141208</v>
      </c>
      <c r="C17" s="76">
        <v>108258</v>
      </c>
      <c r="D17" s="76">
        <v>32950</v>
      </c>
      <c r="E17" s="72"/>
      <c r="F17" s="75" t="s">
        <v>45</v>
      </c>
      <c r="G17" s="74">
        <v>181905</v>
      </c>
      <c r="H17" s="74">
        <v>135046</v>
      </c>
      <c r="I17" s="74">
        <v>46859</v>
      </c>
      <c r="J17" s="82"/>
      <c r="K17" s="75" t="s">
        <v>45</v>
      </c>
      <c r="L17" s="74">
        <v>154712</v>
      </c>
      <c r="M17" s="74">
        <v>122432</v>
      </c>
      <c r="N17" s="74">
        <v>32280</v>
      </c>
      <c r="O17" s="81"/>
      <c r="P17" s="75" t="s">
        <v>45</v>
      </c>
      <c r="Q17" s="74">
        <v>136190</v>
      </c>
      <c r="R17" s="74">
        <v>97454</v>
      </c>
      <c r="S17" s="74">
        <v>38736</v>
      </c>
      <c r="U17" s="75" t="s">
        <v>45</v>
      </c>
      <c r="V17" s="150">
        <f>(B17+G17+L17+Q17)/4</f>
        <v>153503.75</v>
      </c>
      <c r="W17" s="150">
        <f>(C17+H17+M17+R17)/4</f>
        <v>115797.5</v>
      </c>
      <c r="X17" s="150">
        <f>(D17+I17+N17+S17)/4</f>
        <v>37706.25</v>
      </c>
    </row>
    <row r="18" spans="1:24" ht="18.600000000000001" customHeight="1">
      <c r="A18" s="57" t="s">
        <v>44</v>
      </c>
      <c r="B18" s="80"/>
      <c r="C18" s="80"/>
      <c r="D18" s="80"/>
      <c r="E18" s="79"/>
      <c r="F18" s="75" t="s">
        <v>44</v>
      </c>
      <c r="G18" s="78"/>
      <c r="H18" s="78"/>
      <c r="I18" s="78"/>
      <c r="K18" s="75" t="s">
        <v>44</v>
      </c>
      <c r="L18" s="78"/>
      <c r="M18" s="78"/>
      <c r="N18" s="78"/>
      <c r="O18" s="77"/>
      <c r="P18" s="75" t="s">
        <v>44</v>
      </c>
      <c r="Q18" s="78"/>
      <c r="R18" s="78"/>
      <c r="S18" s="78"/>
      <c r="U18" s="75" t="s">
        <v>44</v>
      </c>
      <c r="V18" s="78"/>
      <c r="W18" s="78"/>
      <c r="X18" s="78"/>
    </row>
    <row r="19" spans="1:24" ht="18.600000000000001" customHeight="1">
      <c r="A19" s="57" t="s">
        <v>43</v>
      </c>
      <c r="B19" s="76">
        <v>151100</v>
      </c>
      <c r="C19" s="76">
        <v>81180</v>
      </c>
      <c r="D19" s="76">
        <v>69920</v>
      </c>
      <c r="E19" s="72"/>
      <c r="F19" s="75" t="s">
        <v>43</v>
      </c>
      <c r="G19" s="74">
        <v>127614</v>
      </c>
      <c r="H19" s="74">
        <v>75172</v>
      </c>
      <c r="I19" s="74">
        <v>52442</v>
      </c>
      <c r="K19" s="75" t="s">
        <v>43</v>
      </c>
      <c r="L19" s="74">
        <v>139310</v>
      </c>
      <c r="M19" s="74">
        <v>73267</v>
      </c>
      <c r="N19" s="74">
        <v>66043</v>
      </c>
      <c r="O19" s="81"/>
      <c r="P19" s="75" t="s">
        <v>43</v>
      </c>
      <c r="Q19" s="74">
        <v>143063</v>
      </c>
      <c r="R19" s="74">
        <v>76922</v>
      </c>
      <c r="S19" s="74">
        <v>66141</v>
      </c>
      <c r="T19" s="70"/>
      <c r="U19" s="75" t="s">
        <v>43</v>
      </c>
      <c r="V19" s="150">
        <f>(B19+G19+L19+Q19)/4</f>
        <v>140271.75</v>
      </c>
      <c r="W19" s="150">
        <f>(C19+H19+M19+R19)/4</f>
        <v>76635.25</v>
      </c>
      <c r="X19" s="150">
        <f>(D19+I19+N19+S19)/4</f>
        <v>63636.5</v>
      </c>
    </row>
    <row r="20" spans="1:24" ht="18.600000000000001" customHeight="1">
      <c r="A20" s="57" t="s">
        <v>42</v>
      </c>
      <c r="B20" s="80"/>
      <c r="C20" s="80"/>
      <c r="D20" s="80"/>
      <c r="E20" s="79"/>
      <c r="F20" s="75" t="s">
        <v>42</v>
      </c>
      <c r="G20" s="78"/>
      <c r="H20" s="78"/>
      <c r="I20" s="78"/>
      <c r="K20" s="75" t="s">
        <v>42</v>
      </c>
      <c r="L20" s="78"/>
      <c r="M20" s="78"/>
      <c r="N20" s="78"/>
      <c r="O20" s="77"/>
      <c r="P20" s="75" t="s">
        <v>42</v>
      </c>
      <c r="Q20" s="78"/>
      <c r="R20" s="78"/>
      <c r="S20" s="78"/>
      <c r="U20" s="75" t="s">
        <v>42</v>
      </c>
      <c r="V20" s="78"/>
      <c r="W20" s="78"/>
      <c r="X20" s="78"/>
    </row>
    <row r="21" spans="1:24" ht="18.600000000000001" customHeight="1">
      <c r="A21" s="57" t="s">
        <v>41</v>
      </c>
      <c r="B21" s="76">
        <v>172398</v>
      </c>
      <c r="C21" s="76">
        <v>100793</v>
      </c>
      <c r="D21" s="76">
        <v>71605</v>
      </c>
      <c r="E21" s="72"/>
      <c r="F21" s="75" t="s">
        <v>41</v>
      </c>
      <c r="G21" s="74">
        <v>147802</v>
      </c>
      <c r="H21" s="74">
        <v>78906</v>
      </c>
      <c r="I21" s="74">
        <v>68896</v>
      </c>
      <c r="K21" s="75" t="s">
        <v>41</v>
      </c>
      <c r="L21" s="74">
        <v>103433</v>
      </c>
      <c r="M21" s="74">
        <v>57681</v>
      </c>
      <c r="N21" s="74">
        <v>45752</v>
      </c>
      <c r="P21" s="75" t="s">
        <v>41</v>
      </c>
      <c r="Q21" s="74">
        <v>138395</v>
      </c>
      <c r="R21" s="74">
        <v>82163</v>
      </c>
      <c r="S21" s="74">
        <v>56232</v>
      </c>
      <c r="T21" s="70"/>
      <c r="U21" s="75" t="s">
        <v>41</v>
      </c>
      <c r="V21" s="150">
        <f>(B21+G21+L21+Q21)/4</f>
        <v>140507</v>
      </c>
      <c r="W21" s="150">
        <f>(C21+H21+M21+R21)/4</f>
        <v>79885.75</v>
      </c>
      <c r="X21" s="150">
        <f>(D21+I21+N21+S21)/4</f>
        <v>60621.25</v>
      </c>
    </row>
    <row r="22" spans="1:24" ht="18.600000000000001" customHeight="1">
      <c r="A22" s="53" t="s">
        <v>40</v>
      </c>
      <c r="B22" s="73" t="s">
        <v>8</v>
      </c>
      <c r="C22" s="73" t="s">
        <v>8</v>
      </c>
      <c r="D22" s="73" t="s">
        <v>8</v>
      </c>
      <c r="E22" s="72"/>
      <c r="F22" s="71" t="s">
        <v>40</v>
      </c>
      <c r="G22" s="28" t="s">
        <v>8</v>
      </c>
      <c r="H22" s="28" t="s">
        <v>8</v>
      </c>
      <c r="I22" s="28" t="s">
        <v>8</v>
      </c>
      <c r="K22" s="71" t="s">
        <v>40</v>
      </c>
      <c r="L22" s="28" t="s">
        <v>8</v>
      </c>
      <c r="M22" s="28" t="s">
        <v>8</v>
      </c>
      <c r="N22" s="28" t="s">
        <v>8</v>
      </c>
      <c r="P22" s="71" t="s">
        <v>40</v>
      </c>
      <c r="Q22" s="28" t="s">
        <v>8</v>
      </c>
      <c r="R22" s="28" t="s">
        <v>8</v>
      </c>
      <c r="S22" s="28" t="s">
        <v>8</v>
      </c>
      <c r="U22" s="71" t="s">
        <v>40</v>
      </c>
      <c r="V22" s="28" t="s">
        <v>8</v>
      </c>
      <c r="W22" s="28" t="s">
        <v>8</v>
      </c>
      <c r="X22" s="28" t="s">
        <v>8</v>
      </c>
    </row>
    <row r="23" spans="1:24" ht="21.75" customHeight="1">
      <c r="B23" s="670" t="s">
        <v>20</v>
      </c>
      <c r="C23" s="670"/>
      <c r="D23" s="670"/>
      <c r="G23" s="670" t="s">
        <v>20</v>
      </c>
      <c r="H23" s="670"/>
      <c r="I23" s="670"/>
      <c r="L23" s="670" t="s">
        <v>20</v>
      </c>
      <c r="M23" s="670"/>
      <c r="N23" s="670"/>
      <c r="Q23" s="670" t="s">
        <v>20</v>
      </c>
      <c r="R23" s="670"/>
      <c r="S23" s="670"/>
      <c r="T23" s="70"/>
      <c r="V23" s="670" t="s">
        <v>20</v>
      </c>
      <c r="W23" s="670"/>
      <c r="X23" s="670"/>
    </row>
    <row r="24" spans="1:24" s="60" customFormat="1" ht="18" customHeight="1">
      <c r="A24" s="68" t="s">
        <v>38</v>
      </c>
      <c r="B24" s="249">
        <f>B5/$B$5*100</f>
        <v>100</v>
      </c>
      <c r="C24" s="249">
        <f>C5/$C$5*100</f>
        <v>100</v>
      </c>
      <c r="D24" s="249">
        <f>D5/$D$5*100</f>
        <v>100</v>
      </c>
      <c r="E24" s="50"/>
      <c r="F24" s="68" t="s">
        <v>38</v>
      </c>
      <c r="G24" s="67">
        <f>G5*100/$G$5</f>
        <v>100</v>
      </c>
      <c r="H24" s="67">
        <f>H5*100/$H$5</f>
        <v>100</v>
      </c>
      <c r="I24" s="67">
        <f>I5*100/$I$5</f>
        <v>100</v>
      </c>
      <c r="K24" s="68" t="s">
        <v>38</v>
      </c>
      <c r="L24" s="67">
        <f>L5*100/$L$5</f>
        <v>100</v>
      </c>
      <c r="M24" s="67">
        <f>M5*100/$M$5</f>
        <v>100</v>
      </c>
      <c r="N24" s="67">
        <f>N5*100/$N$5</f>
        <v>100</v>
      </c>
      <c r="P24" s="68" t="s">
        <v>38</v>
      </c>
      <c r="Q24" s="193">
        <f>Q5*100/$Q$5</f>
        <v>100</v>
      </c>
      <c r="R24" s="193">
        <f>R5*100/$R$5</f>
        <v>100</v>
      </c>
      <c r="S24" s="193">
        <f>S5*100/$S$5</f>
        <v>100</v>
      </c>
      <c r="U24" s="68" t="s">
        <v>38</v>
      </c>
      <c r="V24" s="193">
        <f>V5*100/$V$5</f>
        <v>100</v>
      </c>
      <c r="W24" s="193">
        <f>W5*100/$W$5</f>
        <v>100</v>
      </c>
      <c r="X24" s="193">
        <f>X5*100/$X$5</f>
        <v>100</v>
      </c>
    </row>
    <row r="25" spans="1:24" s="60" customFormat="1" ht="10.9" customHeight="1">
      <c r="A25" s="65"/>
      <c r="B25" s="66"/>
      <c r="C25" s="66"/>
      <c r="D25" s="66"/>
      <c r="E25" s="50"/>
      <c r="F25" s="65"/>
      <c r="G25" s="64"/>
      <c r="H25" s="64"/>
      <c r="I25" s="64"/>
      <c r="K25" s="65"/>
      <c r="L25" s="64"/>
      <c r="M25" s="64"/>
      <c r="N25" s="64"/>
      <c r="P25" s="65"/>
      <c r="Q25" s="64"/>
      <c r="R25" s="64"/>
      <c r="S25" s="64"/>
      <c r="T25" s="63"/>
      <c r="U25" s="65"/>
      <c r="V25" s="64"/>
      <c r="W25" s="64"/>
      <c r="X25" s="64"/>
    </row>
    <row r="26" spans="1:24" ht="19.149999999999999" customHeight="1">
      <c r="A26" s="57" t="s">
        <v>55</v>
      </c>
      <c r="B26" s="62"/>
      <c r="C26" s="62"/>
      <c r="D26" s="62"/>
      <c r="E26" s="60"/>
      <c r="F26" s="57" t="s">
        <v>55</v>
      </c>
      <c r="G26" s="61"/>
      <c r="H26" s="61"/>
      <c r="I26" s="61"/>
      <c r="K26" s="57" t="s">
        <v>55</v>
      </c>
      <c r="L26" s="61"/>
      <c r="M26" s="61"/>
      <c r="N26" s="61"/>
      <c r="P26" s="75" t="s">
        <v>55</v>
      </c>
      <c r="Q26" s="149"/>
      <c r="R26" s="149"/>
      <c r="S26" s="149"/>
      <c r="U26" s="75" t="s">
        <v>55</v>
      </c>
      <c r="V26" s="149"/>
      <c r="W26" s="149"/>
      <c r="X26" s="149"/>
    </row>
    <row r="27" spans="1:24" ht="19.149999999999999" customHeight="1">
      <c r="A27" s="57" t="s">
        <v>54</v>
      </c>
      <c r="B27" s="191">
        <f>B8*100/$B$5</f>
        <v>3.2818449674070282</v>
      </c>
      <c r="C27" s="191">
        <f>C8*100/$C$5</f>
        <v>4.1628507329665938</v>
      </c>
      <c r="D27" s="191">
        <f>D8*100/$D$5</f>
        <v>2.2069066372187462</v>
      </c>
      <c r="E27" s="60"/>
      <c r="F27" s="57" t="s">
        <v>54</v>
      </c>
      <c r="G27" s="56">
        <f>G8*100/$G$5</f>
        <v>2.9931815950029672</v>
      </c>
      <c r="H27" s="56">
        <f>H8*100/$H$5</f>
        <v>4.3290869105335483</v>
      </c>
      <c r="I27" s="56">
        <f>I8*100/$I$5</f>
        <v>1.3565968798271764</v>
      </c>
      <c r="K27" s="57" t="s">
        <v>54</v>
      </c>
      <c r="L27" s="56">
        <f>L8*100/$L$5</f>
        <v>2.6195866513676371</v>
      </c>
      <c r="M27" s="56">
        <f>M8*100/$M$5</f>
        <v>3.2871906341761048</v>
      </c>
      <c r="N27" s="56">
        <f>N8*100/$N$5</f>
        <v>1.759344614156916</v>
      </c>
      <c r="P27" s="75" t="s">
        <v>54</v>
      </c>
      <c r="Q27" s="166">
        <f>Q8*100/$Q$5</f>
        <v>3.4432647572362787</v>
      </c>
      <c r="R27" s="166">
        <f>R8*100/$R$5</f>
        <v>4.5580108388089835</v>
      </c>
      <c r="S27" s="166">
        <f>S8*100/$S$5</f>
        <v>2.1009546785131139</v>
      </c>
      <c r="U27" s="75" t="s">
        <v>54</v>
      </c>
      <c r="V27" s="166">
        <f>V8*100/$V$5</f>
        <v>3.0877812740883543</v>
      </c>
      <c r="W27" s="166">
        <f>W8*100/$W$5</f>
        <v>4.0829976339235348</v>
      </c>
      <c r="X27" s="166">
        <f>X8*100/$X$5</f>
        <v>1.8599586707412046</v>
      </c>
    </row>
    <row r="28" spans="1:24" ht="19.149999999999999" customHeight="1">
      <c r="A28" s="57" t="s">
        <v>53</v>
      </c>
      <c r="B28" s="191">
        <f>B9*100/$B$5</f>
        <v>4.4039991521351585</v>
      </c>
      <c r="C28" s="191">
        <f>C9*100/$C$5</f>
        <v>3.0457297396969789</v>
      </c>
      <c r="D28" s="191">
        <f>D9*100/$D$5</f>
        <v>6.0612594235532118</v>
      </c>
      <c r="F28" s="57" t="s">
        <v>53</v>
      </c>
      <c r="G28" s="56">
        <f>G9*100/$G$5</f>
        <v>4.2742903009576505</v>
      </c>
      <c r="H28" s="56">
        <f>H9*100/$H$5</f>
        <v>2.1408919038800951</v>
      </c>
      <c r="I28" s="56">
        <f>I9*100/$I$5</f>
        <v>6.8878641579124364</v>
      </c>
      <c r="K28" s="57" t="s">
        <v>53</v>
      </c>
      <c r="L28" s="56">
        <f>L9*100/$L$5</f>
        <v>4.8208261475989911</v>
      </c>
      <c r="M28" s="56">
        <f>M9*100/$M$5</f>
        <v>2.2011211531861341</v>
      </c>
      <c r="N28" s="56">
        <f>N9*100/$N$5</f>
        <v>8.1964506485261488</v>
      </c>
      <c r="P28" s="75" t="s">
        <v>53</v>
      </c>
      <c r="Q28" s="166">
        <f>Q9*100/$Q$5</f>
        <v>4.328127489641008</v>
      </c>
      <c r="R28" s="166">
        <f>R9*100/$R$5</f>
        <v>2.8101803566820234</v>
      </c>
      <c r="S28" s="166">
        <f>S9*100/$S$5</f>
        <v>6.1559479854665273</v>
      </c>
      <c r="U28" s="75" t="s">
        <v>53</v>
      </c>
      <c r="V28" s="166">
        <f>V9*100/$V$5</f>
        <v>4.4553904610276529</v>
      </c>
      <c r="W28" s="166">
        <f>W9*100/$W$5</f>
        <v>2.5501899077590884</v>
      </c>
      <c r="X28" s="166">
        <f>X9*100/$X$5</f>
        <v>6.8058826731935023</v>
      </c>
    </row>
    <row r="29" spans="1:24" ht="19.149999999999999" customHeight="1">
      <c r="A29" s="57" t="s">
        <v>52</v>
      </c>
      <c r="B29" s="191"/>
      <c r="C29" s="192"/>
      <c r="D29" s="192"/>
      <c r="F29" s="57" t="s">
        <v>52</v>
      </c>
      <c r="G29" s="56"/>
      <c r="H29" s="58"/>
      <c r="I29" s="58"/>
      <c r="K29" s="57" t="s">
        <v>52</v>
      </c>
      <c r="L29" s="56"/>
      <c r="M29" s="58"/>
      <c r="N29" s="58"/>
      <c r="P29" s="75" t="s">
        <v>52</v>
      </c>
      <c r="Q29" s="166"/>
      <c r="R29" s="167"/>
      <c r="S29" s="167"/>
      <c r="U29" s="75" t="s">
        <v>52</v>
      </c>
      <c r="V29" s="166"/>
      <c r="W29" s="167"/>
      <c r="X29" s="167"/>
    </row>
    <row r="30" spans="1:24" ht="19.149999999999999" customHeight="1">
      <c r="A30" s="57" t="s">
        <v>51</v>
      </c>
      <c r="B30" s="191">
        <f>B11*100/$B$5-0.03</f>
        <v>3.1203583580134628</v>
      </c>
      <c r="C30" s="191">
        <f>C11*100/$C$5</f>
        <v>1.9195427026030303</v>
      </c>
      <c r="D30" s="191">
        <f>D11*100/$D$5-0.03</f>
        <v>4.6221089448057731</v>
      </c>
      <c r="F30" s="57" t="s">
        <v>51</v>
      </c>
      <c r="G30" s="56">
        <f>G11*100/$G$5</f>
        <v>2.6167817299194343</v>
      </c>
      <c r="H30" s="56">
        <f>H11*100/$H$5</f>
        <v>2.6975175952033101</v>
      </c>
      <c r="I30" s="56">
        <f>I11*100/$I$5</f>
        <v>2.5178742088893196</v>
      </c>
      <c r="K30" s="57" t="s">
        <v>51</v>
      </c>
      <c r="L30" s="56">
        <f>L11*100/$L$5</f>
        <v>3.2578859855850162</v>
      </c>
      <c r="M30" s="56">
        <f>M11*100/$M$5</f>
        <v>3.7545666018380812</v>
      </c>
      <c r="N30" s="56">
        <f>N11*100/$N$5</f>
        <v>2.6178874892141621</v>
      </c>
      <c r="P30" s="75" t="s">
        <v>51</v>
      </c>
      <c r="Q30" s="166">
        <f>Q11*100/$Q$5</f>
        <v>2.0144871558507971</v>
      </c>
      <c r="R30" s="166">
        <f>R11*100/$R$5</f>
        <v>1.3698922990705011</v>
      </c>
      <c r="S30" s="166">
        <f>S11*100/$S$5</f>
        <v>2.7906694517585797</v>
      </c>
      <c r="U30" s="75" t="s">
        <v>51</v>
      </c>
      <c r="V30" s="166">
        <f>V11*100/$V$5</f>
        <v>2.7558825655049577</v>
      </c>
      <c r="W30" s="166">
        <f>W11*100/$W$5</f>
        <v>2.4355315153250072</v>
      </c>
      <c r="X30" s="166">
        <f>X11*100/$X$5</f>
        <v>3.1511074395032916</v>
      </c>
    </row>
    <row r="31" spans="1:24" ht="19.149999999999999" customHeight="1">
      <c r="A31" s="57" t="s">
        <v>50</v>
      </c>
      <c r="B31" s="191">
        <f>B12*100/$B$5</f>
        <v>4.0106371569166432</v>
      </c>
      <c r="C31" s="191">
        <f>C12*100/$C$5</f>
        <v>2.7964903654076645</v>
      </c>
      <c r="D31" s="191">
        <f>D12*100/$D$5</f>
        <v>5.4920496239953049</v>
      </c>
      <c r="F31" s="57" t="s">
        <v>50</v>
      </c>
      <c r="G31" s="56">
        <f>G12*100/$G$5</f>
        <v>3.8912300026897904</v>
      </c>
      <c r="H31" s="56">
        <f>H12*100/$H$5</f>
        <v>1.8863857017454069</v>
      </c>
      <c r="I31" s="56">
        <f>I12*100/$I$5</f>
        <v>6.3473154011745772</v>
      </c>
      <c r="K31" s="57" t="s">
        <v>50</v>
      </c>
      <c r="L31" s="56">
        <f>L12*100/$L$5</f>
        <v>3.4470912376411094</v>
      </c>
      <c r="M31" s="56">
        <f>M12*100/$M$5</f>
        <v>1.421347671891088</v>
      </c>
      <c r="N31" s="56">
        <f>N12*100/$N$5</f>
        <v>6.0573659165554501</v>
      </c>
      <c r="P31" s="75" t="s">
        <v>50</v>
      </c>
      <c r="Q31" s="166">
        <f>Q12*100/$Q$5</f>
        <v>3.3715213849474064</v>
      </c>
      <c r="R31" s="166">
        <f>R12*100/$R$5</f>
        <v>2.7113819710506988</v>
      </c>
      <c r="S31" s="166">
        <f>S12*100/$S$5</f>
        <v>4.1664215001250353</v>
      </c>
      <c r="U31" s="75" t="s">
        <v>50</v>
      </c>
      <c r="V31" s="166">
        <f>V12*100/$V$5</f>
        <v>3.6795613341819426</v>
      </c>
      <c r="W31" s="166">
        <f>W12*100/$W$5</f>
        <v>2.2039890990106685</v>
      </c>
      <c r="X31" s="166">
        <f>X12*100/$X$5</f>
        <v>5.5000106518708236</v>
      </c>
    </row>
    <row r="32" spans="1:24" ht="19.149999999999999" customHeight="1">
      <c r="A32" s="57" t="s">
        <v>49</v>
      </c>
      <c r="B32" s="191">
        <f>B13*100/$B$5</f>
        <v>20.062306243038261</v>
      </c>
      <c r="C32" s="191">
        <f>C13*100/$C$5</f>
        <v>14.377055226036449</v>
      </c>
      <c r="D32" s="191">
        <f>D13*100/$D$5</f>
        <v>26.999030693457275</v>
      </c>
      <c r="F32" s="57" t="s">
        <v>49</v>
      </c>
      <c r="G32" s="56">
        <f>G13*100/$G$5</f>
        <v>20.971313172714424</v>
      </c>
      <c r="H32" s="56">
        <f>H13*100/$H$5</f>
        <v>14.909937994162332</v>
      </c>
      <c r="I32" s="56">
        <f>I13*100/$I$5</f>
        <v>28.396954687004222</v>
      </c>
      <c r="K32" s="57" t="s">
        <v>49</v>
      </c>
      <c r="L32" s="56">
        <f>L13*100/$L$5</f>
        <v>19.938523323004198</v>
      </c>
      <c r="M32" s="56">
        <f>M13*100/$M$5</f>
        <v>14.489265148915074</v>
      </c>
      <c r="N32" s="56">
        <f>N13*100/$N$5</f>
        <v>26.960172494786434</v>
      </c>
      <c r="P32" s="75" t="s">
        <v>49</v>
      </c>
      <c r="Q32" s="166">
        <f>Q13*100/$Q$5</f>
        <v>18.361798489551745</v>
      </c>
      <c r="R32" s="166">
        <f>R13*100/$R$5</f>
        <v>11.715625567861665</v>
      </c>
      <c r="S32" s="166">
        <f>S13*100/$S$5</f>
        <v>26.364719553993027</v>
      </c>
      <c r="U32" s="75" t="s">
        <v>49</v>
      </c>
      <c r="V32" s="166">
        <f>V13*100/$V$5</f>
        <v>19.825352610586805</v>
      </c>
      <c r="W32" s="166">
        <f>W13*100/$W$5</f>
        <v>13.868331643644172</v>
      </c>
      <c r="X32" s="166">
        <f>X13*100/$X$5</f>
        <v>27.174674111929857</v>
      </c>
    </row>
    <row r="33" spans="1:24" ht="19.149999999999999" customHeight="1">
      <c r="A33" s="57" t="s">
        <v>48</v>
      </c>
      <c r="B33" s="192"/>
      <c r="C33" s="192"/>
      <c r="D33" s="192"/>
      <c r="F33" s="57" t="s">
        <v>48</v>
      </c>
      <c r="G33" s="58"/>
      <c r="H33" s="58"/>
      <c r="I33" s="58"/>
      <c r="K33" s="57" t="s">
        <v>48</v>
      </c>
      <c r="L33" s="58"/>
      <c r="M33" s="58"/>
      <c r="N33" s="58"/>
      <c r="P33" s="75" t="s">
        <v>48</v>
      </c>
      <c r="Q33" s="167"/>
      <c r="R33" s="167"/>
      <c r="S33" s="167"/>
      <c r="U33" s="75" t="s">
        <v>48</v>
      </c>
      <c r="V33" s="167"/>
      <c r="W33" s="167"/>
      <c r="X33" s="167"/>
    </row>
    <row r="34" spans="1:24" ht="19.149999999999999" customHeight="1">
      <c r="A34" s="59" t="s">
        <v>47</v>
      </c>
      <c r="B34" s="191">
        <f>B15*100/$B$5</f>
        <v>25.847041466839954</v>
      </c>
      <c r="C34" s="191">
        <f>C15*100/$C$5</f>
        <v>29.100925043793602</v>
      </c>
      <c r="D34" s="191">
        <f>D15*100/$D$5</f>
        <v>21.87689244447111</v>
      </c>
      <c r="F34" s="59" t="s">
        <v>47</v>
      </c>
      <c r="G34" s="56">
        <f>G15*100/$G$5</f>
        <v>26.202485707820458</v>
      </c>
      <c r="H34" s="56">
        <f>H15*100/$H$5</f>
        <v>29.195319939576102</v>
      </c>
      <c r="I34" s="56">
        <f>I15*100/$I$5</f>
        <v>22.536038167112217</v>
      </c>
      <c r="K34" s="59" t="s">
        <v>47</v>
      </c>
      <c r="L34" s="56">
        <f>L15*100/$L$5</f>
        <v>31.780556261723341</v>
      </c>
      <c r="M34" s="56">
        <f>M15*100/$M$5</f>
        <v>36.1964687488083</v>
      </c>
      <c r="N34" s="56">
        <f>N15*100/$N$5</f>
        <v>26.090426106936548</v>
      </c>
      <c r="P34" s="83" t="s">
        <v>47</v>
      </c>
      <c r="Q34" s="166">
        <f>Q15*100/$Q$5</f>
        <v>33.639549618467079</v>
      </c>
      <c r="R34" s="166">
        <f>R15*100/$R$5</f>
        <v>37.660814605669223</v>
      </c>
      <c r="S34" s="166">
        <f>S15*100/$S$5</f>
        <v>28.797384563333871</v>
      </c>
      <c r="U34" s="83" t="s">
        <v>47</v>
      </c>
      <c r="V34" s="166">
        <f>V15*100/$V$5</f>
        <v>29.379224370097155</v>
      </c>
      <c r="W34" s="166">
        <f>W15*100/$W$5</f>
        <v>33.060296960631646</v>
      </c>
      <c r="X34" s="166">
        <f>X15*100/$X$5</f>
        <v>24.837795678180946</v>
      </c>
    </row>
    <row r="35" spans="1:24" ht="19.149999999999999" customHeight="1">
      <c r="A35" s="57" t="s">
        <v>46</v>
      </c>
      <c r="B35" s="192"/>
      <c r="C35" s="192"/>
      <c r="D35" s="192"/>
      <c r="F35" s="57" t="s">
        <v>46</v>
      </c>
      <c r="G35" s="58"/>
      <c r="H35" s="58"/>
      <c r="I35" s="58"/>
      <c r="K35" s="57" t="s">
        <v>46</v>
      </c>
      <c r="L35" s="58"/>
      <c r="M35" s="58"/>
      <c r="N35" s="58"/>
      <c r="P35" s="75" t="s">
        <v>46</v>
      </c>
      <c r="Q35" s="167"/>
      <c r="R35" s="167"/>
      <c r="S35" s="167"/>
      <c r="U35" s="75" t="s">
        <v>46</v>
      </c>
      <c r="V35" s="167"/>
      <c r="W35" s="167"/>
      <c r="X35" s="167"/>
    </row>
    <row r="36" spans="1:24" ht="19.149999999999999" customHeight="1">
      <c r="A36" s="57" t="s">
        <v>45</v>
      </c>
      <c r="B36" s="191">
        <f>B17*100/$B$5</f>
        <v>11.92483053259255</v>
      </c>
      <c r="C36" s="191">
        <f>C17*100/$C$5</f>
        <v>16.635114785334522</v>
      </c>
      <c r="D36" s="191">
        <f>D17*100/$D$5</f>
        <v>6.1776887007355104</v>
      </c>
      <c r="F36" s="57" t="s">
        <v>45</v>
      </c>
      <c r="G36" s="56">
        <f>G17*100/$G$5</f>
        <v>15.532898697372971</v>
      </c>
      <c r="H36" s="56">
        <f>H17*100/$H$5</f>
        <v>20.944573170920844</v>
      </c>
      <c r="I36" s="56">
        <f>I17*100/$I$5</f>
        <v>8.903189522664098</v>
      </c>
      <c r="K36" s="57" t="s">
        <v>45</v>
      </c>
      <c r="L36" s="56">
        <f>L17*100/$L$5</f>
        <v>13.287482049978356</v>
      </c>
      <c r="M36" s="56">
        <f>M17*100/$M$5</f>
        <v>18.675513861876979</v>
      </c>
      <c r="N36" s="56">
        <f>N17*100/$N$5</f>
        <v>6.3447261920439333</v>
      </c>
      <c r="P36" s="75" t="s">
        <v>45</v>
      </c>
      <c r="Q36" s="166">
        <f>Q17*100/$Q$5</f>
        <v>11.361313804676167</v>
      </c>
      <c r="R36" s="166">
        <f>R17*100/$R$5</f>
        <v>14.881449572357219</v>
      </c>
      <c r="S36" s="166">
        <f>S17*100/$S$5</f>
        <v>7.1225783674850325</v>
      </c>
      <c r="U36" s="75" t="s">
        <v>45</v>
      </c>
      <c r="V36" s="166">
        <f>V17*100/$V$5</f>
        <v>13.013460124574344</v>
      </c>
      <c r="W36" s="166">
        <f>W17*100/$W$5</f>
        <v>17.773969475080985</v>
      </c>
      <c r="X36" s="166">
        <f>X17*100/$X$5</f>
        <v>7.1403040754057772</v>
      </c>
    </row>
    <row r="37" spans="1:24" ht="19.149999999999999" customHeight="1">
      <c r="A37" s="57" t="s">
        <v>44</v>
      </c>
      <c r="B37" s="192"/>
      <c r="C37" s="192"/>
      <c r="D37" s="191"/>
      <c r="F37" s="57" t="s">
        <v>44</v>
      </c>
      <c r="G37" s="58"/>
      <c r="H37" s="58"/>
      <c r="I37" s="56"/>
      <c r="K37" s="57" t="s">
        <v>44</v>
      </c>
      <c r="L37" s="58"/>
      <c r="M37" s="58"/>
      <c r="N37" s="56"/>
      <c r="P37" s="75" t="s">
        <v>44</v>
      </c>
      <c r="Q37" s="167"/>
      <c r="R37" s="167"/>
      <c r="S37" s="166"/>
      <c r="U37" s="75" t="s">
        <v>44</v>
      </c>
      <c r="V37" s="167"/>
      <c r="W37" s="167"/>
      <c r="X37" s="166"/>
    </row>
    <row r="38" spans="1:24" ht="19.149999999999999" customHeight="1">
      <c r="A38" s="57" t="s">
        <v>43</v>
      </c>
      <c r="B38" s="191">
        <f>B19*100/$B$5</f>
        <v>12.760196968123154</v>
      </c>
      <c r="C38" s="191">
        <f>C19*100/$C$5</f>
        <v>12.474261655244476</v>
      </c>
      <c r="D38" s="191">
        <f>D19*100/$D$5</f>
        <v>13.109074171636628</v>
      </c>
      <c r="F38" s="57" t="s">
        <v>43</v>
      </c>
      <c r="G38" s="56">
        <f>G19*100/$G$5</f>
        <v>10.896981030573951</v>
      </c>
      <c r="H38" s="56">
        <f>H19*100/$H$5</f>
        <v>11.658586366160137</v>
      </c>
      <c r="I38" s="56">
        <f>I19*100/$I$5</f>
        <v>9.963957082898709</v>
      </c>
      <c r="K38" s="57" t="s">
        <v>43</v>
      </c>
      <c r="L38" s="56">
        <f>L19*100/$L$5</f>
        <v>11.964677105735074</v>
      </c>
      <c r="M38" s="56">
        <f>M19*100/$M$5</f>
        <v>11.175990542653397</v>
      </c>
      <c r="N38" s="56">
        <f>N19*100/$N$5</f>
        <v>12.980940269552587</v>
      </c>
      <c r="P38" s="75" t="s">
        <v>43</v>
      </c>
      <c r="Q38" s="166">
        <f>Q19*100/$Q$5</f>
        <v>11.934676825305722</v>
      </c>
      <c r="R38" s="166">
        <f>R19*100/$R$5</f>
        <v>11.74616602709855</v>
      </c>
      <c r="S38" s="166">
        <f>S19*100/$S$5</f>
        <v>12.161670172548211</v>
      </c>
      <c r="U38" s="75" t="s">
        <v>43</v>
      </c>
      <c r="V38" s="166">
        <f>V19*100/$V$5</f>
        <v>11.891701832882006</v>
      </c>
      <c r="W38" s="166">
        <f>W19*100/$W$5</f>
        <v>11.762884295560786</v>
      </c>
      <c r="X38" s="166">
        <f>X19*100/$X$5</f>
        <v>12.050627158483268</v>
      </c>
    </row>
    <row r="39" spans="1:24" ht="19.149999999999999" customHeight="1">
      <c r="A39" s="57" t="s">
        <v>42</v>
      </c>
      <c r="B39" s="192"/>
      <c r="C39" s="192"/>
      <c r="D39" s="192"/>
      <c r="F39" s="57" t="s">
        <v>42</v>
      </c>
      <c r="G39" s="58"/>
      <c r="H39" s="58"/>
      <c r="I39" s="58"/>
      <c r="K39" s="57" t="s">
        <v>42</v>
      </c>
      <c r="L39" s="58"/>
      <c r="M39" s="58"/>
      <c r="N39" s="58"/>
      <c r="P39" s="75" t="s">
        <v>42</v>
      </c>
      <c r="Q39" s="167"/>
      <c r="R39" s="167"/>
      <c r="S39" s="167"/>
      <c r="U39" s="75" t="s">
        <v>42</v>
      </c>
      <c r="V39" s="167"/>
      <c r="W39" s="167"/>
      <c r="X39" s="167"/>
    </row>
    <row r="40" spans="1:24" ht="19.149999999999999" customHeight="1">
      <c r="A40" s="57" t="s">
        <v>41</v>
      </c>
      <c r="B40" s="191">
        <f>B21*100/$B$5</f>
        <v>14.558785154933789</v>
      </c>
      <c r="C40" s="191">
        <f>C21*100/$C$5</f>
        <v>15.488029748916684</v>
      </c>
      <c r="D40" s="191">
        <f>D21*100/$D$5</f>
        <v>13.424989360126441</v>
      </c>
      <c r="F40" s="57" t="s">
        <v>41</v>
      </c>
      <c r="G40" s="56">
        <f>G21*100/$G$5</f>
        <v>12.620837762948351</v>
      </c>
      <c r="H40" s="56">
        <f>H21*100/$H$5</f>
        <v>12.237700417818226</v>
      </c>
      <c r="I40" s="56">
        <f>I21*100/$I$5</f>
        <v>13.090209892517247</v>
      </c>
      <c r="K40" s="57" t="s">
        <v>41</v>
      </c>
      <c r="L40" s="56">
        <f>L21*100/$L$5</f>
        <v>8.8833712373662763</v>
      </c>
      <c r="M40" s="56">
        <f>M21*100/$M$5</f>
        <v>8.7985356366548455</v>
      </c>
      <c r="N40" s="56">
        <f>N21*100/$N$5</f>
        <v>8.9926862682278212</v>
      </c>
      <c r="P40" s="75" t="s">
        <v>41</v>
      </c>
      <c r="Q40" s="166">
        <f>Q21*100/$Q$5</f>
        <v>11.545260474323797</v>
      </c>
      <c r="R40" s="166">
        <f>R21*100/$R$5</f>
        <v>12.546478761401135</v>
      </c>
      <c r="S40" s="166">
        <f>S21*100/$S$5</f>
        <v>10.3396537267766</v>
      </c>
      <c r="U40" s="75" t="s">
        <v>41</v>
      </c>
      <c r="V40" s="166">
        <f>V21*100/$V$5</f>
        <v>11.911645427056781</v>
      </c>
      <c r="W40" s="166">
        <f>W21*100/$W$5</f>
        <v>12.261809469064106</v>
      </c>
      <c r="X40" s="166">
        <f>X21*100/$X$5</f>
        <v>11.479639540691331</v>
      </c>
    </row>
    <row r="41" spans="1:24" ht="19.149999999999999" customHeight="1">
      <c r="A41" s="53" t="s">
        <v>40</v>
      </c>
      <c r="B41" s="55" t="s">
        <v>8</v>
      </c>
      <c r="C41" s="55" t="s">
        <v>8</v>
      </c>
      <c r="D41" s="55" t="s">
        <v>8</v>
      </c>
      <c r="F41" s="53" t="s">
        <v>40</v>
      </c>
      <c r="G41" s="52" t="s">
        <v>8</v>
      </c>
      <c r="H41" s="54" t="s">
        <v>8</v>
      </c>
      <c r="I41" s="54" t="s">
        <v>8</v>
      </c>
      <c r="K41" s="53" t="s">
        <v>40</v>
      </c>
      <c r="L41" s="52" t="s">
        <v>8</v>
      </c>
      <c r="M41" s="52" t="s">
        <v>8</v>
      </c>
      <c r="N41" s="52" t="s">
        <v>8</v>
      </c>
      <c r="P41" s="71" t="s">
        <v>40</v>
      </c>
      <c r="Q41" s="52" t="s">
        <v>8</v>
      </c>
      <c r="R41" s="52" t="s">
        <v>8</v>
      </c>
      <c r="S41" s="52" t="s">
        <v>8</v>
      </c>
      <c r="U41" s="71" t="s">
        <v>40</v>
      </c>
      <c r="V41" s="52" t="s">
        <v>8</v>
      </c>
      <c r="W41" s="52" t="s">
        <v>8</v>
      </c>
      <c r="X41" s="52" t="s">
        <v>8</v>
      </c>
    </row>
    <row r="42" spans="1:24" ht="9" customHeight="1">
      <c r="A42" s="51"/>
      <c r="B42" s="51"/>
      <c r="C42" s="51"/>
      <c r="D42" s="51"/>
      <c r="F42" s="51"/>
      <c r="G42" s="51"/>
      <c r="H42" s="51"/>
      <c r="I42" s="51"/>
      <c r="K42" s="51"/>
      <c r="L42" s="51"/>
      <c r="M42" s="51"/>
      <c r="N42" s="51"/>
      <c r="P42" s="51"/>
      <c r="Q42" s="51"/>
      <c r="R42" s="51"/>
      <c r="S42" s="51"/>
      <c r="U42" s="51"/>
      <c r="V42" s="51"/>
      <c r="W42" s="51"/>
      <c r="X42" s="51"/>
    </row>
    <row r="43" spans="1:24" ht="6" customHeight="1"/>
    <row r="44" spans="1:24" ht="12.75" customHeight="1"/>
    <row r="45" spans="1:24" ht="12.75" customHeight="1"/>
    <row r="46" spans="1:24" ht="12.75" customHeight="1"/>
    <row r="47" spans="1:24" ht="12.75" customHeight="1"/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10">
    <mergeCell ref="Q4:S4"/>
    <mergeCell ref="Q23:S23"/>
    <mergeCell ref="V4:X4"/>
    <mergeCell ref="V23:X23"/>
    <mergeCell ref="B4:D4"/>
    <mergeCell ref="B23:D23"/>
    <mergeCell ref="G4:I4"/>
    <mergeCell ref="G23:I23"/>
    <mergeCell ref="L4:N4"/>
    <mergeCell ref="L23:N23"/>
  </mergeCells>
  <pageMargins left="0.31496062992125984" right="0" top="0.35433070866141736" bottom="0.15748031496062992" header="0.31496062992125984" footer="0.31496062992125984"/>
  <pageSetup paperSize="5" scale="50" orientation="landscape" horizontalDpi="4294967293" verticalDpi="0" r:id="rId1"/>
  <headerFooter>
    <oddHeader>&amp;C&amp;"TH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30</vt:i4>
      </vt:variant>
      <vt:variant>
        <vt:lpstr>ช่วงที่มีชื่อ</vt:lpstr>
      </vt:variant>
      <vt:variant>
        <vt:i4>4</vt:i4>
      </vt:variant>
    </vt:vector>
  </HeadingPairs>
  <TitlesOfParts>
    <vt:vector size="34" baseType="lpstr">
      <vt:lpstr>ตาราง 1</vt:lpstr>
      <vt:lpstr>ตาราง 2 2562</vt:lpstr>
      <vt:lpstr>ตาราง 3</vt:lpstr>
      <vt:lpstr>ตาราง 4</vt:lpstr>
      <vt:lpstr>ตาราง 5</vt:lpstr>
      <vt:lpstr>ตาราง 6</vt:lpstr>
      <vt:lpstr>ตารางที่1ไตรมาส 1234พ.ศ.2562</vt:lpstr>
      <vt:lpstr>ตารางที่2ไตรมาส 1234 พ.ศ.2562</vt:lpstr>
      <vt:lpstr>ตารางที่3ไตรมาส 1234พ.ศ. 2562</vt:lpstr>
      <vt:lpstr>ตารางที่4ไตรมาส 1234 พ.ศ. 2562</vt:lpstr>
      <vt:lpstr>ตารางที่5ไตรมาส1234 พ.ศ.2562</vt:lpstr>
      <vt:lpstr>ตารางที่6ไตรมาส 1234 พ.ศ. 2562</vt:lpstr>
      <vt:lpstr>ตารางที่7ไตรมาส 1234 พ.ศ. 2562 </vt:lpstr>
      <vt:lpstr>มกราคม</vt:lpstr>
      <vt:lpstr>กุมภาพันธ์ 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ตุลาคม</vt:lpstr>
      <vt:lpstr>พฤศจิกายน</vt:lpstr>
      <vt:lpstr>ธันวาคม</vt:lpstr>
      <vt:lpstr>1 กุมภาพันธ์ 2561</vt:lpstr>
      <vt:lpstr> 1 พฤษภาคม 2561  </vt:lpstr>
      <vt:lpstr>1 สิงหาคม 2561</vt:lpstr>
      <vt:lpstr>1 พฤศจิกายน 2561</vt:lpstr>
      <vt:lpstr>Sheet1</vt:lpstr>
      <vt:lpstr>' 1 พฤษภาคม 2561  '!Print_Titles</vt:lpstr>
      <vt:lpstr>'1 กุมภาพันธ์ 2561'!Print_Titles</vt:lpstr>
      <vt:lpstr>'1 พฤศจิกายน 2561'!Print_Titles</vt:lpstr>
      <vt:lpstr>'1 สิงหาคม 2561'!Print_Titles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3</cp:lastModifiedBy>
  <cp:lastPrinted>2020-01-27T09:28:18Z</cp:lastPrinted>
  <dcterms:created xsi:type="dcterms:W3CDTF">2004-08-16T17:13:42Z</dcterms:created>
  <dcterms:modified xsi:type="dcterms:W3CDTF">2020-01-30T01:59:16Z</dcterms:modified>
</cp:coreProperties>
</file>