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2.4" sheetId="1" r:id="rId1"/>
  </sheets>
  <definedNames>
    <definedName name="_xlnm.Print_Area" localSheetId="0">'T-2.4'!$A$1:$AA$41</definedName>
  </definedNames>
  <calcPr calcId="124519"/>
</workbook>
</file>

<file path=xl/calcChain.xml><?xml version="1.0" encoding="utf-8"?>
<calcChain xmlns="http://schemas.openxmlformats.org/spreadsheetml/2006/main">
  <c r="Q35" i="1"/>
  <c r="P35"/>
  <c r="O35"/>
  <c r="N35"/>
  <c r="M35"/>
  <c r="L35"/>
  <c r="K35"/>
  <c r="J35"/>
  <c r="I35"/>
  <c r="H35"/>
  <c r="F35"/>
  <c r="Q33"/>
  <c r="P33"/>
  <c r="O33"/>
  <c r="N33"/>
  <c r="M33"/>
  <c r="L33"/>
  <c r="K33"/>
  <c r="J33"/>
  <c r="I33"/>
  <c r="H33"/>
  <c r="G33"/>
  <c r="F33"/>
  <c r="Q32"/>
  <c r="P32"/>
  <c r="O32"/>
  <c r="N32"/>
  <c r="M32"/>
  <c r="L32"/>
  <c r="K32"/>
  <c r="J32"/>
  <c r="I32"/>
  <c r="H32"/>
  <c r="G32"/>
  <c r="F32"/>
  <c r="Q31"/>
  <c r="P31"/>
  <c r="O31"/>
  <c r="M31"/>
  <c r="L31"/>
  <c r="K31"/>
  <c r="J31"/>
  <c r="I31"/>
  <c r="H31"/>
  <c r="G31"/>
  <c r="F31"/>
  <c r="Q30"/>
  <c r="P30"/>
  <c r="O30"/>
  <c r="N30"/>
  <c r="M30"/>
  <c r="L30"/>
  <c r="K30"/>
  <c r="J30"/>
  <c r="I30"/>
  <c r="H30"/>
  <c r="G30"/>
  <c r="F30"/>
  <c r="Q29"/>
  <c r="P29"/>
  <c r="O29"/>
  <c r="N29"/>
  <c r="M29"/>
  <c r="L29"/>
  <c r="K29"/>
  <c r="J29"/>
  <c r="I29"/>
  <c r="H29"/>
  <c r="G29"/>
  <c r="F29"/>
  <c r="Q27"/>
  <c r="P27"/>
  <c r="O27"/>
  <c r="N27"/>
  <c r="M27"/>
  <c r="L27"/>
  <c r="J27"/>
  <c r="I27"/>
  <c r="H27"/>
  <c r="G27"/>
  <c r="F27"/>
  <c r="P26"/>
  <c r="O26"/>
  <c r="N26"/>
  <c r="M26"/>
  <c r="L26"/>
  <c r="K26"/>
  <c r="J26"/>
  <c r="I26"/>
  <c r="H26"/>
  <c r="G26"/>
  <c r="F26"/>
  <c r="N25"/>
  <c r="L25"/>
  <c r="H25"/>
  <c r="G25"/>
  <c r="F25"/>
  <c r="Q24"/>
  <c r="P24"/>
  <c r="O24"/>
  <c r="N24"/>
  <c r="M24"/>
  <c r="L24"/>
  <c r="K24"/>
  <c r="J24"/>
  <c r="I24"/>
  <c r="H24"/>
  <c r="G24"/>
  <c r="F24"/>
  <c r="P23"/>
  <c r="O23"/>
  <c r="M23"/>
  <c r="L23"/>
  <c r="K23"/>
  <c r="J23"/>
  <c r="I23"/>
  <c r="G23"/>
  <c r="F23"/>
  <c r="Q22"/>
  <c r="P22"/>
  <c r="O22"/>
  <c r="N22"/>
  <c r="M22"/>
  <c r="L22"/>
  <c r="K22"/>
  <c r="J22"/>
  <c r="I22"/>
  <c r="H22"/>
  <c r="G22"/>
  <c r="F22"/>
  <c r="Q21"/>
  <c r="P21"/>
  <c r="O21"/>
  <c r="N21"/>
  <c r="M21"/>
  <c r="L21"/>
  <c r="K21"/>
  <c r="J21"/>
  <c r="I21"/>
  <c r="G21"/>
  <c r="F21"/>
  <c r="Q20"/>
  <c r="P20"/>
  <c r="O20"/>
  <c r="N20"/>
  <c r="M20"/>
  <c r="L20"/>
  <c r="K20"/>
  <c r="J20"/>
  <c r="I20"/>
  <c r="H20"/>
  <c r="G20"/>
  <c r="F20"/>
  <c r="Q18"/>
  <c r="P18"/>
  <c r="O18"/>
  <c r="N18"/>
  <c r="M18"/>
  <c r="L18"/>
  <c r="K18"/>
  <c r="J18"/>
  <c r="I18"/>
  <c r="H18"/>
  <c r="G18"/>
  <c r="F18"/>
  <c r="Q17"/>
  <c r="P17"/>
  <c r="O17"/>
  <c r="N17"/>
  <c r="M17"/>
  <c r="L17"/>
  <c r="K17"/>
  <c r="J17"/>
  <c r="I17"/>
  <c r="H17"/>
  <c r="G17"/>
  <c r="F17"/>
  <c r="P15"/>
  <c r="O15"/>
  <c r="N15"/>
  <c r="M15"/>
  <c r="L15"/>
  <c r="K15"/>
  <c r="J15"/>
  <c r="I15"/>
  <c r="G15"/>
  <c r="F15"/>
  <c r="Q14"/>
  <c r="P14"/>
  <c r="O14"/>
  <c r="N14"/>
  <c r="M14"/>
  <c r="L14"/>
  <c r="K14"/>
  <c r="J14"/>
  <c r="I14"/>
  <c r="H14"/>
  <c r="G14"/>
  <c r="F14"/>
  <c r="N13"/>
  <c r="M13"/>
  <c r="L13"/>
  <c r="J13"/>
  <c r="I13"/>
  <c r="Q11"/>
  <c r="P11"/>
  <c r="O11"/>
  <c r="N11"/>
  <c r="M11"/>
  <c r="L11"/>
  <c r="K11"/>
  <c r="J11"/>
  <c r="I11"/>
  <c r="H11"/>
  <c r="G11"/>
  <c r="F11"/>
  <c r="Q9"/>
  <c r="P9"/>
  <c r="O9"/>
  <c r="N9"/>
  <c r="M9"/>
  <c r="L9"/>
  <c r="K9"/>
  <c r="J9"/>
  <c r="I9"/>
  <c r="H9"/>
  <c r="G9"/>
  <c r="F9"/>
</calcChain>
</file>

<file path=xl/sharedStrings.xml><?xml version="1.0" encoding="utf-8"?>
<sst xmlns="http://schemas.openxmlformats.org/spreadsheetml/2006/main" count="169" uniqueCount="85">
  <si>
    <t>ตาราง</t>
  </si>
  <si>
    <t>ประชากรอายุ 15 ปีขึ้นไปที่มีงานทำ จำแนกตามอุตสาหกรรม และเพศ เป็นรายไตรมาส พ.ศ. 2558 - 2559</t>
  </si>
  <si>
    <t>Table</t>
  </si>
  <si>
    <t>Employed Persons Aged 15 Years and Over by Industry, Sex and Quarterly: 2015 - 2016</t>
  </si>
  <si>
    <t xml:space="preserve">                 (หน่วยเป็นพัน   In thousands)</t>
  </si>
  <si>
    <t>อุตสาหกรรม</t>
  </si>
  <si>
    <t>2558 (2015)</t>
  </si>
  <si>
    <t>2559 (2016)</t>
  </si>
  <si>
    <t>Industries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</si>
  <si>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</si>
  <si>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</si>
  <si>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</si>
  <si>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</si>
  <si>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</si>
  <si>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</si>
  <si>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</si>
  <si>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</si>
  <si>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</si>
  <si>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</si>
  <si>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</si>
  <si>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</si>
  <si>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</si>
  <si>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</si>
  <si>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</si>
  <si>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ภาคเกษตรกรรม</t>
  </si>
  <si>
    <t>Agriculture</t>
  </si>
  <si>
    <t xml:space="preserve">เกษตรกรรม การป่าไม้ และการประมง </t>
  </si>
  <si>
    <t xml:space="preserve">Agriculture,  forestry and fishing </t>
  </si>
  <si>
    <t>นอกภาคเกษตรกรรม</t>
  </si>
  <si>
    <t>Non - Agriculture</t>
  </si>
  <si>
    <t>การทำเหมืองแร่ และเหมืองหิน</t>
  </si>
  <si>
    <t>-</t>
  </si>
  <si>
    <t>Mining and quarrying</t>
  </si>
  <si>
    <t>การผลิต</t>
  </si>
  <si>
    <t>Manufacturing</t>
  </si>
  <si>
    <t>ไฟฟ้า  ก๊าซ ไอน้ำ และระบบปรับอากาศ</t>
  </si>
  <si>
    <t>Electricity, gas , stearm and air conditioning  supply</t>
  </si>
  <si>
    <t xml:space="preserve">การจัดหาน้ำ การจัดการ และการบำบัดน้ำเสีย ของเสีย </t>
  </si>
  <si>
    <t>Water supply; sewerage , waste management</t>
  </si>
  <si>
    <t>และสิ่งปฏิกูล</t>
  </si>
  <si>
    <t>and remediation activities</t>
  </si>
  <si>
    <t>การก่อสร้าง</t>
  </si>
  <si>
    <t>Construction</t>
  </si>
  <si>
    <t>Wholesale and retail trade, repair of motor vehicles</t>
  </si>
  <si>
    <t xml:space="preserve">การขายส่ง และการขายปลีก การซ่อมแซมยานยนต์ </t>
  </si>
  <si>
    <t>and motorcycles</t>
  </si>
  <si>
    <t>การขนส่ง และสถานที่เก็บสินค้า</t>
  </si>
  <si>
    <t xml:space="preserve">Transportation and storage </t>
  </si>
  <si>
    <t>ที่พักแรมและบริการด้านอาหาร</t>
  </si>
  <si>
    <t>Accommodation and food service activities</t>
  </si>
  <si>
    <t>ข้อมูลข่าวสารและการสื่อสาร</t>
  </si>
  <si>
    <t>Information and communication</t>
  </si>
  <si>
    <t>กิจการทางการเงินและการประกันภัย</t>
  </si>
  <si>
    <t>Financial and insurance activities</t>
  </si>
  <si>
    <t xml:space="preserve">กิจการอสังหาริมทรัพย์  </t>
  </si>
  <si>
    <t>Real estate activities</t>
  </si>
  <si>
    <t>กิจกรรมทางวิชาชีพ วิทยาศาสตร์ และเทคนิค</t>
  </si>
  <si>
    <t>Professional , scientific and technical activities</t>
  </si>
  <si>
    <t>กิจกรรมการบริหารและการบริการสนับสนุน</t>
  </si>
  <si>
    <t>Administrative and support service activities</t>
  </si>
  <si>
    <t xml:space="preserve">การบริหารราชการ  การป้องกันประเทศ </t>
  </si>
  <si>
    <t xml:space="preserve">Public administration and defence , </t>
  </si>
  <si>
    <t>และการประกันสังคม</t>
  </si>
  <si>
    <t>compulsory social security</t>
  </si>
  <si>
    <t>การศึกษา</t>
  </si>
  <si>
    <t>Education</t>
  </si>
  <si>
    <t>กิจกรรมด้านสุขภาพ  และงานสังคมสงเคราะห์</t>
  </si>
  <si>
    <t>Human health and social work activities</t>
  </si>
  <si>
    <t>ศิลปะ ความบันเทิง และนันทนาการ</t>
  </si>
  <si>
    <t>Arts , entertainment and recreation</t>
  </si>
  <si>
    <t>กิจกรรมบริการด้านอื่นๆ</t>
  </si>
  <si>
    <t>Other service activities</t>
  </si>
  <si>
    <t>กิจกรรมการจ้างงานในครัวเรือนส่วนบุคคล  การผลิตสินค้า</t>
  </si>
  <si>
    <t xml:space="preserve">Activities of households as employers; undifferentiated goods </t>
  </si>
  <si>
    <t>และบริการที่ทำขี้นเองเพื่อใช้ในครัวเรือน</t>
  </si>
  <si>
    <t>and services producing activities of households for own use</t>
  </si>
  <si>
    <t>กิจกรรมขององค์การระหว่างประเทศ</t>
  </si>
  <si>
    <t>Activities of extraterritorial organizations and bodies</t>
  </si>
  <si>
    <t>ไม่ทราบ</t>
  </si>
  <si>
    <t>Unknown</t>
  </si>
  <si>
    <t>ที่มา:</t>
  </si>
  <si>
    <t xml:space="preserve"> การสำรวจภาวะการทำงานของประชากร พ.ศ. 2558 - 2559 ระดับจังหวัด สำนักงานสถิติแห่งชาติ</t>
  </si>
  <si>
    <t>Source:</t>
  </si>
  <si>
    <t>The  Labour Force Survey: 2015 -2016 ,  Provincial level,  National Statistical Office</t>
  </si>
  <si>
    <t xml:space="preserve"> 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</si>
</sst>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3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0.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0"/>
      <name val="TH SarabunPSK"/>
      <family val="2"/>
    </font>
    <font>
      <sz val="14"/>
      <name val="Cordia New"/>
      <family val="2"/>
    </font>
    <font>
      <b/>
      <sz val="11"/>
      <name val="TH SarabunPSK"/>
      <family val="2"/>
    </font>
    <font>
      <sz val="10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4">
    <xf numFmtId="0" fontId="0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7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3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0" xfId="0" applyFont="1"/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10" xfId="0" applyFont="1" applyBorder="1"/>
    <xf numFmtId="0" fontId="5" fillId="0" borderId="9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7" fillId="0" borderId="0" xfId="0" applyFont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4" fontId="7" fillId="0" borderId="7" xfId="0" applyNumberFormat="1" applyFont="1" applyBorder="1" applyAlignment="1">
      <alignment horizontal="right" vertical="center"/>
    </xf>
    <xf numFmtId="4" fontId="7" fillId="0" borderId="7" xfId="0" applyNumberFormat="1" applyFont="1" applyBorder="1" applyAlignment="1">
      <alignment horizontal="right"/>
    </xf>
    <xf numFmtId="0" fontId="7" fillId="0" borderId="8" xfId="0" applyFont="1" applyBorder="1"/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8" fillId="0" borderId="0" xfId="0" applyFont="1" applyAlignment="1">
      <alignment vertical="center"/>
    </xf>
    <xf numFmtId="0" fontId="8" fillId="0" borderId="0" xfId="0" applyFont="1" applyBorder="1"/>
    <xf numFmtId="0" fontId="8" fillId="0" borderId="0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4" fontId="10" fillId="0" borderId="7" xfId="1" applyNumberFormat="1" applyFont="1" applyBorder="1" applyAlignment="1">
      <alignment horizontal="right"/>
    </xf>
    <xf numFmtId="0" fontId="8" fillId="0" borderId="0" xfId="0" applyFont="1" applyBorder="1" applyAlignment="1"/>
    <xf numFmtId="0" fontId="8" fillId="0" borderId="0" xfId="0" applyFont="1"/>
    <xf numFmtId="0" fontId="8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4" fontId="6" fillId="0" borderId="7" xfId="0" applyNumberFormat="1" applyFont="1" applyBorder="1" applyAlignment="1">
      <alignment horizontal="right" vertical="center"/>
    </xf>
    <xf numFmtId="4" fontId="4" fillId="0" borderId="7" xfId="1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10" xfId="0" applyFont="1" applyBorder="1"/>
    <xf numFmtId="0" fontId="11" fillId="0" borderId="11" xfId="0" applyFont="1" applyBorder="1"/>
    <xf numFmtId="4" fontId="12" fillId="0" borderId="11" xfId="0" applyNumberFormat="1" applyFont="1" applyBorder="1" applyAlignment="1">
      <alignment horizontal="right"/>
    </xf>
    <xf numFmtId="4" fontId="12" fillId="0" borderId="11" xfId="0" applyNumberFormat="1" applyFont="1" applyBorder="1"/>
    <xf numFmtId="4" fontId="11" fillId="0" borderId="11" xfId="0" applyNumberFormat="1" applyFont="1" applyBorder="1"/>
    <xf numFmtId="0" fontId="11" fillId="0" borderId="9" xfId="0" applyFont="1" applyBorder="1"/>
    <xf numFmtId="0" fontId="11" fillId="0" borderId="0" xfId="0" applyFont="1" applyBorder="1"/>
    <xf numFmtId="0" fontId="11" fillId="0" borderId="0" xfId="0" applyFont="1"/>
    <xf numFmtId="4" fontId="11" fillId="0" borderId="0" xfId="0" applyNumberFormat="1" applyFont="1" applyBorder="1"/>
    <xf numFmtId="0" fontId="6" fillId="0" borderId="0" xfId="0" applyFont="1" applyAlignme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4" fontId="6" fillId="0" borderId="0" xfId="0" applyNumberFormat="1" applyFont="1" applyAlignment="1"/>
    <xf numFmtId="0" fontId="6" fillId="0" borderId="0" xfId="0" applyFont="1" applyAlignment="1">
      <alignment horizontal="left"/>
    </xf>
  </cellXfs>
  <cellStyles count="54">
    <cellStyle name="เครื่องหมายจุลภาค 2 2 8" xfId="2"/>
    <cellStyle name="เครื่องหมายจุลภาค 2 2 8 10" xfId="3"/>
    <cellStyle name="เครื่องหมายจุลภาค 2 2 8 11" xfId="4"/>
    <cellStyle name="เครื่องหมายจุลภาค 2 2 8 2" xfId="5"/>
    <cellStyle name="เครื่องหมายจุลภาค 2 2 8 3" xfId="6"/>
    <cellStyle name="เครื่องหมายจุลภาค 2 2 8 4" xfId="7"/>
    <cellStyle name="เครื่องหมายจุลภาค 2 2 8 5" xfId="8"/>
    <cellStyle name="เครื่องหมายจุลภาค 2 2 8 6" xfId="9"/>
    <cellStyle name="เครื่องหมายจุลภาค 2 2 8 7" xfId="10"/>
    <cellStyle name="เครื่องหมายจุลภาค 2 2 8 8" xfId="11"/>
    <cellStyle name="เครื่องหมายจุลภาค 2 2 8 9" xfId="12"/>
    <cellStyle name="เครื่องหมายจุลภาค 2 8" xfId="13"/>
    <cellStyle name="เครื่องหมายจุลภาค 2 8 10" xfId="14"/>
    <cellStyle name="เครื่องหมายจุลภาค 2 8 11" xfId="15"/>
    <cellStyle name="เครื่องหมายจุลภาค 2 8 2" xfId="16"/>
    <cellStyle name="เครื่องหมายจุลภาค 2 8 3" xfId="17"/>
    <cellStyle name="เครื่องหมายจุลภาค 2 8 4" xfId="18"/>
    <cellStyle name="เครื่องหมายจุลภาค 2 8 5" xfId="19"/>
    <cellStyle name="เครื่องหมายจุลภาค 2 8 6" xfId="20"/>
    <cellStyle name="เครื่องหมายจุลภาค 2 8 7" xfId="21"/>
    <cellStyle name="เครื่องหมายจุลภาค 2 8 8" xfId="22"/>
    <cellStyle name="เครื่องหมายจุลภาค 2 8 9" xfId="23"/>
    <cellStyle name="ปกติ" xfId="0" builtinId="0"/>
    <cellStyle name="ปกติ 25 10" xfId="24"/>
    <cellStyle name="ปกติ 25 11" xfId="25"/>
    <cellStyle name="ปกติ 25 2" xfId="26"/>
    <cellStyle name="ปกติ 25 3" xfId="27"/>
    <cellStyle name="ปกติ 25 4" xfId="28"/>
    <cellStyle name="ปกติ 25 5" xfId="29"/>
    <cellStyle name="ปกติ 25 6" xfId="30"/>
    <cellStyle name="ปกติ 25 7" xfId="31"/>
    <cellStyle name="ปกติ 25 8" xfId="32"/>
    <cellStyle name="ปกติ 25 9" xfId="33"/>
    <cellStyle name="ปกติ 27 10" xfId="34"/>
    <cellStyle name="ปกติ 27 11" xfId="35"/>
    <cellStyle name="ปกติ 27 2" xfId="36"/>
    <cellStyle name="ปกติ 27 3" xfId="37"/>
    <cellStyle name="ปกติ 27 4" xfId="38"/>
    <cellStyle name="ปกติ 27 5" xfId="39"/>
    <cellStyle name="ปกติ 27 6" xfId="40"/>
    <cellStyle name="ปกติ 27 7" xfId="41"/>
    <cellStyle name="ปกติ 27 8" xfId="42"/>
    <cellStyle name="ปกติ 27 9" xfId="43"/>
    <cellStyle name="ปกติ 4" xfId="1"/>
    <cellStyle name="ปกติ 9 10" xfId="44"/>
    <cellStyle name="ปกติ 9 11" xfId="45"/>
    <cellStyle name="ปกติ 9 2" xfId="46"/>
    <cellStyle name="ปกติ 9 3" xfId="47"/>
    <cellStyle name="ปกติ 9 4" xfId="48"/>
    <cellStyle name="ปกติ 9 5" xfId="49"/>
    <cellStyle name="ปกติ 9 6" xfId="50"/>
    <cellStyle name="ปกติ 9 7" xfId="51"/>
    <cellStyle name="ปกติ 9 8" xfId="52"/>
    <cellStyle name="ปกติ 9 9" xfId="5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266700</xdr:colOff>
      <xdr:row>0</xdr:row>
      <xdr:rowOff>0</xdr:rowOff>
    </xdr:from>
    <xdr:to>
      <xdr:col>27</xdr:col>
      <xdr:colOff>180975</xdr:colOff>
      <xdr:row>36</xdr:row>
      <xdr:rowOff>152400</xdr:rowOff>
    </xdr:to>
    <xdr:grpSp>
      <xdr:nvGrpSpPr>
        <xdr:cNvPr id="2" name="Group 200"/>
        <xdr:cNvGrpSpPr>
          <a:grpSpLocks/>
        </xdr:cNvGrpSpPr>
      </xdr:nvGrpSpPr>
      <xdr:grpSpPr bwMode="auto">
        <a:xfrm>
          <a:off x="11182350" y="0"/>
          <a:ext cx="590550" cy="7324725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2" y="732"/>
            <a:ext cx="34" cy="38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Z52"/>
  <sheetViews>
    <sheetView tabSelected="1" zoomScaleSheetLayoutView="100" workbookViewId="0">
      <selection activeCell="AB10" sqref="AB10"/>
    </sheetView>
  </sheetViews>
  <sheetFormatPr defaultRowHeight="18.75"/>
  <cols>
    <col min="1" max="1" width="1.42578125" style="8" customWidth="1"/>
    <col min="2" max="2" width="1.28515625" style="8" customWidth="1"/>
    <col min="3" max="3" width="5.7109375" style="8" customWidth="1"/>
    <col min="4" max="4" width="4.140625" style="8" customWidth="1"/>
    <col min="5" max="5" width="21.85546875" style="8" customWidth="1"/>
    <col min="6" max="20" width="6.42578125" style="8" customWidth="1"/>
    <col min="21" max="22" width="0.7109375" style="8" customWidth="1"/>
    <col min="23" max="23" width="9.140625" style="8"/>
    <col min="24" max="24" width="22.28515625" style="8" customWidth="1"/>
    <col min="25" max="25" width="4.140625" style="9" customWidth="1"/>
    <col min="26" max="26" width="1.85546875" style="9" customWidth="1"/>
    <col min="27" max="27" width="4.140625" style="8" customWidth="1"/>
    <col min="28" max="16384" width="9.140625" style="8"/>
  </cols>
  <sheetData>
    <row r="1" spans="1:26" s="1" customFormat="1" ht="20.25" customHeight="1">
      <c r="C1" s="2" t="s">
        <v>0</v>
      </c>
      <c r="D1" s="3">
        <v>2.4</v>
      </c>
      <c r="E1" s="2" t="s">
        <v>1</v>
      </c>
      <c r="Y1" s="4"/>
      <c r="Z1" s="4"/>
    </row>
    <row r="2" spans="1:26" s="5" customFormat="1" ht="16.5" customHeight="1">
      <c r="C2" s="1" t="s">
        <v>2</v>
      </c>
      <c r="D2" s="6">
        <v>2.4</v>
      </c>
      <c r="E2" s="1" t="s">
        <v>3</v>
      </c>
      <c r="Y2" s="7"/>
      <c r="Z2" s="7"/>
    </row>
    <row r="3" spans="1:26" ht="14.25" customHeight="1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X3" s="10" t="s">
        <v>4</v>
      </c>
      <c r="Y3" s="11"/>
    </row>
    <row r="4" spans="1:26" ht="15.75" customHeight="1">
      <c r="A4" s="12"/>
      <c r="B4" s="13" t="s">
        <v>5</v>
      </c>
      <c r="C4" s="13"/>
      <c r="D4" s="13"/>
      <c r="E4" s="14"/>
      <c r="F4" s="15" t="s">
        <v>6</v>
      </c>
      <c r="G4" s="16"/>
      <c r="H4" s="16"/>
      <c r="I4" s="16"/>
      <c r="J4" s="16"/>
      <c r="K4" s="16"/>
      <c r="L4" s="16"/>
      <c r="M4" s="16"/>
      <c r="N4" s="16"/>
      <c r="O4" s="16"/>
      <c r="P4" s="16"/>
      <c r="Q4" s="17"/>
      <c r="R4" s="15" t="s">
        <v>7</v>
      </c>
      <c r="S4" s="16"/>
      <c r="T4" s="17"/>
      <c r="U4" s="18"/>
      <c r="V4" s="13" t="s">
        <v>8</v>
      </c>
      <c r="W4" s="13"/>
      <c r="X4" s="13"/>
      <c r="Y4" s="12"/>
    </row>
    <row r="5" spans="1:26" s="24" customFormat="1" ht="15" customHeight="1">
      <c r="A5" s="19"/>
      <c r="B5" s="20"/>
      <c r="C5" s="20"/>
      <c r="D5" s="20"/>
      <c r="E5" s="21"/>
      <c r="F5" s="22" t="s">
        <v>9</v>
      </c>
      <c r="G5" s="13"/>
      <c r="H5" s="14"/>
      <c r="I5" s="22" t="s">
        <v>10</v>
      </c>
      <c r="J5" s="13"/>
      <c r="K5" s="14"/>
      <c r="L5" s="22" t="s">
        <v>11</v>
      </c>
      <c r="M5" s="13"/>
      <c r="N5" s="14"/>
      <c r="O5" s="22" t="s">
        <v>12</v>
      </c>
      <c r="P5" s="13"/>
      <c r="Q5" s="14"/>
      <c r="R5" s="22" t="s">
        <v>9</v>
      </c>
      <c r="S5" s="13"/>
      <c r="T5" s="14"/>
      <c r="U5" s="23"/>
      <c r="V5" s="20"/>
      <c r="W5" s="20"/>
      <c r="X5" s="20"/>
      <c r="Y5" s="19"/>
      <c r="Z5" s="19"/>
    </row>
    <row r="6" spans="1:26" s="24" customFormat="1" ht="12.75" customHeight="1">
      <c r="A6" s="19"/>
      <c r="B6" s="20"/>
      <c r="C6" s="20"/>
      <c r="D6" s="20"/>
      <c r="E6" s="21"/>
      <c r="F6" s="25" t="s">
        <v>13</v>
      </c>
      <c r="G6" s="26"/>
      <c r="H6" s="27"/>
      <c r="I6" s="25" t="s">
        <v>14</v>
      </c>
      <c r="J6" s="26"/>
      <c r="K6" s="27"/>
      <c r="L6" s="25" t="s">
        <v>15</v>
      </c>
      <c r="M6" s="26"/>
      <c r="N6" s="27"/>
      <c r="O6" s="25" t="s">
        <v>16</v>
      </c>
      <c r="P6" s="26"/>
      <c r="Q6" s="27"/>
      <c r="R6" s="25" t="s">
        <v>13</v>
      </c>
      <c r="S6" s="26"/>
      <c r="T6" s="27"/>
      <c r="U6" s="23"/>
      <c r="V6" s="20"/>
      <c r="W6" s="20"/>
      <c r="X6" s="20"/>
      <c r="Y6" s="19"/>
      <c r="Z6" s="19"/>
    </row>
    <row r="7" spans="1:26" s="24" customFormat="1" ht="15.75">
      <c r="A7" s="19"/>
      <c r="B7" s="20"/>
      <c r="C7" s="20"/>
      <c r="D7" s="20"/>
      <c r="E7" s="21"/>
      <c r="F7" s="28" t="s">
        <v>17</v>
      </c>
      <c r="G7" s="29" t="s">
        <v>18</v>
      </c>
      <c r="H7" s="30" t="s">
        <v>19</v>
      </c>
      <c r="I7" s="31" t="s">
        <v>17</v>
      </c>
      <c r="J7" s="29" t="s">
        <v>18</v>
      </c>
      <c r="K7" s="31" t="s">
        <v>19</v>
      </c>
      <c r="L7" s="28" t="s">
        <v>17</v>
      </c>
      <c r="M7" s="29" t="s">
        <v>18</v>
      </c>
      <c r="N7" s="30" t="s">
        <v>19</v>
      </c>
      <c r="O7" s="28" t="s">
        <v>17</v>
      </c>
      <c r="P7" s="29" t="s">
        <v>18</v>
      </c>
      <c r="Q7" s="30" t="s">
        <v>19</v>
      </c>
      <c r="R7" s="28" t="s">
        <v>17</v>
      </c>
      <c r="S7" s="29" t="s">
        <v>18</v>
      </c>
      <c r="T7" s="30" t="s">
        <v>19</v>
      </c>
      <c r="U7" s="28"/>
      <c r="V7" s="20"/>
      <c r="W7" s="20"/>
      <c r="X7" s="20"/>
      <c r="Y7" s="19"/>
      <c r="Z7" s="19"/>
    </row>
    <row r="8" spans="1:26" s="24" customFormat="1" ht="13.5" customHeight="1">
      <c r="A8" s="32"/>
      <c r="B8" s="26"/>
      <c r="C8" s="26"/>
      <c r="D8" s="26"/>
      <c r="E8" s="27"/>
      <c r="F8" s="33" t="s">
        <v>20</v>
      </c>
      <c r="G8" s="34" t="s">
        <v>21</v>
      </c>
      <c r="H8" s="35" t="s">
        <v>22</v>
      </c>
      <c r="I8" s="36" t="s">
        <v>20</v>
      </c>
      <c r="J8" s="34" t="s">
        <v>21</v>
      </c>
      <c r="K8" s="36" t="s">
        <v>22</v>
      </c>
      <c r="L8" s="33" t="s">
        <v>20</v>
      </c>
      <c r="M8" s="34" t="s">
        <v>21</v>
      </c>
      <c r="N8" s="35" t="s">
        <v>22</v>
      </c>
      <c r="O8" s="33" t="s">
        <v>20</v>
      </c>
      <c r="P8" s="34" t="s">
        <v>21</v>
      </c>
      <c r="Q8" s="35" t="s">
        <v>22</v>
      </c>
      <c r="R8" s="33" t="s">
        <v>20</v>
      </c>
      <c r="S8" s="34" t="s">
        <v>21</v>
      </c>
      <c r="T8" s="35" t="s">
        <v>22</v>
      </c>
      <c r="U8" s="33"/>
      <c r="V8" s="26"/>
      <c r="W8" s="26"/>
      <c r="X8" s="26"/>
      <c r="Y8" s="32"/>
      <c r="Z8" s="19"/>
    </row>
    <row r="9" spans="1:26" s="37" customFormat="1" ht="15.75" customHeight="1">
      <c r="B9" s="38" t="s">
        <v>23</v>
      </c>
      <c r="C9" s="38"/>
      <c r="D9" s="38"/>
      <c r="E9" s="39"/>
      <c r="F9" s="40">
        <f>493606.05/1000</f>
        <v>493.60604999999998</v>
      </c>
      <c r="G9" s="40">
        <f>277070.49/1000</f>
        <v>277.07049000000001</v>
      </c>
      <c r="H9" s="40">
        <f>216535.56/1000</f>
        <v>216.53556</v>
      </c>
      <c r="I9" s="41">
        <f>510526/1000</f>
        <v>510.52600000000001</v>
      </c>
      <c r="J9" s="41">
        <f>283448/1000</f>
        <v>283.44799999999998</v>
      </c>
      <c r="K9" s="41">
        <f>227078/1000</f>
        <v>227.078</v>
      </c>
      <c r="L9" s="41">
        <f>528215/1000</f>
        <v>528.21500000000003</v>
      </c>
      <c r="M9" s="41">
        <f>287268/1000</f>
        <v>287.26799999999997</v>
      </c>
      <c r="N9" s="41">
        <f>240946/1000</f>
        <v>240.946</v>
      </c>
      <c r="O9" s="41">
        <f>532376/1000</f>
        <v>532.37599999999998</v>
      </c>
      <c r="P9" s="41">
        <f>299453/1000</f>
        <v>299.45299999999997</v>
      </c>
      <c r="Q9" s="41">
        <f>232923/1000</f>
        <v>232.923</v>
      </c>
      <c r="R9" s="41">
        <v>512.24</v>
      </c>
      <c r="S9" s="41">
        <v>279.39800000000002</v>
      </c>
      <c r="T9" s="41">
        <v>232.84200000000001</v>
      </c>
      <c r="U9" s="42"/>
      <c r="V9" s="43" t="s">
        <v>20</v>
      </c>
      <c r="W9" s="43"/>
      <c r="X9" s="43"/>
      <c r="Y9" s="44"/>
      <c r="Z9" s="44"/>
    </row>
    <row r="10" spans="1:26" s="51" customFormat="1" ht="15.75" customHeight="1">
      <c r="A10" s="45" t="s">
        <v>24</v>
      </c>
      <c r="B10" s="46"/>
      <c r="C10" s="47"/>
      <c r="D10" s="47"/>
      <c r="E10" s="48"/>
      <c r="F10" s="40"/>
      <c r="G10" s="40"/>
      <c r="H10" s="40"/>
      <c r="I10" s="41"/>
      <c r="J10" s="41"/>
      <c r="K10" s="41"/>
      <c r="L10" s="41"/>
      <c r="M10" s="41"/>
      <c r="N10" s="41"/>
      <c r="O10" s="41"/>
      <c r="P10" s="41"/>
      <c r="Q10" s="41"/>
      <c r="R10" s="49"/>
      <c r="S10" s="49"/>
      <c r="T10" s="49"/>
      <c r="U10" s="50" t="s">
        <v>25</v>
      </c>
      <c r="W10" s="52"/>
      <c r="X10" s="53"/>
      <c r="Y10" s="46"/>
      <c r="Z10" s="46"/>
    </row>
    <row r="11" spans="1:26" s="59" customFormat="1" ht="15.75" customHeight="1">
      <c r="A11" s="54"/>
      <c r="B11" s="55" t="s">
        <v>26</v>
      </c>
      <c r="C11" s="55"/>
      <c r="D11" s="55"/>
      <c r="E11" s="56"/>
      <c r="F11" s="57">
        <f>196740.6/1000</f>
        <v>196.7406</v>
      </c>
      <c r="G11" s="57">
        <f>121135.39/1000</f>
        <v>121.13539</v>
      </c>
      <c r="H11" s="57">
        <f>75605.21/1000</f>
        <v>75.60521</v>
      </c>
      <c r="I11" s="57">
        <f>210967/1000</f>
        <v>210.96700000000001</v>
      </c>
      <c r="J11" s="57">
        <f>122394/1000</f>
        <v>122.39400000000001</v>
      </c>
      <c r="K11" s="57">
        <f>88572/1000</f>
        <v>88.572000000000003</v>
      </c>
      <c r="L11" s="57">
        <f>273097/1000</f>
        <v>273.09699999999998</v>
      </c>
      <c r="M11" s="57">
        <f>149507/1000</f>
        <v>149.50700000000001</v>
      </c>
      <c r="N11" s="57">
        <f>123591/1000</f>
        <v>123.59099999999999</v>
      </c>
      <c r="O11" s="57">
        <f>288912/1000</f>
        <v>288.91199999999998</v>
      </c>
      <c r="P11" s="57">
        <f>165820/1000</f>
        <v>165.82</v>
      </c>
      <c r="Q11" s="57">
        <f>123092/1000</f>
        <v>123.092</v>
      </c>
      <c r="R11" s="58">
        <v>210.685</v>
      </c>
      <c r="S11" s="58">
        <v>115.11799999999999</v>
      </c>
      <c r="T11" s="58">
        <v>95.566999999999993</v>
      </c>
      <c r="U11" s="55"/>
      <c r="V11" s="54" t="s">
        <v>27</v>
      </c>
      <c r="W11" s="54"/>
      <c r="Y11" s="60"/>
      <c r="Z11" s="60"/>
    </row>
    <row r="12" spans="1:26" s="59" customFormat="1" ht="15.75" customHeight="1">
      <c r="A12" s="45" t="s">
        <v>28</v>
      </c>
      <c r="B12" s="47"/>
      <c r="C12" s="47"/>
      <c r="D12" s="47"/>
      <c r="E12" s="56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8"/>
      <c r="S12" s="58"/>
      <c r="T12" s="58"/>
      <c r="U12" s="50" t="s">
        <v>29</v>
      </c>
      <c r="V12" s="54"/>
      <c r="W12" s="54"/>
      <c r="Y12" s="60"/>
      <c r="Z12" s="60"/>
    </row>
    <row r="13" spans="1:26" s="59" customFormat="1" ht="15.75" customHeight="1">
      <c r="A13" s="54"/>
      <c r="B13" s="55" t="s">
        <v>30</v>
      </c>
      <c r="C13" s="55"/>
      <c r="D13" s="55"/>
      <c r="E13" s="56"/>
      <c r="F13" s="57" t="s">
        <v>31</v>
      </c>
      <c r="G13" s="57" t="s">
        <v>31</v>
      </c>
      <c r="H13" s="57" t="s">
        <v>31</v>
      </c>
      <c r="I13" s="57">
        <f>91/1000</f>
        <v>9.0999999999999998E-2</v>
      </c>
      <c r="J13" s="57">
        <f>91/1000</f>
        <v>9.0999999999999998E-2</v>
      </c>
      <c r="K13" s="57" t="s">
        <v>31</v>
      </c>
      <c r="L13" s="57">
        <f>936/1000</f>
        <v>0.93600000000000005</v>
      </c>
      <c r="M13" s="57">
        <f>479/1000</f>
        <v>0.47899999999999998</v>
      </c>
      <c r="N13" s="57">
        <f>457/1000</f>
        <v>0.45700000000000002</v>
      </c>
      <c r="O13" s="57" t="s">
        <v>31</v>
      </c>
      <c r="P13" s="57" t="s">
        <v>31</v>
      </c>
      <c r="Q13" s="57" t="s">
        <v>31</v>
      </c>
      <c r="R13" s="58">
        <v>1.268</v>
      </c>
      <c r="S13" s="58">
        <v>1.268</v>
      </c>
      <c r="T13" s="58" t="s">
        <v>31</v>
      </c>
      <c r="U13" s="55"/>
      <c r="V13" s="54" t="s">
        <v>32</v>
      </c>
      <c r="W13" s="54"/>
      <c r="Y13" s="60"/>
      <c r="Z13" s="60"/>
    </row>
    <row r="14" spans="1:26" s="59" customFormat="1" ht="15.75" customHeight="1">
      <c r="A14" s="54"/>
      <c r="B14" s="55" t="s">
        <v>33</v>
      </c>
      <c r="C14" s="55"/>
      <c r="D14" s="55"/>
      <c r="E14" s="56"/>
      <c r="F14" s="57">
        <f>55212.68/1000</f>
        <v>55.212679999999999</v>
      </c>
      <c r="G14" s="57">
        <f>17875.07/1000</f>
        <v>17.875070000000001</v>
      </c>
      <c r="H14" s="57">
        <f>37337.6/1000</f>
        <v>37.337600000000002</v>
      </c>
      <c r="I14" s="57">
        <f>50778/1000</f>
        <v>50.777999999999999</v>
      </c>
      <c r="J14" s="57">
        <f>17681/1000</f>
        <v>17.681000000000001</v>
      </c>
      <c r="K14" s="57">
        <f>33097/1000</f>
        <v>33.097000000000001</v>
      </c>
      <c r="L14" s="57">
        <f>39083/1000</f>
        <v>39.082999999999998</v>
      </c>
      <c r="M14" s="57">
        <f>17171/1000</f>
        <v>17.170999999999999</v>
      </c>
      <c r="N14" s="57">
        <f>21912/1000</f>
        <v>21.911999999999999</v>
      </c>
      <c r="O14" s="57">
        <f>34179/1000</f>
        <v>34.179000000000002</v>
      </c>
      <c r="P14" s="57">
        <f>11962/1000</f>
        <v>11.962</v>
      </c>
      <c r="Q14" s="57">
        <f>22217/1000</f>
        <v>22.216999999999999</v>
      </c>
      <c r="R14" s="58">
        <v>51.15</v>
      </c>
      <c r="S14" s="58">
        <v>20.919</v>
      </c>
      <c r="T14" s="58">
        <v>30.231999999999999</v>
      </c>
      <c r="U14" s="55"/>
      <c r="V14" s="54" t="s">
        <v>34</v>
      </c>
      <c r="W14" s="54"/>
      <c r="Y14" s="60"/>
      <c r="Z14" s="60"/>
    </row>
    <row r="15" spans="1:26" s="59" customFormat="1" ht="15.75" customHeight="1">
      <c r="A15" s="54"/>
      <c r="B15" s="55" t="s">
        <v>35</v>
      </c>
      <c r="C15" s="55"/>
      <c r="D15" s="55"/>
      <c r="E15" s="56"/>
      <c r="F15" s="57">
        <f>818.44/1000</f>
        <v>0.81844000000000006</v>
      </c>
      <c r="G15" s="57">
        <f>818.44/1000</f>
        <v>0.81844000000000006</v>
      </c>
      <c r="H15" s="57" t="s">
        <v>31</v>
      </c>
      <c r="I15" s="57">
        <f>377/1000</f>
        <v>0.377</v>
      </c>
      <c r="J15" s="57">
        <f>189/1000</f>
        <v>0.189</v>
      </c>
      <c r="K15" s="57">
        <f>188/1000</f>
        <v>0.188</v>
      </c>
      <c r="L15" s="57">
        <f>990/1000</f>
        <v>0.99</v>
      </c>
      <c r="M15" s="57">
        <f>799/1000</f>
        <v>0.79900000000000004</v>
      </c>
      <c r="N15" s="57">
        <f>191/1000</f>
        <v>0.191</v>
      </c>
      <c r="O15" s="57">
        <f>2320/1000</f>
        <v>2.3199999999999998</v>
      </c>
      <c r="P15" s="57">
        <f>2320/1000</f>
        <v>2.3199999999999998</v>
      </c>
      <c r="Q15" s="57" t="s">
        <v>31</v>
      </c>
      <c r="R15" s="58">
        <v>5.6000000000000001E-2</v>
      </c>
      <c r="S15" s="58">
        <v>5.6000000000000001E-2</v>
      </c>
      <c r="T15" s="58" t="s">
        <v>31</v>
      </c>
      <c r="U15" s="55"/>
      <c r="V15" s="54" t="s">
        <v>36</v>
      </c>
      <c r="W15" s="54"/>
      <c r="Y15" s="60"/>
      <c r="Z15" s="60"/>
    </row>
    <row r="16" spans="1:26" s="59" customFormat="1" ht="15.75" customHeight="1">
      <c r="A16" s="54"/>
      <c r="B16" s="55" t="s">
        <v>37</v>
      </c>
      <c r="C16" s="55"/>
      <c r="D16" s="55"/>
      <c r="E16" s="56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8"/>
      <c r="S16" s="58"/>
      <c r="T16" s="58"/>
      <c r="U16" s="55"/>
      <c r="V16" s="54" t="s">
        <v>38</v>
      </c>
      <c r="W16" s="54"/>
      <c r="Y16" s="60"/>
      <c r="Z16" s="60"/>
    </row>
    <row r="17" spans="1:26" s="59" customFormat="1" ht="15.75" customHeight="1">
      <c r="A17" s="54"/>
      <c r="B17" s="55"/>
      <c r="C17" s="55" t="s">
        <v>39</v>
      </c>
      <c r="D17" s="55"/>
      <c r="E17" s="56"/>
      <c r="F17" s="57">
        <f>1316.69/1000</f>
        <v>1.3166900000000001</v>
      </c>
      <c r="G17" s="57">
        <f>879.46/1000</f>
        <v>0.87946000000000002</v>
      </c>
      <c r="H17" s="57">
        <f>437.23/1000</f>
        <v>0.43723000000000001</v>
      </c>
      <c r="I17" s="57">
        <f>1902/1000</f>
        <v>1.9019999999999999</v>
      </c>
      <c r="J17" s="57">
        <f>1243/1000</f>
        <v>1.2430000000000001</v>
      </c>
      <c r="K17" s="57">
        <f>659/1000</f>
        <v>0.65900000000000003</v>
      </c>
      <c r="L17" s="57">
        <f>2065/1000</f>
        <v>2.0649999999999999</v>
      </c>
      <c r="M17" s="57">
        <f>523/1000</f>
        <v>0.52300000000000002</v>
      </c>
      <c r="N17" s="57">
        <f>1542/1000</f>
        <v>1.542</v>
      </c>
      <c r="O17" s="57">
        <f>1205/1000</f>
        <v>1.2050000000000001</v>
      </c>
      <c r="P17" s="57">
        <f>725/1000</f>
        <v>0.72499999999999998</v>
      </c>
      <c r="Q17" s="57">
        <f>480/1000</f>
        <v>0.48</v>
      </c>
      <c r="R17" s="58">
        <v>0.58699999999999997</v>
      </c>
      <c r="S17" s="58">
        <v>0.58699999999999997</v>
      </c>
      <c r="T17" s="58" t="s">
        <v>31</v>
      </c>
      <c r="U17" s="55"/>
      <c r="V17" s="54"/>
      <c r="W17" s="54" t="s">
        <v>40</v>
      </c>
      <c r="Y17" s="60"/>
      <c r="Z17" s="60"/>
    </row>
    <row r="18" spans="1:26" s="59" customFormat="1" ht="15.75" customHeight="1">
      <c r="A18" s="54"/>
      <c r="B18" s="55" t="s">
        <v>41</v>
      </c>
      <c r="C18" s="55"/>
      <c r="D18" s="55"/>
      <c r="E18" s="56"/>
      <c r="F18" s="57">
        <f>45368.71/1000</f>
        <v>45.36871</v>
      </c>
      <c r="G18" s="57">
        <f>38896.09/1000</f>
        <v>38.896089999999994</v>
      </c>
      <c r="H18" s="57">
        <f>6472.62/1000</f>
        <v>6.47262</v>
      </c>
      <c r="I18" s="57">
        <f>57196/1000</f>
        <v>57.195999999999998</v>
      </c>
      <c r="J18" s="57">
        <f>50258/1000</f>
        <v>50.258000000000003</v>
      </c>
      <c r="K18" s="57">
        <f>6938/1000</f>
        <v>6.9379999999999997</v>
      </c>
      <c r="L18" s="57">
        <f>41903/1000</f>
        <v>41.902999999999999</v>
      </c>
      <c r="M18" s="57">
        <f>36291/1000</f>
        <v>36.290999999999997</v>
      </c>
      <c r="N18" s="57">
        <f>5611/1000</f>
        <v>5.6109999999999998</v>
      </c>
      <c r="O18" s="57">
        <f>32636/1000</f>
        <v>32.636000000000003</v>
      </c>
      <c r="P18" s="57">
        <f>27269/1000</f>
        <v>27.268999999999998</v>
      </c>
      <c r="Q18" s="57">
        <f>5366/1000</f>
        <v>5.3659999999999997</v>
      </c>
      <c r="R18" s="58">
        <v>52.351999999999997</v>
      </c>
      <c r="S18" s="58">
        <v>44.058</v>
      </c>
      <c r="T18" s="58">
        <v>8.2940000000000005</v>
      </c>
      <c r="U18" s="55"/>
      <c r="V18" s="54" t="s">
        <v>42</v>
      </c>
      <c r="W18" s="54"/>
      <c r="Y18" s="60"/>
      <c r="Z18" s="60"/>
    </row>
    <row r="19" spans="1:26" s="59" customFormat="1" ht="15.75" customHeight="1">
      <c r="A19" s="54"/>
      <c r="B19" s="55"/>
      <c r="C19" s="55"/>
      <c r="D19" s="55"/>
      <c r="E19" s="56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8"/>
      <c r="S19" s="58"/>
      <c r="T19" s="58"/>
      <c r="U19" s="55"/>
      <c r="V19" s="54" t="s">
        <v>43</v>
      </c>
      <c r="W19" s="54"/>
      <c r="Y19" s="60"/>
      <c r="Z19" s="60"/>
    </row>
    <row r="20" spans="1:26" s="59" customFormat="1" ht="15.75" customHeight="1">
      <c r="A20" s="54"/>
      <c r="B20" s="55" t="s">
        <v>44</v>
      </c>
      <c r="C20" s="55"/>
      <c r="D20" s="55"/>
      <c r="E20" s="56"/>
      <c r="F20" s="57">
        <f>77466.53/1000</f>
        <v>77.466530000000006</v>
      </c>
      <c r="G20" s="57">
        <f>37120.84/1000</f>
        <v>37.120839999999994</v>
      </c>
      <c r="H20" s="57">
        <f>40345.69/1000</f>
        <v>40.345690000000005</v>
      </c>
      <c r="I20" s="57">
        <f>72295/1000</f>
        <v>72.295000000000002</v>
      </c>
      <c r="J20" s="57">
        <f>33934/1000</f>
        <v>33.933999999999997</v>
      </c>
      <c r="K20" s="57">
        <f>38361/1000</f>
        <v>38.360999999999997</v>
      </c>
      <c r="L20" s="57">
        <f>66502/1000</f>
        <v>66.501999999999995</v>
      </c>
      <c r="M20" s="57">
        <f>32615/1000</f>
        <v>32.615000000000002</v>
      </c>
      <c r="N20" s="57">
        <f>33887/1000</f>
        <v>33.887</v>
      </c>
      <c r="O20" s="57">
        <f>70401/1000</f>
        <v>70.400999999999996</v>
      </c>
      <c r="P20" s="57">
        <f>38491/1000</f>
        <v>38.491</v>
      </c>
      <c r="Q20" s="57">
        <f>31910/1000</f>
        <v>31.91</v>
      </c>
      <c r="R20" s="58">
        <v>81.804000000000002</v>
      </c>
      <c r="S20" s="58">
        <v>40.771000000000001</v>
      </c>
      <c r="T20" s="58">
        <v>41.033000000000001</v>
      </c>
      <c r="U20" s="55"/>
      <c r="V20" s="54"/>
      <c r="W20" s="54" t="s">
        <v>45</v>
      </c>
      <c r="Y20" s="60"/>
      <c r="Z20" s="60"/>
    </row>
    <row r="21" spans="1:26" s="59" customFormat="1" ht="15.75" customHeight="1">
      <c r="A21" s="54"/>
      <c r="B21" s="55" t="s">
        <v>46</v>
      </c>
      <c r="C21" s="55"/>
      <c r="D21" s="55"/>
      <c r="E21" s="56"/>
      <c r="F21" s="57">
        <f>10368.39/1000</f>
        <v>10.36839</v>
      </c>
      <c r="G21" s="57">
        <f>10368.39/1000</f>
        <v>10.36839</v>
      </c>
      <c r="H21" s="57" t="s">
        <v>31</v>
      </c>
      <c r="I21" s="57">
        <f>2988/1000</f>
        <v>2.988</v>
      </c>
      <c r="J21" s="57">
        <f>2313/1000</f>
        <v>2.3130000000000002</v>
      </c>
      <c r="K21" s="57">
        <f>676/1000</f>
        <v>0.67600000000000005</v>
      </c>
      <c r="L21" s="57">
        <f>3924/1000</f>
        <v>3.9239999999999999</v>
      </c>
      <c r="M21" s="57">
        <f>3129/1000</f>
        <v>3.129</v>
      </c>
      <c r="N21" s="57">
        <f>794/1000</f>
        <v>0.79400000000000004</v>
      </c>
      <c r="O21" s="57">
        <f>5381/1000</f>
        <v>5.3810000000000002</v>
      </c>
      <c r="P21" s="57">
        <f>5290/1000</f>
        <v>5.29</v>
      </c>
      <c r="Q21" s="57">
        <f>91/1000</f>
        <v>9.0999999999999998E-2</v>
      </c>
      <c r="R21" s="58">
        <v>12.699</v>
      </c>
      <c r="S21" s="58">
        <v>10.834</v>
      </c>
      <c r="T21" s="58">
        <v>1.8640000000000001</v>
      </c>
      <c r="U21" s="55"/>
      <c r="V21" s="54" t="s">
        <v>47</v>
      </c>
      <c r="W21" s="54"/>
      <c r="Y21" s="60"/>
      <c r="Z21" s="60"/>
    </row>
    <row r="22" spans="1:26" s="59" customFormat="1" ht="15.75" customHeight="1">
      <c r="A22" s="54"/>
      <c r="B22" s="55" t="s">
        <v>48</v>
      </c>
      <c r="C22" s="55"/>
      <c r="D22" s="55"/>
      <c r="E22" s="56"/>
      <c r="F22" s="57">
        <f>24927.22/1000</f>
        <v>24.927220000000002</v>
      </c>
      <c r="G22" s="57">
        <f>11282.61/1000</f>
        <v>11.28261</v>
      </c>
      <c r="H22" s="57">
        <f>13644.6/1000</f>
        <v>13.644600000000001</v>
      </c>
      <c r="I22" s="57">
        <f>31001/1000</f>
        <v>31.001000000000001</v>
      </c>
      <c r="J22" s="57">
        <f>10568/1000</f>
        <v>10.568</v>
      </c>
      <c r="K22" s="57">
        <f>20434/1000</f>
        <v>20.434000000000001</v>
      </c>
      <c r="L22" s="57">
        <f>30608/1000</f>
        <v>30.608000000000001</v>
      </c>
      <c r="M22" s="57">
        <f>10974/1000</f>
        <v>10.974</v>
      </c>
      <c r="N22" s="57">
        <f>19635/1000</f>
        <v>19.635000000000002</v>
      </c>
      <c r="O22" s="57">
        <f>27500/1000</f>
        <v>27.5</v>
      </c>
      <c r="P22" s="57">
        <f>9158/1000</f>
        <v>9.1579999999999995</v>
      </c>
      <c r="Q22" s="57">
        <f>18342/1000</f>
        <v>18.341999999999999</v>
      </c>
      <c r="R22" s="58">
        <v>32.058</v>
      </c>
      <c r="S22" s="58">
        <v>11.131</v>
      </c>
      <c r="T22" s="58">
        <v>20.925999999999998</v>
      </c>
      <c r="U22" s="55"/>
      <c r="V22" s="54" t="s">
        <v>49</v>
      </c>
      <c r="W22" s="54"/>
      <c r="Y22" s="60"/>
      <c r="Z22" s="60"/>
    </row>
    <row r="23" spans="1:26" s="59" customFormat="1" ht="15.75" customHeight="1">
      <c r="A23" s="54"/>
      <c r="B23" s="55" t="s">
        <v>50</v>
      </c>
      <c r="C23" s="55"/>
      <c r="D23" s="55"/>
      <c r="E23" s="56"/>
      <c r="F23" s="57">
        <f>404.03/1000</f>
        <v>0.40403</v>
      </c>
      <c r="G23" s="57">
        <f>404.03/1000</f>
        <v>0.40403</v>
      </c>
      <c r="H23" s="57" t="s">
        <v>31</v>
      </c>
      <c r="I23" s="57">
        <f>265/1000</f>
        <v>0.26500000000000001</v>
      </c>
      <c r="J23" s="57">
        <f>175/1000</f>
        <v>0.17499999999999999</v>
      </c>
      <c r="K23" s="57">
        <f>91/1000</f>
        <v>9.0999999999999998E-2</v>
      </c>
      <c r="L23" s="57">
        <f>215/1000</f>
        <v>0.215</v>
      </c>
      <c r="M23" s="57">
        <f>215/1000</f>
        <v>0.215</v>
      </c>
      <c r="N23" s="57" t="s">
        <v>31</v>
      </c>
      <c r="O23" s="57">
        <f>172/1000</f>
        <v>0.17199999999999999</v>
      </c>
      <c r="P23" s="57">
        <f>172/1000</f>
        <v>0.17199999999999999</v>
      </c>
      <c r="Q23" s="57" t="s">
        <v>31</v>
      </c>
      <c r="R23" s="58">
        <v>0.35099999999999998</v>
      </c>
      <c r="S23" s="58">
        <v>0.35099999999999998</v>
      </c>
      <c r="T23" s="58" t="s">
        <v>31</v>
      </c>
      <c r="U23" s="55"/>
      <c r="V23" s="55" t="s">
        <v>51</v>
      </c>
      <c r="W23" s="55"/>
      <c r="X23" s="60"/>
      <c r="Y23" s="60"/>
      <c r="Z23" s="60"/>
    </row>
    <row r="24" spans="1:26" s="59" customFormat="1" ht="15.75" customHeight="1">
      <c r="A24" s="54"/>
      <c r="B24" s="55" t="s">
        <v>52</v>
      </c>
      <c r="C24" s="55"/>
      <c r="D24" s="55"/>
      <c r="E24" s="56"/>
      <c r="F24" s="57">
        <f>5371.55/1000</f>
        <v>5.37155</v>
      </c>
      <c r="G24" s="57">
        <f>2263.61/1000</f>
        <v>2.2636100000000003</v>
      </c>
      <c r="H24" s="57">
        <f>3107.94/1000</f>
        <v>3.1079400000000001</v>
      </c>
      <c r="I24" s="57">
        <f>4149/1000</f>
        <v>4.149</v>
      </c>
      <c r="J24" s="57">
        <f>1578/1000</f>
        <v>1.5780000000000001</v>
      </c>
      <c r="K24" s="57">
        <f>2571/1000</f>
        <v>2.5710000000000002</v>
      </c>
      <c r="L24" s="57">
        <f>2477/1000</f>
        <v>2.4769999999999999</v>
      </c>
      <c r="M24" s="57">
        <f>1717/1000</f>
        <v>1.7170000000000001</v>
      </c>
      <c r="N24" s="57">
        <f>760/1000</f>
        <v>0.76</v>
      </c>
      <c r="O24" s="57">
        <f>2027/1000</f>
        <v>2.0270000000000001</v>
      </c>
      <c r="P24" s="57">
        <f>1749/1000</f>
        <v>1.7490000000000001</v>
      </c>
      <c r="Q24" s="57">
        <f>278/1000</f>
        <v>0.27800000000000002</v>
      </c>
      <c r="R24" s="58">
        <v>3.278</v>
      </c>
      <c r="S24" s="58">
        <v>2.448</v>
      </c>
      <c r="T24" s="58">
        <v>0.83</v>
      </c>
      <c r="U24" s="55"/>
      <c r="V24" s="55" t="s">
        <v>53</v>
      </c>
      <c r="W24" s="55"/>
      <c r="X24" s="60"/>
      <c r="Y24" s="60"/>
      <c r="Z24" s="60"/>
    </row>
    <row r="25" spans="1:26" s="59" customFormat="1" ht="15.75" customHeight="1">
      <c r="A25" s="54"/>
      <c r="B25" s="55" t="s">
        <v>54</v>
      </c>
      <c r="C25" s="55"/>
      <c r="D25" s="55"/>
      <c r="E25" s="56"/>
      <c r="F25" s="57">
        <f>619.66/1000</f>
        <v>0.61965999999999999</v>
      </c>
      <c r="G25" s="57">
        <f>482.12/1000</f>
        <v>0.48211999999999999</v>
      </c>
      <c r="H25" s="57">
        <f>137.54/1000</f>
        <v>0.13754</v>
      </c>
      <c r="I25" s="57" t="s">
        <v>31</v>
      </c>
      <c r="J25" s="57" t="s">
        <v>31</v>
      </c>
      <c r="K25" s="57" t="s">
        <v>31</v>
      </c>
      <c r="L25" s="57">
        <f>513/1000</f>
        <v>0.51300000000000001</v>
      </c>
      <c r="M25" s="57" t="s">
        <v>31</v>
      </c>
      <c r="N25" s="57">
        <f>513/1000</f>
        <v>0.51300000000000001</v>
      </c>
      <c r="O25" s="57" t="s">
        <v>31</v>
      </c>
      <c r="P25" s="57" t="s">
        <v>31</v>
      </c>
      <c r="Q25" s="57" t="s">
        <v>31</v>
      </c>
      <c r="R25" s="58">
        <v>0.16600000000000001</v>
      </c>
      <c r="S25" s="58">
        <v>0.114</v>
      </c>
      <c r="T25" s="58">
        <v>5.2999999999999999E-2</v>
      </c>
      <c r="U25" s="55"/>
      <c r="V25" s="55" t="s">
        <v>55</v>
      </c>
      <c r="W25" s="55"/>
      <c r="X25" s="60"/>
      <c r="Y25" s="60"/>
      <c r="Z25" s="60"/>
    </row>
    <row r="26" spans="1:26" s="59" customFormat="1" ht="15.75" customHeight="1">
      <c r="A26" s="54"/>
      <c r="B26" s="55" t="s">
        <v>56</v>
      </c>
      <c r="C26" s="55"/>
      <c r="D26" s="55"/>
      <c r="E26" s="56"/>
      <c r="F26" s="57">
        <f>2280.18/1000</f>
        <v>2.2801799999999997</v>
      </c>
      <c r="G26" s="57">
        <f>716.61/1000</f>
        <v>0.71660999999999997</v>
      </c>
      <c r="H26" s="57">
        <f>1563.58/1000</f>
        <v>1.56358</v>
      </c>
      <c r="I26" s="57">
        <f>2727/1000</f>
        <v>2.7269999999999999</v>
      </c>
      <c r="J26" s="57">
        <f>1081/1000</f>
        <v>1.081</v>
      </c>
      <c r="K26" s="57">
        <f>1646/1000</f>
        <v>1.6459999999999999</v>
      </c>
      <c r="L26" s="57">
        <f>934/1000</f>
        <v>0.93400000000000005</v>
      </c>
      <c r="M26" s="57">
        <f>351/1000</f>
        <v>0.35099999999999998</v>
      </c>
      <c r="N26" s="57">
        <f>583/1000</f>
        <v>0.58299999999999996</v>
      </c>
      <c r="O26" s="57">
        <f>90/1000</f>
        <v>0.09</v>
      </c>
      <c r="P26" s="57">
        <f>90/1000</f>
        <v>0.09</v>
      </c>
      <c r="Q26" s="57" t="s">
        <v>31</v>
      </c>
      <c r="R26" s="58">
        <v>1.863</v>
      </c>
      <c r="S26" s="58">
        <v>0.52600000000000002</v>
      </c>
      <c r="T26" s="58">
        <v>1.3380000000000001</v>
      </c>
      <c r="U26" s="55"/>
      <c r="V26" s="54" t="s">
        <v>57</v>
      </c>
      <c r="W26" s="55"/>
      <c r="X26" s="60"/>
      <c r="Y26" s="60"/>
      <c r="Z26" s="60"/>
    </row>
    <row r="27" spans="1:26" s="59" customFormat="1" ht="15.75" customHeight="1">
      <c r="A27" s="54"/>
      <c r="B27" s="55" t="s">
        <v>58</v>
      </c>
      <c r="C27" s="55"/>
      <c r="D27" s="55"/>
      <c r="E27" s="56"/>
      <c r="F27" s="57">
        <f>1553.42/1000</f>
        <v>1.55342</v>
      </c>
      <c r="G27" s="57">
        <f>1458.75/1000</f>
        <v>1.45875</v>
      </c>
      <c r="H27" s="57">
        <f>94.67/1000</f>
        <v>9.4670000000000004E-2</v>
      </c>
      <c r="I27" s="57">
        <f>725/1000</f>
        <v>0.72499999999999998</v>
      </c>
      <c r="J27" s="57">
        <f>725/1000</f>
        <v>0.72499999999999998</v>
      </c>
      <c r="K27" s="57" t="s">
        <v>31</v>
      </c>
      <c r="L27" s="57">
        <f>261/1000</f>
        <v>0.26100000000000001</v>
      </c>
      <c r="M27" s="57">
        <f>92/1000</f>
        <v>9.1999999999999998E-2</v>
      </c>
      <c r="N27" s="57">
        <f>168/1000</f>
        <v>0.16800000000000001</v>
      </c>
      <c r="O27" s="57">
        <f>939/1000</f>
        <v>0.93899999999999995</v>
      </c>
      <c r="P27" s="57">
        <f>751/1000</f>
        <v>0.751</v>
      </c>
      <c r="Q27" s="57">
        <f>188/1000</f>
        <v>0.188</v>
      </c>
      <c r="R27" s="58">
        <v>0.81699999999999995</v>
      </c>
      <c r="S27" s="58">
        <v>0.72299999999999998</v>
      </c>
      <c r="T27" s="58">
        <v>9.4E-2</v>
      </c>
      <c r="U27" s="55"/>
      <c r="V27" s="55" t="s">
        <v>59</v>
      </c>
      <c r="W27" s="55"/>
      <c r="X27" s="60"/>
      <c r="Y27" s="60"/>
      <c r="Z27" s="60"/>
    </row>
    <row r="28" spans="1:26" s="59" customFormat="1" ht="15.75" customHeight="1">
      <c r="A28" s="54"/>
      <c r="B28" s="55" t="s">
        <v>60</v>
      </c>
      <c r="C28" s="55"/>
      <c r="D28" s="55"/>
      <c r="E28" s="56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8"/>
      <c r="S28" s="58"/>
      <c r="T28" s="58"/>
      <c r="U28" s="55"/>
      <c r="V28" s="55" t="s">
        <v>61</v>
      </c>
      <c r="W28" s="55"/>
      <c r="X28" s="60"/>
      <c r="Y28" s="60"/>
      <c r="Z28" s="60"/>
    </row>
    <row r="29" spans="1:26" s="59" customFormat="1" ht="15.75" customHeight="1">
      <c r="A29" s="54"/>
      <c r="B29" s="55"/>
      <c r="C29" s="55" t="s">
        <v>62</v>
      </c>
      <c r="D29" s="55"/>
      <c r="E29" s="56"/>
      <c r="F29" s="57">
        <f>25260.65/1000</f>
        <v>25.260650000000002</v>
      </c>
      <c r="G29" s="57">
        <f>16695.57/1000</f>
        <v>16.69557</v>
      </c>
      <c r="H29" s="57">
        <f>8565.08/1000</f>
        <v>8.56508</v>
      </c>
      <c r="I29" s="57">
        <f>29372/1000</f>
        <v>29.372</v>
      </c>
      <c r="J29" s="57">
        <f>19980/1000</f>
        <v>19.98</v>
      </c>
      <c r="K29" s="57">
        <f>9392/1000</f>
        <v>9.3919999999999995</v>
      </c>
      <c r="L29" s="57">
        <f>25333/1000</f>
        <v>25.332999999999998</v>
      </c>
      <c r="M29" s="57">
        <f>18034/1000</f>
        <v>18.033999999999999</v>
      </c>
      <c r="N29" s="57">
        <f>7299/1000</f>
        <v>7.2990000000000004</v>
      </c>
      <c r="O29" s="57">
        <f>28076/1000</f>
        <v>28.076000000000001</v>
      </c>
      <c r="P29" s="57">
        <f>21023/1000</f>
        <v>21.023</v>
      </c>
      <c r="Q29" s="57">
        <f>7053/1000</f>
        <v>7.0529999999999999</v>
      </c>
      <c r="R29" s="58">
        <v>21.427</v>
      </c>
      <c r="S29" s="58">
        <v>15.47</v>
      </c>
      <c r="T29" s="58">
        <v>5.9569999999999999</v>
      </c>
      <c r="U29" s="55"/>
      <c r="V29" s="55"/>
      <c r="W29" s="55" t="s">
        <v>63</v>
      </c>
      <c r="X29" s="60"/>
      <c r="Y29" s="60"/>
      <c r="Z29" s="60"/>
    </row>
    <row r="30" spans="1:26" s="59" customFormat="1" ht="15.75" customHeight="1">
      <c r="A30" s="54"/>
      <c r="B30" s="55" t="s">
        <v>64</v>
      </c>
      <c r="C30" s="55"/>
      <c r="D30" s="55"/>
      <c r="E30" s="56"/>
      <c r="F30" s="57">
        <f>18048.94/1000</f>
        <v>18.048939999999998</v>
      </c>
      <c r="G30" s="57">
        <f>6441.6/1000</f>
        <v>6.4416000000000002</v>
      </c>
      <c r="H30" s="57">
        <f>11607.34/1000</f>
        <v>11.607340000000001</v>
      </c>
      <c r="I30" s="57">
        <f>18727/1000</f>
        <v>18.727</v>
      </c>
      <c r="J30" s="57">
        <f>9253/1000</f>
        <v>9.2530000000000001</v>
      </c>
      <c r="K30" s="57">
        <f>9473/1000</f>
        <v>9.4730000000000008</v>
      </c>
      <c r="L30" s="57">
        <f>18599/1000</f>
        <v>18.599</v>
      </c>
      <c r="M30" s="57">
        <f>9115/1000</f>
        <v>9.1150000000000002</v>
      </c>
      <c r="N30" s="57">
        <f>9484/1000</f>
        <v>9.484</v>
      </c>
      <c r="O30" s="57">
        <f>21052/1000</f>
        <v>21.052</v>
      </c>
      <c r="P30" s="57">
        <f>8078/1000</f>
        <v>8.0779999999999994</v>
      </c>
      <c r="Q30" s="57">
        <f>12975/1000</f>
        <v>12.975</v>
      </c>
      <c r="R30" s="58">
        <v>22.648</v>
      </c>
      <c r="S30" s="58">
        <v>8.9079999999999995</v>
      </c>
      <c r="T30" s="58">
        <v>13.74</v>
      </c>
      <c r="U30" s="55"/>
      <c r="V30" s="55" t="s">
        <v>65</v>
      </c>
      <c r="W30" s="55"/>
      <c r="X30" s="60"/>
      <c r="Y30" s="60"/>
      <c r="Z30" s="60"/>
    </row>
    <row r="31" spans="1:26" s="59" customFormat="1" ht="15.75" customHeight="1">
      <c r="A31" s="54"/>
      <c r="B31" s="55" t="s">
        <v>66</v>
      </c>
      <c r="C31" s="55"/>
      <c r="D31" s="55"/>
      <c r="E31" s="56"/>
      <c r="F31" s="57">
        <f>6267.91/1000</f>
        <v>6.2679099999999996</v>
      </c>
      <c r="G31" s="57">
        <f>1026.65/1000</f>
        <v>1.0266500000000001</v>
      </c>
      <c r="H31" s="57">
        <f>5241.27/1000</f>
        <v>5.2412700000000001</v>
      </c>
      <c r="I31" s="57">
        <f>9794/1000</f>
        <v>9.7940000000000005</v>
      </c>
      <c r="J31" s="57">
        <f>1723/1000</f>
        <v>1.7230000000000001</v>
      </c>
      <c r="K31" s="57">
        <f>8071/1000</f>
        <v>8.0709999999999997</v>
      </c>
      <c r="L31" s="57">
        <f>10301/1000</f>
        <v>10.301</v>
      </c>
      <c r="M31" s="57">
        <f>2595/1000</f>
        <v>2.5950000000000002</v>
      </c>
      <c r="N31" s="57">
        <v>7.7</v>
      </c>
      <c r="O31" s="57">
        <f>5780/1000</f>
        <v>5.78</v>
      </c>
      <c r="P31" s="57">
        <f>1447/1000</f>
        <v>1.4470000000000001</v>
      </c>
      <c r="Q31" s="57">
        <f>4333/1000</f>
        <v>4.3330000000000002</v>
      </c>
      <c r="R31" s="58">
        <v>7.5279999999999996</v>
      </c>
      <c r="S31" s="58">
        <v>0.71</v>
      </c>
      <c r="T31" s="58">
        <v>6.8179999999999996</v>
      </c>
      <c r="U31" s="55"/>
      <c r="V31" s="55" t="s">
        <v>67</v>
      </c>
      <c r="W31" s="55"/>
      <c r="X31" s="60"/>
      <c r="Y31" s="60"/>
      <c r="Z31" s="60"/>
    </row>
    <row r="32" spans="1:26" s="59" customFormat="1" ht="15.75" customHeight="1">
      <c r="A32" s="54"/>
      <c r="B32" s="55" t="s">
        <v>68</v>
      </c>
      <c r="C32" s="55"/>
      <c r="D32" s="55"/>
      <c r="E32" s="56"/>
      <c r="F32" s="57">
        <f>9380.09/1000</f>
        <v>9.3800900000000009</v>
      </c>
      <c r="G32" s="57">
        <f>6961.62/1000</f>
        <v>6.9616199999999999</v>
      </c>
      <c r="H32" s="57">
        <f>2418.47/1000</f>
        <v>2.4184699999999997</v>
      </c>
      <c r="I32" s="57">
        <f>6755/1000</f>
        <v>6.7549999999999999</v>
      </c>
      <c r="J32" s="57">
        <f>5223/1000</f>
        <v>5.2229999999999999</v>
      </c>
      <c r="K32" s="57">
        <f>1527/1000</f>
        <v>1.5269999999999999</v>
      </c>
      <c r="L32" s="57">
        <f>2081/1000</f>
        <v>2.081</v>
      </c>
      <c r="M32" s="57">
        <f>1488/1000</f>
        <v>1.488</v>
      </c>
      <c r="N32" s="57">
        <f>593/1000</f>
        <v>0.59299999999999997</v>
      </c>
      <c r="O32" s="57">
        <f>2711/1000</f>
        <v>2.7109999999999999</v>
      </c>
      <c r="P32" s="57">
        <f>2290/1000</f>
        <v>2.29</v>
      </c>
      <c r="Q32" s="57">
        <f>420/1000</f>
        <v>0.42</v>
      </c>
      <c r="R32" s="58">
        <v>3.4460000000000002</v>
      </c>
      <c r="S32" s="58">
        <v>3.254</v>
      </c>
      <c r="T32" s="58">
        <v>0.191</v>
      </c>
      <c r="U32" s="55"/>
      <c r="V32" s="55" t="s">
        <v>69</v>
      </c>
      <c r="W32" s="55"/>
      <c r="X32" s="60"/>
      <c r="Y32" s="60"/>
      <c r="Z32" s="60"/>
    </row>
    <row r="33" spans="1:26" s="59" customFormat="1" ht="15.75" customHeight="1">
      <c r="A33" s="54"/>
      <c r="B33" s="55" t="s">
        <v>70</v>
      </c>
      <c r="C33" s="55"/>
      <c r="D33" s="55"/>
      <c r="E33" s="56"/>
      <c r="F33" s="57">
        <f>8000.37/1000</f>
        <v>8.0003700000000002</v>
      </c>
      <c r="G33" s="57">
        <f>2243.64/1000</f>
        <v>2.2436400000000001</v>
      </c>
      <c r="H33" s="57">
        <f>5756.72/1000</f>
        <v>5.7567200000000005</v>
      </c>
      <c r="I33" s="57">
        <f>6964/1000</f>
        <v>6.9640000000000004</v>
      </c>
      <c r="J33" s="57">
        <f>4349/1000</f>
        <v>4.3490000000000002</v>
      </c>
      <c r="K33" s="57">
        <f>2615/1000</f>
        <v>2.6150000000000002</v>
      </c>
      <c r="L33" s="57">
        <f>4590/1000</f>
        <v>4.59</v>
      </c>
      <c r="M33" s="57">
        <f>1281/1000</f>
        <v>1.2809999999999999</v>
      </c>
      <c r="N33" s="57">
        <f>3309/1000</f>
        <v>3.3090000000000002</v>
      </c>
      <c r="O33" s="57">
        <f>5045/1000</f>
        <v>5.0449999999999999</v>
      </c>
      <c r="P33" s="57">
        <f>2724/1000</f>
        <v>2.7240000000000002</v>
      </c>
      <c r="Q33" s="57">
        <f>2321/1000</f>
        <v>2.3210000000000002</v>
      </c>
      <c r="R33" s="58">
        <v>5.7480000000000002</v>
      </c>
      <c r="S33" s="58">
        <v>2.1539999999999999</v>
      </c>
      <c r="T33" s="58">
        <v>3.5939999999999999</v>
      </c>
      <c r="U33" s="55"/>
      <c r="V33" s="54" t="s">
        <v>71</v>
      </c>
      <c r="W33" s="54"/>
      <c r="X33" s="60"/>
      <c r="Y33" s="60"/>
      <c r="Z33" s="60"/>
    </row>
    <row r="34" spans="1:26" s="59" customFormat="1" ht="15.75" customHeight="1">
      <c r="A34" s="54"/>
      <c r="B34" s="55" t="s">
        <v>72</v>
      </c>
      <c r="C34" s="55"/>
      <c r="D34" s="55"/>
      <c r="E34" s="56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8"/>
      <c r="S34" s="58"/>
      <c r="T34" s="58"/>
      <c r="U34" s="55"/>
      <c r="V34" s="55" t="s">
        <v>73</v>
      </c>
      <c r="W34" s="55"/>
      <c r="X34" s="60"/>
      <c r="Y34" s="60"/>
      <c r="Z34" s="60"/>
    </row>
    <row r="35" spans="1:26" s="59" customFormat="1" ht="15.75" customHeight="1">
      <c r="A35" s="54"/>
      <c r="B35" s="55"/>
      <c r="C35" s="55" t="s">
        <v>74</v>
      </c>
      <c r="D35" s="55"/>
      <c r="E35" s="56"/>
      <c r="F35" s="57">
        <f>4200/1000</f>
        <v>4.2</v>
      </c>
      <c r="G35" s="57" t="s">
        <v>31</v>
      </c>
      <c r="H35" s="57">
        <f>4200/1000</f>
        <v>4.2</v>
      </c>
      <c r="I35" s="57">
        <f>3451/1000</f>
        <v>3.4510000000000001</v>
      </c>
      <c r="J35" s="57">
        <f>685/1000</f>
        <v>0.68500000000000005</v>
      </c>
      <c r="K35" s="57">
        <f>2766/1000</f>
        <v>2.766</v>
      </c>
      <c r="L35" s="57">
        <f>3804/1000</f>
        <v>3.8039999999999998</v>
      </c>
      <c r="M35" s="57">
        <f>891/1000</f>
        <v>0.89100000000000001</v>
      </c>
      <c r="N35" s="57">
        <f>2913/100</f>
        <v>29.13</v>
      </c>
      <c r="O35" s="57">
        <f>3949/1000</f>
        <v>3.9489999999999998</v>
      </c>
      <c r="P35" s="57">
        <f>93/1000</f>
        <v>9.2999999999999999E-2</v>
      </c>
      <c r="Q35" s="57">
        <f>3856/1000</f>
        <v>3.8559999999999999</v>
      </c>
      <c r="R35" s="58">
        <v>2.3090000000000002</v>
      </c>
      <c r="S35" s="58" t="s">
        <v>31</v>
      </c>
      <c r="T35" s="58">
        <v>2.3090000000000002</v>
      </c>
      <c r="U35" s="55"/>
      <c r="V35" s="55"/>
      <c r="W35" s="55" t="s">
        <v>75</v>
      </c>
      <c r="X35" s="60"/>
      <c r="Y35" s="60"/>
      <c r="Z35" s="60"/>
    </row>
    <row r="36" spans="1:26" s="59" customFormat="1" ht="15.75" customHeight="1">
      <c r="A36" s="54"/>
      <c r="B36" s="55" t="s">
        <v>76</v>
      </c>
      <c r="C36" s="55"/>
      <c r="D36" s="55"/>
      <c r="E36" s="56"/>
      <c r="F36" s="57" t="s">
        <v>31</v>
      </c>
      <c r="G36" s="57" t="s">
        <v>31</v>
      </c>
      <c r="H36" s="57" t="s">
        <v>31</v>
      </c>
      <c r="I36" s="57" t="s">
        <v>31</v>
      </c>
      <c r="J36" s="57" t="s">
        <v>31</v>
      </c>
      <c r="K36" s="57" t="s">
        <v>31</v>
      </c>
      <c r="L36" s="57" t="s">
        <v>31</v>
      </c>
      <c r="M36" s="57" t="s">
        <v>31</v>
      </c>
      <c r="N36" s="57" t="s">
        <v>31</v>
      </c>
      <c r="O36" s="57" t="s">
        <v>31</v>
      </c>
      <c r="P36" s="57" t="s">
        <v>31</v>
      </c>
      <c r="Q36" s="57" t="s">
        <v>31</v>
      </c>
      <c r="R36" s="58" t="s">
        <v>31</v>
      </c>
      <c r="S36" s="58" t="s">
        <v>31</v>
      </c>
      <c r="T36" s="58" t="s">
        <v>31</v>
      </c>
      <c r="U36" s="55"/>
      <c r="V36" s="55" t="s">
        <v>77</v>
      </c>
      <c r="W36" s="55"/>
      <c r="X36" s="60"/>
      <c r="Y36" s="60"/>
      <c r="Z36" s="60"/>
    </row>
    <row r="37" spans="1:26" s="59" customFormat="1" ht="15.75" customHeight="1">
      <c r="A37" s="55"/>
      <c r="B37" s="55" t="s">
        <v>78</v>
      </c>
      <c r="C37" s="55"/>
      <c r="D37" s="55"/>
      <c r="E37" s="56"/>
      <c r="F37" s="57" t="s">
        <v>31</v>
      </c>
      <c r="G37" s="57" t="s">
        <v>31</v>
      </c>
      <c r="H37" s="57" t="s">
        <v>31</v>
      </c>
      <c r="I37" s="57" t="s">
        <v>31</v>
      </c>
      <c r="J37" s="57" t="s">
        <v>31</v>
      </c>
      <c r="K37" s="57" t="s">
        <v>31</v>
      </c>
      <c r="L37" s="57" t="s">
        <v>31</v>
      </c>
      <c r="M37" s="57" t="s">
        <v>31</v>
      </c>
      <c r="N37" s="57" t="s">
        <v>31</v>
      </c>
      <c r="O37" s="57" t="s">
        <v>31</v>
      </c>
      <c r="P37" s="57" t="s">
        <v>31</v>
      </c>
      <c r="Q37" s="57" t="s">
        <v>31</v>
      </c>
      <c r="R37" s="58" t="s">
        <v>31</v>
      </c>
      <c r="S37" s="58" t="s">
        <v>31</v>
      </c>
      <c r="T37" s="58" t="s">
        <v>31</v>
      </c>
      <c r="U37" s="61"/>
      <c r="V37" s="55" t="s">
        <v>79</v>
      </c>
      <c r="W37" s="55"/>
      <c r="X37" s="60"/>
      <c r="Y37" s="60"/>
      <c r="Z37" s="60"/>
    </row>
    <row r="38" spans="1:26" s="69" customFormat="1" ht="3" customHeight="1">
      <c r="A38" s="62"/>
      <c r="B38" s="62"/>
      <c r="C38" s="62"/>
      <c r="D38" s="62"/>
      <c r="E38" s="63"/>
      <c r="F38" s="64"/>
      <c r="G38" s="64"/>
      <c r="H38" s="64"/>
      <c r="I38" s="65"/>
      <c r="J38" s="65"/>
      <c r="K38" s="65"/>
      <c r="L38" s="65"/>
      <c r="M38" s="65"/>
      <c r="N38" s="65"/>
      <c r="O38" s="65"/>
      <c r="P38" s="65"/>
      <c r="Q38" s="65"/>
      <c r="R38" s="66"/>
      <c r="S38" s="66"/>
      <c r="T38" s="66"/>
      <c r="U38" s="67"/>
      <c r="V38" s="62"/>
      <c r="W38" s="62"/>
      <c r="X38" s="62"/>
      <c r="Y38" s="62"/>
      <c r="Z38" s="68"/>
    </row>
    <row r="39" spans="1:26" s="69" customFormat="1" ht="3" customHeight="1">
      <c r="B39" s="68"/>
      <c r="C39" s="68"/>
      <c r="D39" s="68"/>
      <c r="E39" s="68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68"/>
      <c r="V39" s="68"/>
      <c r="W39" s="68"/>
      <c r="X39" s="68"/>
      <c r="Y39" s="68"/>
      <c r="Z39" s="68"/>
    </row>
    <row r="40" spans="1:26" s="71" customFormat="1" ht="15.75">
      <c r="C40" s="72" t="s">
        <v>80</v>
      </c>
      <c r="D40" s="73" t="s">
        <v>81</v>
      </c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</row>
    <row r="41" spans="1:26" s="71" customFormat="1" ht="15.75">
      <c r="C41" s="72" t="s">
        <v>82</v>
      </c>
      <c r="D41" s="75" t="s">
        <v>83</v>
      </c>
    </row>
    <row r="43" spans="1:26">
      <c r="B43" s="60"/>
      <c r="T43" s="8" t="s">
        <v>84</v>
      </c>
    </row>
    <row r="46" spans="1:26">
      <c r="B46" s="59"/>
    </row>
    <row r="49" spans="2:2">
      <c r="B49" s="60"/>
    </row>
    <row r="50" spans="2:2">
      <c r="B50" s="60"/>
    </row>
    <row r="52" spans="2:2">
      <c r="B52" s="59"/>
    </row>
  </sheetData>
  <mergeCells count="16">
    <mergeCell ref="I6:K6"/>
    <mergeCell ref="L6:N6"/>
    <mergeCell ref="O6:Q6"/>
    <mergeCell ref="R6:T6"/>
    <mergeCell ref="B9:E9"/>
    <mergeCell ref="V9:X9"/>
    <mergeCell ref="B4:E8"/>
    <mergeCell ref="F4:Q4"/>
    <mergeCell ref="R4:T4"/>
    <mergeCell ref="V4:X8"/>
    <mergeCell ref="F5:H5"/>
    <mergeCell ref="I5:K5"/>
    <mergeCell ref="L5:N5"/>
    <mergeCell ref="O5:Q5"/>
    <mergeCell ref="R5:T5"/>
    <mergeCell ref="F6:H6"/>
  </mergeCells>
  <pageMargins left="0.55118110236220474" right="0.35433070866141736" top="0.78740157480314965" bottom="0.59055118110236227" header="0.51181102362204722" footer="0.51181102362204722"/>
  <pageSetup paperSize="9" scale="84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T-2.4</vt:lpstr>
      <vt:lpstr>'T-2.4'!Print_Area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2016-11-18T08:19:09Z</dcterms:created>
  <dcterms:modified xsi:type="dcterms:W3CDTF">2016-11-18T08:19:18Z</dcterms:modified>
</cp:coreProperties>
</file>