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8" yWindow="72" windowWidth="10440" windowHeight="5244" tabRatio="656"/>
  </bookViews>
  <sheets>
    <sheet name="T-18.3    " sheetId="31" r:id="rId1"/>
    <sheet name="T-18.3" sheetId="21" r:id="rId2"/>
    <sheet name="T-18.1   " sheetId="34" r:id="rId3"/>
    <sheet name="T-18.1" sheetId="33" r:id="rId4"/>
    <sheet name="T-18.2    " sheetId="32" r:id="rId5"/>
    <sheet name="T-18.2" sheetId="24" r:id="rId6"/>
    <sheet name="T-18.4   " sheetId="30" r:id="rId7"/>
    <sheet name="T-18.4" sheetId="22" r:id="rId8"/>
    <sheet name="T-18.5  " sheetId="29" r:id="rId9"/>
    <sheet name="T-18.5" sheetId="25" r:id="rId10"/>
    <sheet name="T-18.6   " sheetId="28" r:id="rId11"/>
    <sheet name="T-18.6     " sheetId="27" r:id="rId12"/>
    <sheet name="รายงานเงินฝาก " sheetId="26" r:id="rId13"/>
  </sheets>
  <definedNames>
    <definedName name="_xlnm.Print_Titles" localSheetId="12">'รายงานเงินฝาก '!$1:$8</definedName>
  </definedNames>
  <calcPr calcId="125725"/>
</workbook>
</file>

<file path=xl/calcChain.xml><?xml version="1.0" encoding="utf-8"?>
<calcChain xmlns="http://schemas.openxmlformats.org/spreadsheetml/2006/main">
  <c r="K52" i="3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C9" i="26" l="1"/>
  <c r="K52" i="2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B9" i="26" l="1"/>
  <c r="C10"/>
  <c r="D10"/>
  <c r="D9" s="1"/>
  <c r="E10"/>
  <c r="E9" s="1"/>
  <c r="F10"/>
  <c r="F9" s="1"/>
  <c r="G10"/>
  <c r="G9" s="1"/>
  <c r="H10"/>
  <c r="H9" s="1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1"/>
  <c r="D21"/>
  <c r="E21"/>
  <c r="F21"/>
  <c r="G21"/>
  <c r="H21"/>
  <c r="C22"/>
  <c r="D22"/>
  <c r="E22"/>
  <c r="F22"/>
  <c r="G22"/>
  <c r="H22"/>
  <c r="C23"/>
  <c r="D23"/>
  <c r="E23"/>
  <c r="F23"/>
  <c r="G23"/>
  <c r="H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4"/>
  <c r="D34"/>
  <c r="E34"/>
  <c r="F34"/>
  <c r="G34"/>
  <c r="H34"/>
  <c r="C39"/>
  <c r="D39"/>
  <c r="E39"/>
  <c r="F39"/>
  <c r="G39"/>
  <c r="H39"/>
</calcChain>
</file>

<file path=xl/sharedStrings.xml><?xml version="1.0" encoding="utf-8"?>
<sst xmlns="http://schemas.openxmlformats.org/spreadsheetml/2006/main" count="1861" uniqueCount="322">
  <si>
    <t>รวม</t>
  </si>
  <si>
    <t>Total</t>
  </si>
  <si>
    <t>จำนวน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</si>
  <si>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</si>
  <si>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</si>
  <si>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</si>
  <si>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</si>
  <si>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</si>
  <si>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</si>
  <si>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</si>
  <si>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</si>
  <si>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</si>
  <si>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</si>
  <si>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</si>
  <si>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</si>
  <si>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</si>
  <si>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</si>
  <si>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</si>
  <si>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</si>
  <si>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</si>
  <si>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</si>
  <si>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</si>
  <si>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</si>
  <si>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</si>
  <si>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</si>
  <si>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</si>
  <si>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</si>
  <si>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</si>
  <si>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</si>
  <si>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</si>
  <si>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</si>
  <si>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 xml:space="preserve">     ที่มา:  สำนักงานสหกรณ์จังหวัด _ _ _ _ _ _ _ _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</si>
  <si>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</si>
  <si>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</si>
  <si>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</si>
  <si>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</si>
  <si>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</si>
  <si>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</si>
  <si>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</si>
  <si>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</si>
  <si>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</si>
  <si>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</si>
  <si>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</si>
  <si>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</si>
  <si>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</si>
  <si>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</si>
  <si>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</si>
  <si>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</si>
  <si>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</si>
  <si>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</si>
  <si>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</si>
  <si>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</si>
  <si>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</si>
  <si>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</si>
  <si>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</si>
  <si>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</si>
  <si>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</si>
  <si>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</si>
  <si>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</si>
  <si>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</si>
  <si>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</si>
  <si>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</si>
  <si>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</si>
  <si>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</si>
  <si>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</si>
  <si>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</si>
  <si>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</si>
  <si>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</si>
  <si>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</si>
  <si>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</si>
  <si>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</si>
  <si>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</si>
  <si>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</si>
  <si>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</si>
  <si>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</si>
  <si>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</si>
  <si>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</si>
  <si>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</si>
  <si>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</si>
  <si>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 xml:space="preserve"> Source:  _ _ _ _ _ _ _ _ Provincial Cooperative Office</t>
  </si>
  <si>
    <t>ทวงถาม</t>
  </si>
  <si>
    <t>ประจำ</t>
  </si>
  <si>
    <t>Demand deposit</t>
  </si>
  <si>
    <t xml:space="preserve"> deposit</t>
  </si>
  <si>
    <t>Deposit</t>
  </si>
  <si>
    <t>(ชื่ออำเภอ)</t>
  </si>
  <si>
    <t>Overdraft</t>
  </si>
  <si>
    <t>Loan</t>
  </si>
  <si>
    <t>Withdrawal</t>
  </si>
  <si>
    <t>branch</t>
  </si>
  <si>
    <t>Source : Government Saving Bank, Region Office No. 13, Nakhon Ratchasima Province</t>
  </si>
  <si>
    <t>ที่มา : ธนาคารออมสินภาค 13 จังหวัดนครราชสีมา</t>
  </si>
  <si>
    <t>Chaloem Phra Kiat District</t>
  </si>
  <si>
    <t>อำเภอเฉลิมพระเกียรติ</t>
  </si>
  <si>
    <t>Sida Minor District</t>
  </si>
  <si>
    <t>อำเภอสีดา</t>
  </si>
  <si>
    <t>Bua Lai Minor District</t>
  </si>
  <si>
    <t>อำเภอบัวลาย</t>
  </si>
  <si>
    <t>Lam Thamenchai Minor District</t>
  </si>
  <si>
    <t>อำเภอลำทะเมนชัย</t>
  </si>
  <si>
    <t>Phra Thong Kham Minor District</t>
  </si>
  <si>
    <t>อำเภอพระทองคำ</t>
  </si>
  <si>
    <t>Mueang Yang Minor District</t>
  </si>
  <si>
    <t>อำเภอเมืองยาง</t>
  </si>
  <si>
    <t>Thepharak Minor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</si>
  <si>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</si>
  <si>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</si>
  <si>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</si>
  <si>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</si>
  <si>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</si>
  <si>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</si>
  <si>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</si>
  <si>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Bunnak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</si>
  <si>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</si>
  <si>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</si>
  <si>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</si>
  <si>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</si>
  <si>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</si>
  <si>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</si>
  <si>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</si>
  <si>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</si>
  <si>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</si>
  <si>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</si>
  <si>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</si>
  <si>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</si>
  <si>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</si>
  <si>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</si>
  <si>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</si>
  <si>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</si>
  <si>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</si>
  <si>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</si>
  <si>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</si>
  <si>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</si>
  <si>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</si>
  <si>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</si>
  <si>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</si>
  <si>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</si>
  <si>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</si>
  <si>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</si>
  <si>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</si>
  <si>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</si>
  <si>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</si>
  <si>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</si>
  <si>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</si>
  <si>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</si>
  <si>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</si>
  <si>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</si>
  <si>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</si>
  <si>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</si>
  <si>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</si>
  <si>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</si>
  <si>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</si>
  <si>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</si>
  <si>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</si>
  <si>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</si>
  <si>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</si>
  <si>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Deposit outstanding</t>
  </si>
  <si>
    <t>branches</t>
  </si>
  <si>
    <t>Withdrawals</t>
  </si>
  <si>
    <t>Deposits</t>
  </si>
  <si>
    <t>Number of</t>
  </si>
  <si>
    <t>ประเภทประจำ Time deposits</t>
  </si>
  <si>
    <t>ประเภทเผื่อเรียก Demand deposits</t>
  </si>
  <si>
    <t>(พันบาท : Thousand Baht)</t>
  </si>
  <si>
    <t>TABLE  18.3  BRANCHES, DEPOSIT, WITHDRAWALS AND DEPOSIT OUTSTANDINGS OF THE GOVERNMENT SAVING BANK BY TYPE AND DISTRICT : 2017</t>
  </si>
  <si>
    <t>ตาราง 18.3   สาขา เงินฝาก เงินถอน และเงินฝากคงเหลือของธนาคารออมสิน จำแนกตามประเภทบัญชี เป็นรายอำเภอ พ.ศ.2560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</si>
  <si>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</si>
  <si>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</si>
  <si>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</si>
  <si>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</si>
  <si>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>อำเภอบ้านเหลื่อม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</si>
  <si>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</si>
  <si>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</si>
  <si>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</si>
  <si>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</si>
  <si>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</si>
  <si>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</si>
  <si>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</si>
  <si>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</si>
  <si>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</si>
  <si>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</si>
  <si>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</si>
  <si>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</si>
  <si>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ตาราง 18.3   </t>
  </si>
  <si>
    <t>Table 18.3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</si>
  <si>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</si>
  <si>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</si>
  <si>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</si>
  <si>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</si>
  <si>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</si>
  <si>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</si>
  <si>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</si>
  <si>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</si>
  <si>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</si>
  <si>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Minor District</t>
  </si>
  <si>
    <t xml:space="preserve"> Mueang Yang Minor District</t>
  </si>
  <si>
    <t xml:space="preserve"> Phra Thong Kham Minor District</t>
  </si>
  <si>
    <t xml:space="preserve"> Lam Thamenchai Minor District</t>
  </si>
  <si>
    <t xml:space="preserve"> Bua Lai Minor District</t>
  </si>
  <si>
    <t xml:space="preserve"> Sida Minor District</t>
  </si>
  <si>
    <t xml:space="preserve"> Chaloem Phra Kiat District</t>
  </si>
  <si>
    <t xml:space="preserve">     ที่มา:  ธนาคารออมสิน ภาค 10  จังหวัดนครราชสีมา</t>
  </si>
  <si>
    <t xml:space="preserve"> Source:  Government Saving Bank, Regional Office No. 10 , Nakhon Ratchasima Province </t>
  </si>
  <si>
    <t xml:space="preserve">ตาราง 18.3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</si>
  <si>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 (ต่อ)</t>
  </si>
  <si>
    <t>Branches, Deposit, Withdrawals and Deposit Outstandings of The Government Saving Bank by Type and District: 2017 (Cont.)</t>
  </si>
  <si>
    <t xml:space="preserve">สาขา เงินฝาก เงินถอน และเงินฝากคงเหลือของธนาคารออมสิน จำแนกตามประเภทบัญชี เป็นรายอำเภอ พ.ศ. 2560 </t>
  </si>
  <si>
    <t>Branches, Deposit, Withdrawals and Deposit Outstandings of The Government Saving Bank by Type and District: 2017</t>
  </si>
  <si>
    <t>-</t>
  </si>
  <si>
    <t>ตาราง 18.1</t>
  </si>
  <si>
    <t>Table  18.1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</si>
  <si>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</si>
  <si>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</si>
  <si>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</si>
  <si>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</si>
  <si>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</si>
  <si>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</si>
  <si>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</si>
  <si>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</si>
  <si>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</si>
  <si>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</si>
  <si>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</si>
  <si>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</si>
  <si>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</si>
  <si>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</si>
  <si>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</si>
  <si>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</si>
  <si>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</si>
  <si>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</si>
  <si>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</si>
  <si>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</si>
  <si>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</si>
  <si>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</si>
  <si>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</si>
  <si>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</si>
  <si>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</si>
  <si>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</si>
  <si>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</si>
  <si>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</si>
  <si>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</si>
  <si>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</si>
  <si>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</si>
  <si>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</si>
  <si>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</si>
  <si>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</si>
  <si>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</si>
  <si>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</si>
  <si>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</si>
  <si>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</si>
  <si>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</si>
  <si>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</si>
  <si>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</si>
  <si>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Bungkarn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</si>
  <si>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</si>
  <si>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 Region: 2017</t>
  </si>
  <si>
    <t>(ล้านบาท  Million Baht)</t>
  </si>
  <si>
    <t>(ล้านบาท : Million Baht)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</si>
  <si>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</si>
  <si>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</si>
  <si>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</si>
  <si>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</si>
  <si>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</si>
  <si>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</si>
  <si>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</si>
  <si>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</si>
  <si>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</si>
  <si>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</si>
  <si>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ตาราง 18.2  </t>
  </si>
  <si>
    <t>Table 18.2</t>
  </si>
  <si>
    <t>เงินรับฝาก และเงินให้สินเชื่อของธนาคารพาณิชย์ พ.ศ. 2550 - 2560</t>
  </si>
  <si>
    <t>2560 (2017)</t>
  </si>
  <si>
    <t>Table 18.4</t>
  </si>
  <si>
    <t xml:space="preserve">     ที่มา:  สำนักงานสหกรณ์จังหวัดนครราชสีมา</t>
  </si>
  <si>
    <t xml:space="preserve"> Source:  Nakhon Ratchasima  Provincial Cooperative Office</t>
  </si>
  <si>
    <t xml:space="preserve">ตาราง 18.4  </t>
  </si>
  <si>
    <t>Table  18.4</t>
  </si>
  <si>
    <t>สหกรณ์ จำแนกตามประเภทสหกรณ์ เป็นรายอำเภอ พ.ศ. 2560</t>
  </si>
  <si>
    <t>Cooperatives by Type of Cooperatives and District: 2017</t>
  </si>
  <si>
    <t>สหกรณ์ จำแนกตามประเภทสหกรณ์ เป็นรายอำเภอ พ.ศ. 2560 (ต่อ)</t>
  </si>
  <si>
    <t>Cooperatives by Type of Cooperatives and District: 2017 (Cont.)</t>
  </si>
  <si>
    <t>Deposits and Credits of Commercial Bank: 2007 - 2017</t>
  </si>
  <si>
    <t>สถิติการรับประกันชีวิต พ.ศ. 2550-2559</t>
  </si>
  <si>
    <t>Statistics of Life Insurance Business: 2007-2016</t>
  </si>
  <si>
    <t xml:space="preserve">ตาราง 18.5   </t>
  </si>
  <si>
    <t>Table 18.5</t>
  </si>
  <si>
    <t xml:space="preserve"> Source:  Bank of Agriculture and Agricultural Cooperatives, Nakhon Ratchasima Province </t>
  </si>
  <si>
    <t xml:space="preserve">     ที่มา:  ธนาคารเพื่อการเกษตรและสหกรณ์การเกษตรจังหวัดนครราชสีมา 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</si>
  <si>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</si>
  <si>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</si>
  <si>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</si>
  <si>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</si>
  <si>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</si>
  <si>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</si>
  <si>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</si>
  <si>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</si>
  <si>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</si>
  <si>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</si>
  <si>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</si>
  <si>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</si>
  <si>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</si>
  <si>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</si>
  <si>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</si>
  <si>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</si>
  <si>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</si>
  <si>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</si>
  <si>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</si>
  <si>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</si>
  <si>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</si>
  <si>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</si>
  <si>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</si>
  <si>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</si>
  <si>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</si>
  <si>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(ล้านบาท  Million Baht)</t>
  </si>
  <si>
    <t>Table  18.6  Loans Operation for Farmer of The Bank for Agriculture and Agricultural Co-Operatives by Type and District: 2016  (Cont.)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</si>
  <si>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2559  (ต่อ)</t>
  </si>
  <si>
    <t xml:space="preserve">  Chum Phuang district</t>
  </si>
  <si>
    <t>i</t>
  </si>
  <si>
    <t xml:space="preserve">            (ล้านบาท  Million Baht)</t>
  </si>
  <si>
    <t>Loans Operation for Farmer of The Bank for Agriculture and Agricultural Co-Operatives by Type and District:2016</t>
  </si>
  <si>
    <t>Table  18.6  Loans Operation for Farmer of The Bank for Agriculture and Agricultural Co-Operatives by Type and District: 2016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</si>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</sst>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_-* #,##0.00_-;\-* #,##0.00_-;_-* &quot;-&quot;_-;_-@_-"/>
    <numFmt numFmtId="191" formatCode="_(* #,##0.00_);_(* \(#,##0.00\);_(* &quot;-&quot;??_);_(@_)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color theme="1"/>
      <name val="Angsana New"/>
      <family val="1"/>
    </font>
    <font>
      <sz val="15"/>
      <color theme="1"/>
      <name val="TH SarabunPSK"/>
      <family val="2"/>
    </font>
    <font>
      <sz val="15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 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16" fillId="0" borderId="0"/>
    <xf numFmtId="0" fontId="21" fillId="0" borderId="0"/>
    <xf numFmtId="18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6" fillId="0" borderId="0"/>
    <xf numFmtId="0" fontId="1" fillId="0" borderId="0"/>
    <xf numFmtId="0" fontId="24" fillId="0" borderId="0"/>
    <xf numFmtId="0" fontId="24" fillId="0" borderId="0"/>
    <xf numFmtId="0" fontId="16" fillId="0" borderId="0"/>
    <xf numFmtId="43" fontId="1" fillId="0" borderId="0" applyFont="0" applyFill="0" applyBorder="0" applyAlignment="0" applyProtection="0"/>
  </cellStyleXfs>
  <cellXfs count="3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8" fillId="0" borderId="0" xfId="0" applyFont="1" applyBorder="1"/>
    <xf numFmtId="0" fontId="7" fillId="0" borderId="1" xfId="0" applyFont="1" applyBorder="1" applyAlignment="1"/>
    <xf numFmtId="0" fontId="7" fillId="0" borderId="0" xfId="0" applyFont="1" applyAlignment="1"/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/>
    <xf numFmtId="0" fontId="6" fillId="0" borderId="11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9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7" xfId="1" applyFont="1" applyBorder="1" applyAlignment="1">
      <alignment horizontal="left" indent="2"/>
    </xf>
    <xf numFmtId="4" fontId="12" fillId="0" borderId="8" xfId="1" applyNumberFormat="1" applyFont="1" applyBorder="1"/>
    <xf numFmtId="4" fontId="12" fillId="0" borderId="6" xfId="1" applyNumberFormat="1" applyFont="1" applyBorder="1"/>
    <xf numFmtId="4" fontId="12" fillId="0" borderId="1" xfId="1" applyNumberFormat="1" applyFont="1" applyBorder="1"/>
    <xf numFmtId="0" fontId="10" fillId="0" borderId="1" xfId="1" applyFont="1" applyBorder="1"/>
    <xf numFmtId="0" fontId="13" fillId="2" borderId="16" xfId="1" applyFont="1" applyFill="1" applyBorder="1" applyAlignment="1">
      <alignment horizontal="left" indent="2"/>
    </xf>
    <xf numFmtId="4" fontId="11" fillId="2" borderId="17" xfId="1" applyNumberFormat="1" applyFont="1" applyFill="1" applyBorder="1" applyAlignment="1">
      <alignment horizontal="center"/>
    </xf>
    <xf numFmtId="4" fontId="11" fillId="2" borderId="18" xfId="1" applyNumberFormat="1" applyFont="1" applyFill="1" applyBorder="1" applyAlignment="1">
      <alignment horizontal="center"/>
    </xf>
    <xf numFmtId="4" fontId="11" fillId="2" borderId="16" xfId="1" applyNumberFormat="1" applyFont="1" applyFill="1" applyBorder="1" applyAlignment="1">
      <alignment horizontal="center"/>
    </xf>
    <xf numFmtId="3" fontId="11" fillId="2" borderId="18" xfId="1" applyNumberFormat="1" applyFont="1" applyFill="1" applyBorder="1" applyAlignment="1">
      <alignment horizontal="center"/>
    </xf>
    <xf numFmtId="0" fontId="13" fillId="2" borderId="17" xfId="1" applyFont="1" applyFill="1" applyBorder="1"/>
    <xf numFmtId="0" fontId="13" fillId="0" borderId="16" xfId="1" applyFont="1" applyBorder="1" applyAlignment="1">
      <alignment horizontal="left" indent="2"/>
    </xf>
    <xf numFmtId="4" fontId="11" fillId="0" borderId="17" xfId="1" applyNumberFormat="1" applyFont="1" applyBorder="1" applyAlignment="1">
      <alignment horizontal="center"/>
    </xf>
    <xf numFmtId="4" fontId="11" fillId="0" borderId="18" xfId="1" applyNumberFormat="1" applyFont="1" applyBorder="1" applyAlignment="1">
      <alignment horizontal="center"/>
    </xf>
    <xf numFmtId="4" fontId="11" fillId="0" borderId="16" xfId="1" applyNumberFormat="1" applyFont="1" applyBorder="1" applyAlignment="1">
      <alignment horizontal="center"/>
    </xf>
    <xf numFmtId="3" fontId="11" fillId="0" borderId="18" xfId="1" applyNumberFormat="1" applyFont="1" applyBorder="1" applyAlignment="1">
      <alignment horizontal="center"/>
    </xf>
    <xf numFmtId="0" fontId="13" fillId="0" borderId="17" xfId="1" applyFont="1" applyBorder="1"/>
    <xf numFmtId="0" fontId="14" fillId="0" borderId="19" xfId="1" applyFont="1" applyBorder="1" applyAlignment="1">
      <alignment horizontal="center"/>
    </xf>
    <xf numFmtId="4" fontId="15" fillId="0" borderId="20" xfId="1" applyNumberFormat="1" applyFont="1" applyBorder="1" applyAlignment="1">
      <alignment horizontal="center"/>
    </xf>
    <xf numFmtId="43" fontId="15" fillId="0" borderId="20" xfId="2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14" fillId="0" borderId="8" xfId="1" applyFont="1" applyBorder="1" applyAlignment="1">
      <alignment horizontal="center" vertical="center"/>
    </xf>
    <xf numFmtId="0" fontId="14" fillId="0" borderId="6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9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188" fontId="9" fillId="3" borderId="22" xfId="2" applyNumberFormat="1" applyFont="1" applyFill="1" applyBorder="1" applyAlignment="1" applyProtection="1">
      <alignment horizontal="right"/>
    </xf>
    <xf numFmtId="189" fontId="9" fillId="3" borderId="22" xfId="2" applyNumberFormat="1" applyFont="1" applyFill="1" applyBorder="1" applyAlignment="1" applyProtection="1">
      <alignment horizontal="right"/>
    </xf>
    <xf numFmtId="188" fontId="7" fillId="3" borderId="22" xfId="2" applyNumberFormat="1" applyFont="1" applyFill="1" applyBorder="1" applyAlignment="1" applyProtection="1">
      <alignment horizontal="right"/>
    </xf>
    <xf numFmtId="189" fontId="7" fillId="3" borderId="22" xfId="2" applyNumberFormat="1" applyFont="1" applyFill="1" applyBorder="1" applyAlignment="1" applyProtection="1">
      <alignment horizontal="right"/>
    </xf>
    <xf numFmtId="188" fontId="7" fillId="3" borderId="0" xfId="2" applyNumberFormat="1" applyFont="1" applyFill="1" applyBorder="1" applyAlignment="1">
      <alignment horizontal="right" vertical="center"/>
    </xf>
    <xf numFmtId="189" fontId="7" fillId="3" borderId="0" xfId="2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Alignment="1">
      <alignment vertical="top"/>
    </xf>
    <xf numFmtId="0" fontId="5" fillId="0" borderId="9" xfId="0" applyFont="1" applyBorder="1" applyAlignment="1"/>
    <xf numFmtId="0" fontId="8" fillId="0" borderId="0" xfId="0" applyFont="1" applyBorder="1" applyAlignment="1">
      <alignment horizontal="right"/>
    </xf>
    <xf numFmtId="0" fontId="8" fillId="0" borderId="0" xfId="0" applyFont="1" applyAlignment="1"/>
    <xf numFmtId="0" fontId="8" fillId="0" borderId="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3" applyFont="1"/>
    <xf numFmtId="0" fontId="5" fillId="0" borderId="0" xfId="3" applyFont="1" applyBorder="1"/>
    <xf numFmtId="0" fontId="6" fillId="0" borderId="0" xfId="3" applyFont="1" applyBorder="1"/>
    <xf numFmtId="0" fontId="8" fillId="0" borderId="0" xfId="0" applyFont="1" applyAlignment="1">
      <alignment horizontal="left"/>
    </xf>
    <xf numFmtId="188" fontId="8" fillId="0" borderId="4" xfId="2" applyNumberFormat="1" applyFont="1" applyBorder="1"/>
    <xf numFmtId="188" fontId="8" fillId="0" borderId="4" xfId="2" applyNumberFormat="1" applyFont="1" applyBorder="1" applyAlignment="1">
      <alignment horizontal="right"/>
    </xf>
    <xf numFmtId="188" fontId="8" fillId="0" borderId="0" xfId="2" applyNumberFormat="1" applyFont="1"/>
    <xf numFmtId="188" fontId="8" fillId="0" borderId="5" xfId="2" applyNumberFormat="1" applyFont="1" applyBorder="1"/>
    <xf numFmtId="188" fontId="8" fillId="0" borderId="9" xfId="2" applyNumberFormat="1" applyFont="1" applyBorder="1"/>
    <xf numFmtId="188" fontId="8" fillId="0" borderId="0" xfId="2" applyNumberFormat="1" applyFont="1" applyBorder="1"/>
    <xf numFmtId="188" fontId="8" fillId="0" borderId="5" xfId="2" applyNumberFormat="1" applyFont="1" applyBorder="1" applyAlignment="1">
      <alignment horizontal="right"/>
    </xf>
    <xf numFmtId="188" fontId="8" fillId="0" borderId="6" xfId="2" applyNumberFormat="1" applyFont="1" applyBorder="1"/>
    <xf numFmtId="188" fontId="8" fillId="0" borderId="8" xfId="2" applyNumberFormat="1" applyFont="1" applyBorder="1"/>
    <xf numFmtId="0" fontId="4" fillId="0" borderId="4" xfId="0" applyFont="1" applyBorder="1" applyAlignment="1">
      <alignment horizontal="right"/>
    </xf>
    <xf numFmtId="0" fontId="7" fillId="0" borderId="0" xfId="0" applyFont="1" applyBorder="1" applyAlignment="1"/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8" fillId="0" borderId="9" xfId="0" applyFont="1" applyBorder="1" applyAlignment="1">
      <alignment horizontal="right"/>
    </xf>
    <xf numFmtId="0" fontId="7" fillId="0" borderId="3" xfId="0" applyFont="1" applyBorder="1"/>
    <xf numFmtId="188" fontId="8" fillId="0" borderId="0" xfId="4" applyNumberFormat="1" applyFont="1" applyBorder="1"/>
    <xf numFmtId="188" fontId="8" fillId="0" borderId="4" xfId="4" applyNumberFormat="1" applyFont="1" applyBorder="1"/>
    <xf numFmtId="188" fontId="8" fillId="0" borderId="5" xfId="4" applyNumberFormat="1" applyFont="1" applyBorder="1"/>
    <xf numFmtId="188" fontId="8" fillId="0" borderId="7" xfId="4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3" applyFont="1"/>
    <xf numFmtId="0" fontId="7" fillId="0" borderId="0" xfId="3" applyFont="1"/>
    <xf numFmtId="0" fontId="7" fillId="0" borderId="0" xfId="3" applyFont="1" applyBorder="1"/>
    <xf numFmtId="0" fontId="8" fillId="0" borderId="0" xfId="3" applyFont="1" applyBorder="1"/>
    <xf numFmtId="0" fontId="8" fillId="0" borderId="1" xfId="3" applyFont="1" applyBorder="1"/>
    <xf numFmtId="0" fontId="8" fillId="0" borderId="6" xfId="3" applyFont="1" applyBorder="1"/>
    <xf numFmtId="0" fontId="8" fillId="0" borderId="7" xfId="3" applyFont="1" applyBorder="1"/>
    <xf numFmtId="0" fontId="8" fillId="0" borderId="0" xfId="3" applyFont="1" applyAlignment="1"/>
    <xf numFmtId="0" fontId="17" fillId="0" borderId="0" xfId="3" applyFont="1" applyAlignment="1"/>
    <xf numFmtId="0" fontId="17" fillId="0" borderId="0" xfId="3" applyFont="1" applyBorder="1" applyAlignment="1"/>
    <xf numFmtId="190" fontId="17" fillId="0" borderId="4" xfId="4" applyNumberFormat="1" applyFont="1" applyBorder="1" applyAlignment="1">
      <alignment horizontal="right"/>
    </xf>
    <xf numFmtId="190" fontId="17" fillId="0" borderId="5" xfId="4" applyNumberFormat="1" applyFont="1" applyBorder="1" applyAlignment="1">
      <alignment horizontal="right"/>
    </xf>
    <xf numFmtId="190" fontId="17" fillId="0" borderId="4" xfId="4" applyNumberFormat="1" applyFont="1" applyBorder="1" applyAlignment="1"/>
    <xf numFmtId="190" fontId="17" fillId="0" borderId="5" xfId="4" applyNumberFormat="1" applyFont="1" applyBorder="1" applyAlignment="1"/>
    <xf numFmtId="190" fontId="17" fillId="0" borderId="0" xfId="4" applyNumberFormat="1" applyFont="1" applyAlignment="1"/>
    <xf numFmtId="0" fontId="7" fillId="0" borderId="0" xfId="3" applyFont="1" applyBorder="1" applyAlignment="1">
      <alignment horizontal="left"/>
    </xf>
    <xf numFmtId="0" fontId="8" fillId="0" borderId="0" xfId="3" applyFont="1" applyBorder="1" applyAlignment="1"/>
    <xf numFmtId="0" fontId="18" fillId="0" borderId="0" xfId="3" applyFont="1" applyAlignment="1"/>
    <xf numFmtId="0" fontId="9" fillId="0" borderId="0" xfId="3" applyFont="1" applyAlignment="1"/>
    <xf numFmtId="0" fontId="9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8" fillId="0" borderId="4" xfId="3" applyFont="1" applyBorder="1"/>
    <xf numFmtId="0" fontId="18" fillId="0" borderId="0" xfId="3" applyFont="1" applyBorder="1"/>
    <xf numFmtId="0" fontId="18" fillId="0" borderId="5" xfId="3" applyFont="1" applyBorder="1"/>
    <xf numFmtId="0" fontId="18" fillId="0" borderId="0" xfId="3" applyFont="1"/>
    <xf numFmtId="0" fontId="6" fillId="0" borderId="9" xfId="3" applyFont="1" applyBorder="1"/>
    <xf numFmtId="0" fontId="17" fillId="0" borderId="0" xfId="3" applyFont="1" applyBorder="1"/>
    <xf numFmtId="0" fontId="17" fillId="0" borderId="1" xfId="3" applyFont="1" applyBorder="1"/>
    <xf numFmtId="0" fontId="17" fillId="0" borderId="7" xfId="3" applyFont="1" applyBorder="1"/>
    <xf numFmtId="0" fontId="17" fillId="0" borderId="8" xfId="3" applyFont="1" applyBorder="1" applyAlignment="1">
      <alignment horizontal="center"/>
    </xf>
    <xf numFmtId="0" fontId="17" fillId="0" borderId="6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7" fillId="0" borderId="5" xfId="3" applyFont="1" applyBorder="1"/>
    <xf numFmtId="0" fontId="17" fillId="0" borderId="9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8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/>
    <xf numFmtId="0" fontId="17" fillId="0" borderId="10" xfId="3" applyFont="1" applyBorder="1"/>
    <xf numFmtId="0" fontId="17" fillId="0" borderId="11" xfId="3" applyFont="1" applyBorder="1"/>
    <xf numFmtId="0" fontId="19" fillId="0" borderId="0" xfId="3" applyFont="1"/>
    <xf numFmtId="0" fontId="19" fillId="0" borderId="0" xfId="3" applyFont="1" applyAlignment="1">
      <alignment horizontal="left" vertical="center"/>
    </xf>
    <xf numFmtId="0" fontId="19" fillId="0" borderId="0" xfId="3" applyFont="1" applyBorder="1" applyAlignment="1">
      <alignment horizontal="right"/>
    </xf>
    <xf numFmtId="0" fontId="19" fillId="0" borderId="1" xfId="3" applyFont="1" applyBorder="1"/>
    <xf numFmtId="0" fontId="19" fillId="0" borderId="0" xfId="3" applyFont="1" applyBorder="1"/>
    <xf numFmtId="0" fontId="4" fillId="0" borderId="0" xfId="3" applyFont="1" applyBorder="1" applyAlignment="1">
      <alignment horizontal="left"/>
    </xf>
    <xf numFmtId="187" fontId="4" fillId="0" borderId="0" xfId="3" quotePrefix="1" applyNumberFormat="1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9" fillId="0" borderId="0" xfId="3" applyFont="1"/>
    <xf numFmtId="0" fontId="17" fillId="0" borderId="0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/>
    <xf numFmtId="0" fontId="17" fillId="0" borderId="5" xfId="3" applyFont="1" applyBorder="1" applyAlignment="1"/>
    <xf numFmtId="190" fontId="17" fillId="0" borderId="0" xfId="3" applyNumberFormat="1" applyFont="1" applyBorder="1" applyAlignment="1"/>
    <xf numFmtId="190" fontId="17" fillId="0" borderId="4" xfId="3" applyNumberFormat="1" applyFont="1" applyBorder="1" applyAlignment="1"/>
    <xf numFmtId="190" fontId="17" fillId="0" borderId="5" xfId="3" applyNumberFormat="1" applyFont="1" applyBorder="1" applyAlignment="1">
      <alignment horizontal="right"/>
    </xf>
    <xf numFmtId="190" fontId="17" fillId="0" borderId="0" xfId="3" applyNumberFormat="1" applyFont="1" applyAlignment="1"/>
    <xf numFmtId="190" fontId="17" fillId="0" borderId="5" xfId="3" applyNumberFormat="1" applyFont="1" applyBorder="1" applyAlignment="1"/>
    <xf numFmtId="0" fontId="9" fillId="0" borderId="9" xfId="3" applyFont="1" applyBorder="1" applyAlignment="1">
      <alignment horizontal="center"/>
    </xf>
    <xf numFmtId="0" fontId="20" fillId="0" borderId="0" xfId="3" applyFont="1" applyBorder="1" applyAlignment="1"/>
    <xf numFmtId="190" fontId="17" fillId="0" borderId="4" xfId="4" applyNumberFormat="1" applyFont="1" applyBorder="1" applyAlignment="1">
      <alignment horizontal="center"/>
    </xf>
    <xf numFmtId="190" fontId="17" fillId="0" borderId="5" xfId="4" applyNumberFormat="1" applyFont="1" applyBorder="1" applyAlignment="1">
      <alignment horizontal="center"/>
    </xf>
    <xf numFmtId="190" fontId="17" fillId="0" borderId="0" xfId="4" applyNumberFormat="1" applyFont="1" applyBorder="1" applyAlignment="1">
      <alignment horizontal="center"/>
    </xf>
    <xf numFmtId="190" fontId="17" fillId="0" borderId="0" xfId="4" applyNumberFormat="1" applyFont="1" applyAlignment="1">
      <alignment horizontal="center"/>
    </xf>
    <xf numFmtId="190" fontId="17" fillId="0" borderId="2" xfId="4" applyNumberFormat="1" applyFont="1" applyBorder="1" applyAlignment="1">
      <alignment horizontal="right"/>
    </xf>
    <xf numFmtId="190" fontId="18" fillId="0" borderId="4" xfId="4" applyNumberFormat="1" applyFont="1" applyBorder="1" applyAlignment="1">
      <alignment horizontal="center"/>
    </xf>
    <xf numFmtId="190" fontId="18" fillId="0" borderId="9" xfId="3" applyNumberFormat="1" applyFont="1" applyBorder="1" applyAlignment="1">
      <alignment horizontal="center"/>
    </xf>
    <xf numFmtId="0" fontId="19" fillId="0" borderId="0" xfId="3" applyFont="1" applyAlignment="1">
      <alignment horizontal="right" vertical="center"/>
    </xf>
    <xf numFmtId="0" fontId="8" fillId="0" borderId="0" xfId="14" applyFont="1"/>
    <xf numFmtId="0" fontId="8" fillId="0" borderId="0" xfId="14" applyFont="1" applyBorder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7" xfId="14" applyFont="1" applyBorder="1"/>
    <xf numFmtId="0" fontId="6" fillId="0" borderId="8" xfId="14" applyFont="1" applyBorder="1"/>
    <xf numFmtId="0" fontId="6" fillId="0" borderId="6" xfId="14" applyFont="1" applyBorder="1"/>
    <xf numFmtId="0" fontId="6" fillId="0" borderId="5" xfId="14" applyFont="1" applyBorder="1"/>
    <xf numFmtId="0" fontId="6" fillId="0" borderId="9" xfId="14" applyFont="1" applyBorder="1"/>
    <xf numFmtId="0" fontId="6" fillId="0" borderId="4" xfId="14" applyFont="1" applyBorder="1"/>
    <xf numFmtId="0" fontId="6" fillId="0" borderId="0" xfId="18" applyFont="1"/>
    <xf numFmtId="0" fontId="6" fillId="0" borderId="0" xfId="18" applyFont="1" applyAlignment="1">
      <alignment vertical="center"/>
    </xf>
    <xf numFmtId="0" fontId="6" fillId="0" borderId="0" xfId="18" applyFont="1" applyBorder="1"/>
    <xf numFmtId="0" fontId="6" fillId="0" borderId="5" xfId="18" applyFont="1" applyBorder="1"/>
    <xf numFmtId="41" fontId="6" fillId="0" borderId="5" xfId="19" applyNumberFormat="1" applyFont="1" applyBorder="1" applyAlignment="1"/>
    <xf numFmtId="41" fontId="6" fillId="0" borderId="0" xfId="19" applyNumberFormat="1" applyFont="1" applyAlignment="1"/>
    <xf numFmtId="41" fontId="6" fillId="0" borderId="9" xfId="19" applyNumberFormat="1" applyFont="1" applyBorder="1" applyAlignment="1"/>
    <xf numFmtId="41" fontId="6" fillId="0" borderId="4" xfId="19" applyNumberFormat="1" applyFont="1" applyBorder="1" applyAlignment="1"/>
    <xf numFmtId="0" fontId="6" fillId="0" borderId="0" xfId="18" applyFont="1" applyBorder="1" applyAlignment="1">
      <alignment vertical="center"/>
    </xf>
    <xf numFmtId="0" fontId="5" fillId="0" borderId="0" xfId="18" applyFont="1"/>
    <xf numFmtId="0" fontId="5" fillId="0" borderId="0" xfId="18" applyFont="1" applyBorder="1"/>
    <xf numFmtId="188" fontId="5" fillId="0" borderId="5" xfId="19" applyNumberFormat="1" applyFont="1" applyBorder="1"/>
    <xf numFmtId="188" fontId="5" fillId="0" borderId="0" xfId="19" applyNumberFormat="1" applyFont="1"/>
    <xf numFmtId="188" fontId="5" fillId="0" borderId="9" xfId="19" applyNumberFormat="1" applyFont="1" applyBorder="1"/>
    <xf numFmtId="188" fontId="5" fillId="0" borderId="4" xfId="19" applyNumberFormat="1" applyFont="1" applyBorder="1"/>
    <xf numFmtId="0" fontId="5" fillId="0" borderId="0" xfId="14" applyFont="1" applyBorder="1"/>
    <xf numFmtId="0" fontId="5" fillId="0" borderId="0" xfId="14" applyFont="1"/>
    <xf numFmtId="0" fontId="6" fillId="0" borderId="0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1" xfId="14" applyFont="1" applyBorder="1" applyAlignment="1">
      <alignment horizontal="center"/>
    </xf>
    <xf numFmtId="0" fontId="6" fillId="0" borderId="6" xfId="14" applyFont="1" applyBorder="1" applyAlignment="1">
      <alignment horizontal="center"/>
    </xf>
    <xf numFmtId="0" fontId="6" fillId="0" borderId="5" xfId="14" applyFont="1" applyBorder="1" applyAlignment="1">
      <alignment horizontal="center"/>
    </xf>
    <xf numFmtId="0" fontId="6" fillId="0" borderId="4" xfId="14" applyFont="1" applyBorder="1" applyAlignment="1">
      <alignment horizontal="center"/>
    </xf>
    <xf numFmtId="0" fontId="6" fillId="0" borderId="2" xfId="14" applyFont="1" applyBorder="1"/>
    <xf numFmtId="0" fontId="6" fillId="0" borderId="0" xfId="14" applyFont="1" applyAlignment="1">
      <alignment horizontal="center"/>
    </xf>
    <xf numFmtId="0" fontId="6" fillId="0" borderId="2" xfId="14" applyFont="1" applyBorder="1" applyAlignment="1">
      <alignment horizontal="center"/>
    </xf>
    <xf numFmtId="0" fontId="7" fillId="0" borderId="0" xfId="14" applyFont="1"/>
    <xf numFmtId="0" fontId="7" fillId="0" borderId="0" xfId="14" applyFont="1" applyAlignment="1">
      <alignment horizontal="right"/>
    </xf>
    <xf numFmtId="0" fontId="6" fillId="0" borderId="0" xfId="14" applyFont="1" applyAlignment="1">
      <alignment horizontal="right"/>
    </xf>
    <xf numFmtId="0" fontId="7" fillId="0" borderId="0" xfId="14" applyFont="1" applyBorder="1" applyAlignment="1">
      <alignment horizontal="right"/>
    </xf>
    <xf numFmtId="0" fontId="8" fillId="0" borderId="0" xfId="14" applyFont="1" applyAlignment="1">
      <alignment horizontal="right"/>
    </xf>
    <xf numFmtId="0" fontId="7" fillId="0" borderId="1" xfId="14" applyFont="1" applyBorder="1"/>
    <xf numFmtId="0" fontId="5" fillId="0" borderId="0" xfId="14" applyFont="1" applyBorder="1" applyAlignment="1">
      <alignment horizontal="left"/>
    </xf>
    <xf numFmtId="187" fontId="4" fillId="0" borderId="0" xfId="14" applyNumberFormat="1" applyFont="1" applyAlignment="1">
      <alignment horizontal="center"/>
    </xf>
    <xf numFmtId="0" fontId="4" fillId="0" borderId="0" xfId="14" applyFont="1" applyBorder="1" applyAlignment="1">
      <alignment horizontal="left"/>
    </xf>
    <xf numFmtId="0" fontId="4" fillId="0" borderId="0" xfId="14" applyFont="1"/>
    <xf numFmtId="0" fontId="4" fillId="0" borderId="0" xfId="14" applyFont="1" applyBorder="1"/>
    <xf numFmtId="0" fontId="4" fillId="0" borderId="0" xfId="14" applyFont="1" applyAlignment="1">
      <alignment horizontal="left"/>
    </xf>
    <xf numFmtId="0" fontId="6" fillId="0" borderId="3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0" fontId="16" fillId="0" borderId="0" xfId="14" applyAlignment="1">
      <alignment horizontal="center" vertical="center" wrapText="1"/>
    </xf>
    <xf numFmtId="0" fontId="16" fillId="0" borderId="9" xfId="14" applyBorder="1" applyAlignment="1">
      <alignment horizontal="center" vertical="center" wrapText="1"/>
    </xf>
    <xf numFmtId="0" fontId="16" fillId="0" borderId="1" xfId="14" applyBorder="1" applyAlignment="1">
      <alignment horizontal="center" vertical="center" wrapText="1"/>
    </xf>
    <xf numFmtId="0" fontId="16" fillId="0" borderId="8" xfId="14" applyBorder="1" applyAlignment="1">
      <alignment horizontal="center" vertical="center" wrapText="1"/>
    </xf>
    <xf numFmtId="0" fontId="6" fillId="0" borderId="12" xfId="14" applyFont="1" applyBorder="1" applyAlignment="1">
      <alignment horizontal="center"/>
    </xf>
    <xf numFmtId="0" fontId="6" fillId="0" borderId="13" xfId="14" applyFont="1" applyBorder="1" applyAlignment="1">
      <alignment horizontal="center"/>
    </xf>
    <xf numFmtId="0" fontId="6" fillId="0" borderId="14" xfId="14" applyFont="1" applyBorder="1" applyAlignment="1">
      <alignment horizontal="center"/>
    </xf>
    <xf numFmtId="0" fontId="6" fillId="0" borderId="10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5" xfId="14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6" fillId="0" borderId="7" xfId="14" applyFont="1" applyBorder="1" applyAlignment="1">
      <alignment vertical="center"/>
    </xf>
    <xf numFmtId="0" fontId="6" fillId="0" borderId="1" xfId="14" applyFont="1" applyBorder="1" applyAlignment="1">
      <alignment vertical="center"/>
    </xf>
    <xf numFmtId="0" fontId="6" fillId="0" borderId="5" xfId="14" applyFont="1" applyBorder="1" applyAlignment="1">
      <alignment horizontal="center"/>
    </xf>
    <xf numFmtId="0" fontId="6" fillId="0" borderId="9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8" xfId="14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6" fillId="0" borderId="0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17" fillId="0" borderId="7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shrinkToFit="1"/>
    </xf>
    <xf numFmtId="0" fontId="5" fillId="0" borderId="0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17" fillId="0" borderId="10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20">
    <cellStyle name="Comma 10" xfId="5"/>
    <cellStyle name="Comma 2" xfId="6"/>
    <cellStyle name="Comma 3" xfId="7"/>
    <cellStyle name="Normal 2" xfId="8"/>
    <cellStyle name="Normal 3" xfId="9"/>
    <cellStyle name="เครื่องหมายจุลภาค 2" xfId="2"/>
    <cellStyle name="เครื่องหมายจุลภาค 2 2" xfId="4"/>
    <cellStyle name="เครื่องหมายจุลภาค 2 3" xfId="19"/>
    <cellStyle name="เครื่องหมายจุลภาค 3" xfId="10"/>
    <cellStyle name="เครื่องหมายจุลภาค 4" xfId="11"/>
    <cellStyle name="เครื่องหมายจุลภาค 5" xfId="12"/>
    <cellStyle name="ปกติ" xfId="0" builtinId="0"/>
    <cellStyle name="ปกติ 2" xfId="1"/>
    <cellStyle name="ปกติ 3" xfId="3"/>
    <cellStyle name="ปกติ 3 2" xfId="18"/>
    <cellStyle name="ปกติ 4" xfId="13"/>
    <cellStyle name="ปกติ 4 2" xfId="14"/>
    <cellStyle name="ปกติ 4 3" xfId="15"/>
    <cellStyle name="ปกติ 6" xfId="16"/>
    <cellStyle name="ปกติ 8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1348740</xdr:colOff>
      <xdr:row>15</xdr:row>
      <xdr:rowOff>7620</xdr:rowOff>
    </xdr:from>
    <xdr:to>
      <xdr:col>14</xdr:col>
      <xdr:colOff>274320</xdr:colOff>
      <xdr:row>27</xdr:row>
      <xdr:rowOff>121920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0600" y="3383280"/>
          <a:ext cx="48768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38100</xdr:colOff>
      <xdr:row>29</xdr:row>
      <xdr:rowOff>22860</xdr:rowOff>
    </xdr:from>
    <xdr:to>
      <xdr:col>14</xdr:col>
      <xdr:colOff>320040</xdr:colOff>
      <xdr:row>40</xdr:row>
      <xdr:rowOff>30480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4900" y="6530340"/>
          <a:ext cx="419100" cy="2392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51418</xdr:colOff>
      <xdr:row>0</xdr:row>
      <xdr:rowOff>2</xdr:rowOff>
    </xdr:from>
    <xdr:to>
      <xdr:col>9</xdr:col>
      <xdr:colOff>777242</xdr:colOff>
      <xdr:row>22</xdr:row>
      <xdr:rowOff>76201</xdr:rowOff>
    </xdr:to>
    <xdr:grpSp>
      <xdr:nvGrpSpPr>
        <xdr:cNvPr id="9" name="Group 8"/>
        <xdr:cNvGrpSpPr/>
      </xdr:nvGrpSpPr>
      <xdr:grpSpPr>
        <a:xfrm>
          <a:off x="7930498" y="2"/>
          <a:ext cx="725824" cy="6111239"/>
          <a:chOff x="9501573" y="2390776"/>
          <a:chExt cx="313833" cy="3167531"/>
        </a:xfrm>
      </xdr:grpSpPr>
      <xdr:grpSp>
        <xdr:nvGrpSpPr>
          <xdr:cNvPr id="6" name="Group 5"/>
          <xdr:cNvGrpSpPr/>
        </xdr:nvGrpSpPr>
        <xdr:grpSpPr>
          <a:xfrm>
            <a:off x="9526185" y="5219794"/>
            <a:ext cx="289221" cy="338513"/>
            <a:chOff x="9488085" y="5372198"/>
            <a:chExt cx="289221" cy="338513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27547" y="5412595"/>
              <a:ext cx="290156" cy="20936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474438" y="5434203"/>
              <a:ext cx="290155" cy="26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1573" y="2390776"/>
            <a:ext cx="294060" cy="2829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22860</xdr:colOff>
      <xdr:row>0</xdr:row>
      <xdr:rowOff>7620</xdr:rowOff>
    </xdr:from>
    <xdr:to>
      <xdr:col>23</xdr:col>
      <xdr:colOff>160020</xdr:colOff>
      <xdr:row>10</xdr:row>
      <xdr:rowOff>228600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40340" y="7620"/>
          <a:ext cx="441960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91440</xdr:colOff>
      <xdr:row>47</xdr:row>
      <xdr:rowOff>175260</xdr:rowOff>
    </xdr:from>
    <xdr:to>
      <xdr:col>23</xdr:col>
      <xdr:colOff>182880</xdr:colOff>
      <xdr:row>62</xdr:row>
      <xdr:rowOff>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08920" y="11178540"/>
          <a:ext cx="396240" cy="28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10" name="Group 10"/>
        <xdr:cNvGrpSpPr/>
      </xdr:nvGrpSpPr>
      <xdr:grpSpPr>
        <a:xfrm>
          <a:off x="10241280" y="10020300"/>
          <a:ext cx="405765" cy="4163294"/>
          <a:chOff x="9467850" y="2238375"/>
          <a:chExt cx="428625" cy="4144244"/>
        </a:xfrm>
      </xdr:grpSpPr>
      <xdr:grpSp>
        <xdr:nvGrpSpPr>
          <xdr:cNvPr id="11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15" name="Group 11"/>
        <xdr:cNvGrpSpPr/>
      </xdr:nvGrpSpPr>
      <xdr:grpSpPr>
        <a:xfrm>
          <a:off x="10378440" y="15240"/>
          <a:ext cx="506731" cy="4073208"/>
          <a:chOff x="9639299" y="104780"/>
          <a:chExt cx="447676" cy="4143370"/>
        </a:xfrm>
      </xdr:grpSpPr>
      <xdr:grpSp>
        <xdr:nvGrpSpPr>
          <xdr:cNvPr id="16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8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28</xdr:row>
      <xdr:rowOff>68580</xdr:rowOff>
    </xdr:from>
    <xdr:to>
      <xdr:col>15</xdr:col>
      <xdr:colOff>41910</xdr:colOff>
      <xdr:row>46</xdr:row>
      <xdr:rowOff>53340</xdr:rowOff>
    </xdr:to>
    <xdr:grpSp>
      <xdr:nvGrpSpPr>
        <xdr:cNvPr id="21" name="Group 11"/>
        <xdr:cNvGrpSpPr/>
      </xdr:nvGrpSpPr>
      <xdr:grpSpPr>
        <a:xfrm>
          <a:off x="8793480" y="6416040"/>
          <a:ext cx="400050" cy="3901440"/>
          <a:chOff x="9639300" y="85725"/>
          <a:chExt cx="447675" cy="4162425"/>
        </a:xfrm>
      </xdr:grpSpPr>
      <xdr:grpSp>
        <xdr:nvGrpSpPr>
          <xdr:cNvPr id="22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4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190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45720</xdr:colOff>
      <xdr:row>8</xdr:row>
      <xdr:rowOff>30480</xdr:rowOff>
    </xdr:from>
    <xdr:to>
      <xdr:col>14</xdr:col>
      <xdr:colOff>314325</xdr:colOff>
      <xdr:row>26</xdr:row>
      <xdr:rowOff>178034</xdr:rowOff>
    </xdr:to>
    <xdr:grpSp>
      <xdr:nvGrpSpPr>
        <xdr:cNvPr id="26" name="Group 10"/>
        <xdr:cNvGrpSpPr/>
      </xdr:nvGrpSpPr>
      <xdr:grpSpPr>
        <a:xfrm>
          <a:off x="8732520" y="1905000"/>
          <a:ext cx="405765" cy="4163294"/>
          <a:chOff x="9467850" y="2238375"/>
          <a:chExt cx="428625" cy="4144244"/>
        </a:xfrm>
      </xdr:grpSpPr>
      <xdr:grpSp>
        <xdr:nvGrpSpPr>
          <xdr:cNvPr id="27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2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189</a:t>
              </a:r>
              <a:endParaRPr lang="th-TH" sz="1100"/>
            </a:p>
          </xdr:txBody>
        </xdr:sp>
      </xdr:grpSp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72525" y="7458075"/>
          <a:ext cx="5810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1127760</xdr:colOff>
      <xdr:row>20</xdr:row>
      <xdr:rowOff>22860</xdr:rowOff>
    </xdr:from>
    <xdr:to>
      <xdr:col>19</xdr:col>
      <xdr:colOff>403860</xdr:colOff>
      <xdr:row>34</xdr:row>
      <xdr:rowOff>121920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4564380"/>
          <a:ext cx="563880" cy="2872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4545" y="9210675"/>
          <a:ext cx="314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1034413</xdr:colOff>
      <xdr:row>8</xdr:row>
      <xdr:rowOff>83820</xdr:rowOff>
    </xdr:from>
    <xdr:to>
      <xdr:col>19</xdr:col>
      <xdr:colOff>152396</xdr:colOff>
      <xdr:row>35</xdr:row>
      <xdr:rowOff>92309</xdr:rowOff>
    </xdr:to>
    <xdr:grpSp>
      <xdr:nvGrpSpPr>
        <xdr:cNvPr id="3" name="Group 10"/>
        <xdr:cNvGrpSpPr/>
      </xdr:nvGrpSpPr>
      <xdr:grpSpPr>
        <a:xfrm>
          <a:off x="9568813" y="2004060"/>
          <a:ext cx="405763" cy="5632049"/>
          <a:chOff x="9467850" y="2238375"/>
          <a:chExt cx="428623" cy="4144244"/>
        </a:xfrm>
      </xdr:grpSpPr>
      <xdr:grpSp>
        <xdr:nvGrpSpPr>
          <xdr:cNvPr id="4" name="Group 7"/>
          <xdr:cNvGrpSpPr/>
        </xdr:nvGrpSpPr>
        <xdr:grpSpPr>
          <a:xfrm>
            <a:off x="9525801" y="5915025"/>
            <a:ext cx="370672" cy="467594"/>
            <a:chOff x="9554376" y="6219829"/>
            <a:chExt cx="370672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625597" y="6204952"/>
              <a:ext cx="26552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489817" y="6284388"/>
              <a:ext cx="467594" cy="3384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187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121920</xdr:colOff>
      <xdr:row>0</xdr:row>
      <xdr:rowOff>38100</xdr:rowOff>
    </xdr:from>
    <xdr:to>
      <xdr:col>19</xdr:col>
      <xdr:colOff>441960</xdr:colOff>
      <xdr:row>10</xdr:row>
      <xdr:rowOff>213360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9200" y="38100"/>
          <a:ext cx="457200" cy="2453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110498</xdr:colOff>
      <xdr:row>0</xdr:row>
      <xdr:rowOff>188639</xdr:rowOff>
    </xdr:from>
    <xdr:to>
      <xdr:col>19</xdr:col>
      <xdr:colOff>373412</xdr:colOff>
      <xdr:row>23</xdr:row>
      <xdr:rowOff>123826</xdr:rowOff>
    </xdr:to>
    <xdr:grpSp>
      <xdr:nvGrpSpPr>
        <xdr:cNvPr id="12" name="Group 11"/>
        <xdr:cNvGrpSpPr/>
      </xdr:nvGrpSpPr>
      <xdr:grpSpPr>
        <a:xfrm>
          <a:off x="8827778" y="188639"/>
          <a:ext cx="400074" cy="5421587"/>
          <a:chOff x="9553989" y="-37439"/>
          <a:chExt cx="490335" cy="4036851"/>
        </a:xfrm>
      </xdr:grpSpPr>
      <xdr:grpSp>
        <xdr:nvGrpSpPr>
          <xdr:cNvPr id="8" name="Group 7"/>
          <xdr:cNvGrpSpPr/>
        </xdr:nvGrpSpPr>
        <xdr:grpSpPr>
          <a:xfrm>
            <a:off x="9553989" y="-37439"/>
            <a:ext cx="443141" cy="376679"/>
            <a:chOff x="9915939" y="114961"/>
            <a:chExt cx="443141" cy="37667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8092" y="62808"/>
              <a:ext cx="338835" cy="44314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73306" y="169556"/>
              <a:ext cx="363528" cy="2806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63325" y="284662"/>
            <a:ext cx="380999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1417320</xdr:colOff>
      <xdr:row>14</xdr:row>
      <xdr:rowOff>45720</xdr:rowOff>
    </xdr:from>
    <xdr:to>
      <xdr:col>14</xdr:col>
      <xdr:colOff>68580</xdr:colOff>
      <xdr:row>26</xdr:row>
      <xdr:rowOff>83820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2020" y="3025140"/>
          <a:ext cx="426720" cy="2781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1440180</xdr:colOff>
      <xdr:row>27</xdr:row>
      <xdr:rowOff>152400</xdr:rowOff>
    </xdr:from>
    <xdr:to>
      <xdr:col>14</xdr:col>
      <xdr:colOff>152400</xdr:colOff>
      <xdr:row>37</xdr:row>
      <xdr:rowOff>121920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6210300"/>
          <a:ext cx="487680" cy="2407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1485886</xdr:colOff>
      <xdr:row>7</xdr:row>
      <xdr:rowOff>137160</xdr:rowOff>
    </xdr:from>
    <xdr:to>
      <xdr:col>14</xdr:col>
      <xdr:colOff>184780</xdr:colOff>
      <xdr:row>27</xdr:row>
      <xdr:rowOff>83821</xdr:rowOff>
    </xdr:to>
    <xdr:grpSp>
      <xdr:nvGrpSpPr>
        <xdr:cNvPr id="18" name="Group 10"/>
        <xdr:cNvGrpSpPr/>
      </xdr:nvGrpSpPr>
      <xdr:grpSpPr>
        <a:xfrm>
          <a:off x="8610586" y="1638300"/>
          <a:ext cx="474354" cy="4503421"/>
          <a:chOff x="9467850" y="2238375"/>
          <a:chExt cx="396765" cy="4144245"/>
        </a:xfrm>
      </xdr:grpSpPr>
      <xdr:grpSp>
        <xdr:nvGrpSpPr>
          <xdr:cNvPr id="19" name="Group 7"/>
          <xdr:cNvGrpSpPr/>
        </xdr:nvGrpSpPr>
        <xdr:grpSpPr>
          <a:xfrm>
            <a:off x="9563499" y="5915026"/>
            <a:ext cx="301116" cy="467594"/>
            <a:chOff x="9592074" y="6219830"/>
            <a:chExt cx="301116" cy="467594"/>
          </a:xfrm>
        </xdr:grpSpPr>
        <xdr:sp macro="" textlink="">
          <xdr:nvSpPr>
            <xdr:cNvPr id="21" name="Flowchart: Delay 8"/>
            <xdr:cNvSpPr/>
          </xdr:nvSpPr>
          <xdr:spPr bwMode="auto">
            <a:xfrm rot="5400000">
              <a:off x="9578967" y="6251982"/>
              <a:ext cx="327329" cy="30111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504612" y="6325942"/>
              <a:ext cx="467594" cy="25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191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13</xdr:col>
      <xdr:colOff>38101</xdr:colOff>
      <xdr:row>27</xdr:row>
      <xdr:rowOff>163512</xdr:rowOff>
    </xdr:from>
    <xdr:to>
      <xdr:col>14</xdr:col>
      <xdr:colOff>270512</xdr:colOff>
      <xdr:row>44</xdr:row>
      <xdr:rowOff>198120</xdr:rowOff>
    </xdr:to>
    <xdr:grpSp>
      <xdr:nvGrpSpPr>
        <xdr:cNvPr id="23" name="Group 11"/>
        <xdr:cNvGrpSpPr/>
      </xdr:nvGrpSpPr>
      <xdr:grpSpPr>
        <a:xfrm>
          <a:off x="8663941" y="6221412"/>
          <a:ext cx="506731" cy="4073208"/>
          <a:chOff x="9639299" y="104780"/>
          <a:chExt cx="447676" cy="4143370"/>
        </a:xfrm>
      </xdr:grpSpPr>
      <xdr:grpSp>
        <xdr:nvGrpSpPr>
          <xdr:cNvPr id="24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192</a:t>
              </a:r>
              <a:endParaRPr lang="th-TH" sz="1100"/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137160</xdr:colOff>
      <xdr:row>13</xdr:row>
      <xdr:rowOff>7620</xdr:rowOff>
    </xdr:from>
    <xdr:to>
      <xdr:col>9</xdr:col>
      <xdr:colOff>807720</xdr:colOff>
      <xdr:row>22</xdr:row>
      <xdr:rowOff>68580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70520" y="3147060"/>
          <a:ext cx="670560" cy="292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7"/>
  <sheetViews>
    <sheetView showGridLines="0" tabSelected="1" workbookViewId="0">
      <selection activeCell="J6" sqref="J6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6" width="2.375" style="10" customWidth="1"/>
    <col min="17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142"/>
      <c r="L3" s="344" t="s">
        <v>65</v>
      </c>
      <c r="M3" s="344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46"/>
      <c r="M4" s="346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38" t="s">
        <v>74</v>
      </c>
      <c r="G5" s="339"/>
      <c r="H5" s="345"/>
      <c r="I5" s="338" t="s">
        <v>75</v>
      </c>
      <c r="J5" s="339"/>
      <c r="K5" s="345"/>
      <c r="L5" s="153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40" t="s">
        <v>66</v>
      </c>
      <c r="B7" s="340"/>
      <c r="C7" s="340"/>
      <c r="D7" s="341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155" t="s">
        <v>84</v>
      </c>
      <c r="G9" s="23" t="s">
        <v>88</v>
      </c>
      <c r="H9" s="23" t="s">
        <v>20</v>
      </c>
      <c r="I9" s="155" t="s">
        <v>84</v>
      </c>
      <c r="J9" s="23" t="s">
        <v>88</v>
      </c>
      <c r="K9" s="23" t="s">
        <v>20</v>
      </c>
      <c r="L9" s="155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47" t="s">
        <v>42</v>
      </c>
      <c r="B11" s="347"/>
      <c r="C11" s="347"/>
      <c r="D11" s="348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149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142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142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142"/>
      <c r="F32" s="51"/>
      <c r="G32" s="51"/>
      <c r="H32" s="51"/>
      <c r="I32" s="51"/>
      <c r="J32" s="51"/>
      <c r="K32" s="51"/>
      <c r="L32" s="344" t="s">
        <v>65</v>
      </c>
      <c r="M32" s="344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38" t="s">
        <v>74</v>
      </c>
      <c r="G33" s="339"/>
      <c r="H33" s="345"/>
      <c r="I33" s="338" t="s">
        <v>75</v>
      </c>
      <c r="J33" s="339"/>
      <c r="K33" s="345"/>
      <c r="L33" s="153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40" t="s">
        <v>66</v>
      </c>
      <c r="B35" s="340"/>
      <c r="C35" s="340"/>
      <c r="D35" s="341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155" t="s">
        <v>84</v>
      </c>
      <c r="G37" s="23" t="s">
        <v>88</v>
      </c>
      <c r="H37" s="23" t="s">
        <v>20</v>
      </c>
      <c r="I37" s="155" t="s">
        <v>84</v>
      </c>
      <c r="J37" s="23" t="s">
        <v>88</v>
      </c>
      <c r="K37" s="23" t="s">
        <v>20</v>
      </c>
      <c r="L37" s="155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150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42"/>
      <c r="S226" s="10"/>
      <c r="T226" s="10"/>
    </row>
    <row r="227" spans="1:20" s="150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42"/>
      <c r="S227" s="10"/>
      <c r="T227" s="10"/>
    </row>
  </sheetData>
  <mergeCells count="10">
    <mergeCell ref="L32:M32"/>
    <mergeCell ref="F33:H33"/>
    <mergeCell ref="I33:K33"/>
    <mergeCell ref="A35:D35"/>
    <mergeCell ref="L3:M3"/>
    <mergeCell ref="L4:M4"/>
    <mergeCell ref="F5:H5"/>
    <mergeCell ref="I5:K5"/>
    <mergeCell ref="A7:D7"/>
    <mergeCell ref="A11:D11"/>
  </mergeCells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P38"/>
  <sheetViews>
    <sheetView showGridLines="0" workbookViewId="0">
      <selection activeCell="K1" sqref="K1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16" s="32" customFormat="1" ht="21" customHeight="1">
      <c r="A5" s="366" t="s">
        <v>5</v>
      </c>
      <c r="B5" s="366"/>
      <c r="C5" s="366"/>
      <c r="D5" s="367"/>
      <c r="E5" s="35" t="s">
        <v>52</v>
      </c>
      <c r="F5" s="36" t="s">
        <v>47</v>
      </c>
      <c r="G5" s="35" t="s">
        <v>49</v>
      </c>
      <c r="H5" s="38" t="s">
        <v>51</v>
      </c>
    </row>
    <row r="6" spans="1:16" s="32" customFormat="1" ht="21" customHeight="1">
      <c r="A6" s="366" t="s">
        <v>38</v>
      </c>
      <c r="B6" s="366"/>
      <c r="C6" s="366"/>
      <c r="D6" s="367"/>
      <c r="E6" s="35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35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5" t="s">
        <v>257</v>
      </c>
      <c r="B10" s="365"/>
      <c r="C10" s="365"/>
      <c r="D10" s="368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5" t="s">
        <v>258</v>
      </c>
      <c r="B11" s="365"/>
      <c r="C11" s="365"/>
      <c r="D11" s="368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5" t="s">
        <v>259</v>
      </c>
      <c r="B12" s="365"/>
      <c r="C12" s="365"/>
      <c r="D12" s="365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5" t="s">
        <v>260</v>
      </c>
      <c r="B13" s="365"/>
      <c r="C13" s="365"/>
      <c r="D13" s="365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5" t="s">
        <v>261</v>
      </c>
      <c r="B14" s="365"/>
      <c r="C14" s="365"/>
      <c r="D14" s="365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5" t="s">
        <v>262</v>
      </c>
      <c r="B15" s="365"/>
      <c r="C15" s="365"/>
      <c r="D15" s="365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5" t="s">
        <v>263</v>
      </c>
      <c r="B16" s="365"/>
      <c r="C16" s="365"/>
      <c r="D16" s="365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5" t="s">
        <v>264</v>
      </c>
      <c r="B17" s="365"/>
      <c r="C17" s="365"/>
      <c r="D17" s="365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5" t="s">
        <v>265</v>
      </c>
      <c r="B18" s="365"/>
      <c r="C18" s="365"/>
      <c r="D18" s="365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5" t="s">
        <v>266</v>
      </c>
      <c r="B19" s="365"/>
      <c r="C19" s="365"/>
      <c r="D19" s="365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4"/>
      <c r="B20" s="364"/>
      <c r="C20" s="364"/>
      <c r="D20" s="364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13:D13"/>
    <mergeCell ref="A14:D14"/>
    <mergeCell ref="A15:D15"/>
    <mergeCell ref="A5:D5"/>
    <mergeCell ref="A6:D6"/>
    <mergeCell ref="A10:D10"/>
    <mergeCell ref="A11:D11"/>
    <mergeCell ref="A12:D12"/>
    <mergeCell ref="A16:D16"/>
    <mergeCell ref="A17:D17"/>
    <mergeCell ref="A18:D18"/>
    <mergeCell ref="A19:D19"/>
    <mergeCell ref="A20:D20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60"/>
  <sheetViews>
    <sheetView showGridLines="0" topLeftCell="H1" workbookViewId="0">
      <selection activeCell="R6" sqref="R6:T6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9" t="s">
        <v>311</v>
      </c>
      <c r="J4" s="380"/>
      <c r="K4" s="381"/>
      <c r="L4" s="232"/>
      <c r="M4" s="231"/>
      <c r="N4" s="233"/>
      <c r="O4" s="232"/>
      <c r="P4" s="231"/>
      <c r="Q4" s="233"/>
      <c r="R4" s="379" t="s">
        <v>310</v>
      </c>
      <c r="S4" s="380"/>
      <c r="T4" s="381"/>
      <c r="U4" s="232"/>
      <c r="V4" s="231"/>
    </row>
    <row r="5" spans="1:26" s="214" customFormat="1" ht="18" customHeight="1">
      <c r="A5" s="382"/>
      <c r="B5" s="382"/>
      <c r="C5" s="382"/>
      <c r="D5" s="382"/>
      <c r="E5" s="230" t="s">
        <v>309</v>
      </c>
      <c r="F5" s="383" t="s">
        <v>308</v>
      </c>
      <c r="G5" s="382"/>
      <c r="H5" s="384"/>
      <c r="I5" s="383" t="s">
        <v>307</v>
      </c>
      <c r="J5" s="382"/>
      <c r="K5" s="384"/>
      <c r="L5" s="383" t="s">
        <v>306</v>
      </c>
      <c r="M5" s="382"/>
      <c r="N5" s="384"/>
      <c r="O5" s="383" t="s">
        <v>305</v>
      </c>
      <c r="P5" s="382"/>
      <c r="Q5" s="384"/>
      <c r="R5" s="383" t="s">
        <v>304</v>
      </c>
      <c r="S5" s="382"/>
      <c r="T5" s="384"/>
      <c r="U5" s="220"/>
    </row>
    <row r="6" spans="1:26" s="214" customFormat="1" ht="18" customHeight="1">
      <c r="A6" s="369" t="s">
        <v>66</v>
      </c>
      <c r="B6" s="369"/>
      <c r="C6" s="369"/>
      <c r="D6" s="370"/>
      <c r="E6" s="230" t="s">
        <v>303</v>
      </c>
      <c r="F6" s="372" t="s">
        <v>302</v>
      </c>
      <c r="G6" s="373"/>
      <c r="H6" s="374"/>
      <c r="I6" s="229"/>
      <c r="J6" s="228" t="s">
        <v>301</v>
      </c>
      <c r="K6" s="227"/>
      <c r="L6" s="372" t="s">
        <v>300</v>
      </c>
      <c r="M6" s="373"/>
      <c r="N6" s="374"/>
      <c r="O6" s="372" t="s">
        <v>299</v>
      </c>
      <c r="P6" s="373"/>
      <c r="Q6" s="374"/>
      <c r="R6" s="372" t="s">
        <v>298</v>
      </c>
      <c r="S6" s="373"/>
      <c r="T6" s="374"/>
      <c r="U6" s="375" t="s">
        <v>67</v>
      </c>
      <c r="V6" s="371"/>
    </row>
    <row r="7" spans="1:26" s="214" customFormat="1" ht="18" customHeight="1">
      <c r="A7" s="371"/>
      <c r="B7" s="371"/>
      <c r="C7" s="371"/>
      <c r="D7" s="370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75"/>
      <c r="V7" s="371"/>
    </row>
    <row r="8" spans="1:26" s="214" customFormat="1" ht="18" customHeight="1">
      <c r="A8" s="371"/>
      <c r="B8" s="371"/>
      <c r="C8" s="371"/>
      <c r="D8" s="370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75"/>
      <c r="V8" s="371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76" t="s">
        <v>42</v>
      </c>
      <c r="B11" s="376"/>
      <c r="C11" s="376"/>
      <c r="D11" s="377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78" t="s">
        <v>1</v>
      </c>
      <c r="V11" s="376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9" t="s">
        <v>311</v>
      </c>
      <c r="J34" s="380"/>
      <c r="K34" s="381"/>
      <c r="L34" s="232"/>
      <c r="M34" s="231"/>
      <c r="N34" s="233"/>
      <c r="O34" s="232"/>
      <c r="P34" s="231"/>
      <c r="Q34" s="233"/>
      <c r="R34" s="379" t="s">
        <v>310</v>
      </c>
      <c r="S34" s="380"/>
      <c r="T34" s="381"/>
      <c r="U34" s="232"/>
      <c r="V34" s="231"/>
    </row>
    <row r="35" spans="1:22" s="214" customFormat="1" ht="18" customHeight="1">
      <c r="A35" s="382"/>
      <c r="B35" s="382"/>
      <c r="C35" s="382"/>
      <c r="D35" s="382"/>
      <c r="E35" s="230" t="s">
        <v>309</v>
      </c>
      <c r="F35" s="383" t="s">
        <v>308</v>
      </c>
      <c r="G35" s="382"/>
      <c r="H35" s="384"/>
      <c r="I35" s="383" t="s">
        <v>307</v>
      </c>
      <c r="J35" s="382"/>
      <c r="K35" s="384"/>
      <c r="L35" s="383" t="s">
        <v>306</v>
      </c>
      <c r="M35" s="382"/>
      <c r="N35" s="384"/>
      <c r="O35" s="383" t="s">
        <v>305</v>
      </c>
      <c r="P35" s="382"/>
      <c r="Q35" s="384"/>
      <c r="R35" s="383" t="s">
        <v>304</v>
      </c>
      <c r="S35" s="382"/>
      <c r="T35" s="384"/>
      <c r="U35" s="220"/>
    </row>
    <row r="36" spans="1:22" s="214" customFormat="1" ht="18" customHeight="1">
      <c r="A36" s="369" t="s">
        <v>66</v>
      </c>
      <c r="B36" s="369"/>
      <c r="C36" s="369"/>
      <c r="D36" s="370"/>
      <c r="E36" s="230" t="s">
        <v>303</v>
      </c>
      <c r="F36" s="372" t="s">
        <v>302</v>
      </c>
      <c r="G36" s="373"/>
      <c r="H36" s="374"/>
      <c r="I36" s="229"/>
      <c r="J36" s="228" t="s">
        <v>301</v>
      </c>
      <c r="K36" s="227"/>
      <c r="L36" s="372" t="s">
        <v>300</v>
      </c>
      <c r="M36" s="373"/>
      <c r="N36" s="374"/>
      <c r="O36" s="372" t="s">
        <v>299</v>
      </c>
      <c r="P36" s="373"/>
      <c r="Q36" s="374"/>
      <c r="R36" s="372" t="s">
        <v>298</v>
      </c>
      <c r="S36" s="373"/>
      <c r="T36" s="374"/>
      <c r="U36" s="375" t="s">
        <v>67</v>
      </c>
      <c r="V36" s="371"/>
    </row>
    <row r="37" spans="1:22" s="214" customFormat="1" ht="18" customHeight="1">
      <c r="A37" s="371"/>
      <c r="B37" s="371"/>
      <c r="C37" s="371"/>
      <c r="D37" s="370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75"/>
      <c r="V37" s="371"/>
    </row>
    <row r="38" spans="1:22" s="214" customFormat="1" ht="18" customHeight="1">
      <c r="A38" s="371"/>
      <c r="B38" s="371"/>
      <c r="C38" s="371"/>
      <c r="D38" s="370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75"/>
      <c r="V38" s="371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U6:V8"/>
    <mergeCell ref="I4:K4"/>
    <mergeCell ref="R4:T4"/>
    <mergeCell ref="A5:D5"/>
    <mergeCell ref="F5:H5"/>
    <mergeCell ref="I5:K5"/>
    <mergeCell ref="L5:N5"/>
    <mergeCell ref="O5:Q5"/>
    <mergeCell ref="R5:T5"/>
    <mergeCell ref="A6:D8"/>
    <mergeCell ref="F6:H6"/>
    <mergeCell ref="L6:N6"/>
    <mergeCell ref="O6:Q6"/>
    <mergeCell ref="R6:T6"/>
    <mergeCell ref="U36:V38"/>
    <mergeCell ref="A11:D11"/>
    <mergeCell ref="U11:V11"/>
    <mergeCell ref="I34:K34"/>
    <mergeCell ref="R34:T34"/>
    <mergeCell ref="A35:D35"/>
    <mergeCell ref="F35:H35"/>
    <mergeCell ref="I35:K35"/>
    <mergeCell ref="L35:N35"/>
    <mergeCell ref="O35:Q35"/>
    <mergeCell ref="R35:T35"/>
    <mergeCell ref="A36:D38"/>
    <mergeCell ref="F36:H36"/>
    <mergeCell ref="L36:N36"/>
    <mergeCell ref="O36:Q36"/>
    <mergeCell ref="R36:T3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Z60"/>
  <sheetViews>
    <sheetView showGridLines="0" topLeftCell="H1" workbookViewId="0">
      <selection activeCell="R6" sqref="R6:T6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9" t="s">
        <v>311</v>
      </c>
      <c r="J4" s="380"/>
      <c r="K4" s="381"/>
      <c r="L4" s="232"/>
      <c r="M4" s="231"/>
      <c r="N4" s="233"/>
      <c r="O4" s="232"/>
      <c r="P4" s="231"/>
      <c r="Q4" s="233"/>
      <c r="R4" s="379" t="s">
        <v>310</v>
      </c>
      <c r="S4" s="380"/>
      <c r="T4" s="381"/>
      <c r="U4" s="232"/>
      <c r="V4" s="231"/>
    </row>
    <row r="5" spans="1:26" s="214" customFormat="1" ht="18" customHeight="1">
      <c r="A5" s="382"/>
      <c r="B5" s="382"/>
      <c r="C5" s="382"/>
      <c r="D5" s="382"/>
      <c r="E5" s="230" t="s">
        <v>309</v>
      </c>
      <c r="F5" s="383" t="s">
        <v>308</v>
      </c>
      <c r="G5" s="382"/>
      <c r="H5" s="384"/>
      <c r="I5" s="383" t="s">
        <v>307</v>
      </c>
      <c r="J5" s="382"/>
      <c r="K5" s="384"/>
      <c r="L5" s="383" t="s">
        <v>306</v>
      </c>
      <c r="M5" s="382"/>
      <c r="N5" s="384"/>
      <c r="O5" s="383" t="s">
        <v>305</v>
      </c>
      <c r="P5" s="382"/>
      <c r="Q5" s="384"/>
      <c r="R5" s="383" t="s">
        <v>304</v>
      </c>
      <c r="S5" s="382"/>
      <c r="T5" s="384"/>
      <c r="U5" s="220"/>
    </row>
    <row r="6" spans="1:26" s="214" customFormat="1" ht="18" customHeight="1">
      <c r="A6" s="369" t="s">
        <v>66</v>
      </c>
      <c r="B6" s="369"/>
      <c r="C6" s="369"/>
      <c r="D6" s="370"/>
      <c r="E6" s="230" t="s">
        <v>303</v>
      </c>
      <c r="F6" s="372" t="s">
        <v>302</v>
      </c>
      <c r="G6" s="373"/>
      <c r="H6" s="374"/>
      <c r="I6" s="229"/>
      <c r="J6" s="228" t="s">
        <v>301</v>
      </c>
      <c r="K6" s="227"/>
      <c r="L6" s="372" t="s">
        <v>300</v>
      </c>
      <c r="M6" s="373"/>
      <c r="N6" s="374"/>
      <c r="O6" s="372" t="s">
        <v>299</v>
      </c>
      <c r="P6" s="373"/>
      <c r="Q6" s="374"/>
      <c r="R6" s="372" t="s">
        <v>298</v>
      </c>
      <c r="S6" s="373"/>
      <c r="T6" s="374"/>
      <c r="U6" s="375" t="s">
        <v>67</v>
      </c>
      <c r="V6" s="371"/>
    </row>
    <row r="7" spans="1:26" s="214" customFormat="1" ht="18" customHeight="1">
      <c r="A7" s="371"/>
      <c r="B7" s="371"/>
      <c r="C7" s="371"/>
      <c r="D7" s="370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75"/>
      <c r="V7" s="371"/>
    </row>
    <row r="8" spans="1:26" s="214" customFormat="1" ht="18" customHeight="1">
      <c r="A8" s="371"/>
      <c r="B8" s="371"/>
      <c r="C8" s="371"/>
      <c r="D8" s="370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75"/>
      <c r="V8" s="371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76" t="s">
        <v>42</v>
      </c>
      <c r="B11" s="376"/>
      <c r="C11" s="376"/>
      <c r="D11" s="377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78" t="s">
        <v>1</v>
      </c>
      <c r="V11" s="376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9" t="s">
        <v>311</v>
      </c>
      <c r="J34" s="380"/>
      <c r="K34" s="381"/>
      <c r="L34" s="232"/>
      <c r="M34" s="231"/>
      <c r="N34" s="233"/>
      <c r="O34" s="232"/>
      <c r="P34" s="231"/>
      <c r="Q34" s="233"/>
      <c r="R34" s="379" t="s">
        <v>310</v>
      </c>
      <c r="S34" s="380"/>
      <c r="T34" s="381"/>
      <c r="U34" s="232"/>
      <c r="V34" s="231"/>
    </row>
    <row r="35" spans="1:22" s="214" customFormat="1" ht="18" customHeight="1">
      <c r="A35" s="382"/>
      <c r="B35" s="382"/>
      <c r="C35" s="382"/>
      <c r="D35" s="382"/>
      <c r="E35" s="230" t="s">
        <v>309</v>
      </c>
      <c r="F35" s="383" t="s">
        <v>308</v>
      </c>
      <c r="G35" s="382"/>
      <c r="H35" s="384"/>
      <c r="I35" s="383" t="s">
        <v>307</v>
      </c>
      <c r="J35" s="382"/>
      <c r="K35" s="384"/>
      <c r="L35" s="383" t="s">
        <v>306</v>
      </c>
      <c r="M35" s="382"/>
      <c r="N35" s="384"/>
      <c r="O35" s="383" t="s">
        <v>305</v>
      </c>
      <c r="P35" s="382"/>
      <c r="Q35" s="384"/>
      <c r="R35" s="383" t="s">
        <v>304</v>
      </c>
      <c r="S35" s="382"/>
      <c r="T35" s="384"/>
      <c r="U35" s="220"/>
    </row>
    <row r="36" spans="1:22" s="214" customFormat="1" ht="18" customHeight="1">
      <c r="A36" s="369" t="s">
        <v>66</v>
      </c>
      <c r="B36" s="369"/>
      <c r="C36" s="369"/>
      <c r="D36" s="370"/>
      <c r="E36" s="230" t="s">
        <v>303</v>
      </c>
      <c r="F36" s="372" t="s">
        <v>302</v>
      </c>
      <c r="G36" s="373"/>
      <c r="H36" s="374"/>
      <c r="I36" s="229"/>
      <c r="J36" s="228" t="s">
        <v>301</v>
      </c>
      <c r="K36" s="227"/>
      <c r="L36" s="372" t="s">
        <v>300</v>
      </c>
      <c r="M36" s="373"/>
      <c r="N36" s="374"/>
      <c r="O36" s="372" t="s">
        <v>299</v>
      </c>
      <c r="P36" s="373"/>
      <c r="Q36" s="374"/>
      <c r="R36" s="372" t="s">
        <v>298</v>
      </c>
      <c r="S36" s="373"/>
      <c r="T36" s="374"/>
      <c r="U36" s="375" t="s">
        <v>67</v>
      </c>
      <c r="V36" s="371"/>
    </row>
    <row r="37" spans="1:22" s="214" customFormat="1" ht="18" customHeight="1">
      <c r="A37" s="371"/>
      <c r="B37" s="371"/>
      <c r="C37" s="371"/>
      <c r="D37" s="370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75"/>
      <c r="V37" s="371"/>
    </row>
    <row r="38" spans="1:22" s="214" customFormat="1" ht="18" customHeight="1">
      <c r="A38" s="371"/>
      <c r="B38" s="371"/>
      <c r="C38" s="371"/>
      <c r="D38" s="370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75"/>
      <c r="V38" s="371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U36:V38"/>
    <mergeCell ref="R34:T34"/>
    <mergeCell ref="A35:D35"/>
    <mergeCell ref="F35:H35"/>
    <mergeCell ref="I35:K35"/>
    <mergeCell ref="L35:N35"/>
    <mergeCell ref="O35:Q35"/>
    <mergeCell ref="R35:T35"/>
    <mergeCell ref="I34:K34"/>
    <mergeCell ref="A36:D38"/>
    <mergeCell ref="F36:H36"/>
    <mergeCell ref="L36:N36"/>
    <mergeCell ref="R4:T4"/>
    <mergeCell ref="A5:D5"/>
    <mergeCell ref="F5:H5"/>
    <mergeCell ref="I5:K5"/>
    <mergeCell ref="L5:N5"/>
    <mergeCell ref="I4:K4"/>
    <mergeCell ref="O36:Q36"/>
    <mergeCell ref="R36:T36"/>
    <mergeCell ref="O5:Q5"/>
    <mergeCell ref="R5:T5"/>
    <mergeCell ref="R6:T6"/>
    <mergeCell ref="U6:V8"/>
    <mergeCell ref="A11:D11"/>
    <mergeCell ref="U11:V11"/>
    <mergeCell ref="A6:D8"/>
    <mergeCell ref="F6:H6"/>
    <mergeCell ref="L6:N6"/>
    <mergeCell ref="O6:Q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5"/>
  <sheetViews>
    <sheetView topLeftCell="G1" workbookViewId="0">
      <selection activeCell="B9" sqref="B9:H9"/>
    </sheetView>
  </sheetViews>
  <sheetFormatPr defaultColWidth="11.25" defaultRowHeight="23.4"/>
  <cols>
    <col min="1" max="1" width="28" style="89" customWidth="1"/>
    <col min="2" max="2" width="14.875" style="89" customWidth="1"/>
    <col min="3" max="3" width="20.875" style="89" customWidth="1"/>
    <col min="4" max="4" width="18.375" style="89" customWidth="1"/>
    <col min="5" max="5" width="30.375" style="89" customWidth="1"/>
    <col min="6" max="6" width="17.125" style="89" customWidth="1"/>
    <col min="7" max="7" width="17.5" style="89" customWidth="1"/>
    <col min="8" max="8" width="27.875" style="89" customWidth="1"/>
    <col min="9" max="9" width="47" style="89" customWidth="1"/>
    <col min="10" max="16384" width="11.25" style="89"/>
  </cols>
  <sheetData>
    <row r="1" spans="1:12">
      <c r="A1" s="126" t="s">
        <v>165</v>
      </c>
      <c r="B1" s="125"/>
      <c r="C1" s="125"/>
      <c r="D1" s="125"/>
      <c r="E1" s="125"/>
      <c r="F1" s="125"/>
      <c r="G1" s="125"/>
      <c r="H1" s="125"/>
      <c r="I1" s="125"/>
    </row>
    <row r="2" spans="1:12">
      <c r="A2" s="126" t="s">
        <v>164</v>
      </c>
      <c r="B2" s="125"/>
      <c r="C2" s="125"/>
      <c r="D2" s="125"/>
      <c r="E2" s="125"/>
      <c r="F2" s="125"/>
      <c r="G2" s="125"/>
      <c r="H2" s="125"/>
      <c r="I2" s="125"/>
    </row>
    <row r="3" spans="1:12">
      <c r="A3" s="126"/>
      <c r="B3" s="125"/>
      <c r="C3" s="125"/>
      <c r="D3" s="125"/>
      <c r="E3" s="125"/>
      <c r="F3" s="125"/>
      <c r="G3" s="125"/>
      <c r="H3" s="125"/>
      <c r="I3" s="124" t="s">
        <v>163</v>
      </c>
    </row>
    <row r="4" spans="1:12">
      <c r="A4" s="385" t="s">
        <v>66</v>
      </c>
      <c r="B4" s="123" t="s">
        <v>2</v>
      </c>
      <c r="C4" s="388" t="s">
        <v>162</v>
      </c>
      <c r="D4" s="388"/>
      <c r="E4" s="388"/>
      <c r="F4" s="388" t="s">
        <v>161</v>
      </c>
      <c r="G4" s="388"/>
      <c r="H4" s="389"/>
      <c r="I4" s="390" t="s">
        <v>67</v>
      </c>
      <c r="J4" s="113"/>
      <c r="K4" s="113"/>
      <c r="L4" s="113"/>
    </row>
    <row r="5" spans="1:12">
      <c r="A5" s="386"/>
      <c r="B5" s="122" t="s">
        <v>15</v>
      </c>
      <c r="C5" s="120" t="s">
        <v>6</v>
      </c>
      <c r="D5" s="123" t="s">
        <v>16</v>
      </c>
      <c r="E5" s="120" t="s">
        <v>18</v>
      </c>
      <c r="F5" s="123" t="s">
        <v>6</v>
      </c>
      <c r="G5" s="123" t="s">
        <v>16</v>
      </c>
      <c r="H5" s="118" t="s">
        <v>18</v>
      </c>
      <c r="I5" s="391"/>
      <c r="J5" s="113"/>
      <c r="K5" s="113"/>
      <c r="L5" s="113"/>
    </row>
    <row r="6" spans="1:12">
      <c r="A6" s="386"/>
      <c r="B6" s="122" t="s">
        <v>160</v>
      </c>
      <c r="C6" s="120" t="s">
        <v>159</v>
      </c>
      <c r="D6" s="122" t="s">
        <v>158</v>
      </c>
      <c r="E6" s="120" t="s">
        <v>17</v>
      </c>
      <c r="F6" s="122" t="s">
        <v>159</v>
      </c>
      <c r="G6" s="122" t="s">
        <v>158</v>
      </c>
      <c r="H6" s="118" t="s">
        <v>17</v>
      </c>
      <c r="I6" s="391"/>
      <c r="J6" s="113"/>
      <c r="K6" s="113"/>
      <c r="L6" s="113"/>
    </row>
    <row r="7" spans="1:12">
      <c r="A7" s="386"/>
      <c r="B7" s="122" t="s">
        <v>157</v>
      </c>
      <c r="C7" s="121"/>
      <c r="D7" s="119"/>
      <c r="E7" s="120" t="s">
        <v>156</v>
      </c>
      <c r="F7" s="119"/>
      <c r="G7" s="119"/>
      <c r="H7" s="118" t="s">
        <v>156</v>
      </c>
      <c r="I7" s="391"/>
      <c r="J7" s="113"/>
      <c r="K7" s="113"/>
      <c r="L7" s="113"/>
    </row>
    <row r="8" spans="1:12">
      <c r="A8" s="387"/>
      <c r="B8" s="115"/>
      <c r="C8" s="117"/>
      <c r="D8" s="115"/>
      <c r="E8" s="116" t="s">
        <v>20</v>
      </c>
      <c r="F8" s="115"/>
      <c r="G8" s="115"/>
      <c r="H8" s="114" t="s">
        <v>20</v>
      </c>
      <c r="I8" s="392"/>
      <c r="J8" s="113"/>
      <c r="K8" s="113"/>
      <c r="L8" s="113"/>
    </row>
    <row r="9" spans="1:12">
      <c r="A9" s="112" t="s">
        <v>42</v>
      </c>
      <c r="B9" s="111">
        <f t="shared" ref="B9:H9" si="0">SUM(B10:B41)</f>
        <v>35</v>
      </c>
      <c r="C9" s="109">
        <f t="shared" si="0"/>
        <v>68615098.761209995</v>
      </c>
      <c r="D9" s="109">
        <f t="shared" si="0"/>
        <v>69083192.944620013</v>
      </c>
      <c r="E9" s="109">
        <f t="shared" si="0"/>
        <v>21015186.027010001</v>
      </c>
      <c r="F9" s="110">
        <f t="shared" si="0"/>
        <v>5502110.1330099991</v>
      </c>
      <c r="G9" s="110">
        <f t="shared" si="0"/>
        <v>4691266.1186200008</v>
      </c>
      <c r="H9" s="109">
        <f t="shared" si="0"/>
        <v>4000856.7626300007</v>
      </c>
      <c r="I9" s="108" t="s">
        <v>1</v>
      </c>
    </row>
    <row r="10" spans="1:12">
      <c r="A10" s="107" t="s">
        <v>155</v>
      </c>
      <c r="B10" s="106">
        <v>11</v>
      </c>
      <c r="C10" s="105">
        <f>30319249024.41/1000</f>
        <v>30319249.024409998</v>
      </c>
      <c r="D10" s="104">
        <f>31132143109.04/1000</f>
        <v>31132143.10904</v>
      </c>
      <c r="E10" s="105">
        <f>7313631363.66/1000</f>
        <v>7313631.3636600003</v>
      </c>
      <c r="F10" s="104">
        <f>2728966143.31/1000</f>
        <v>2728966.1433099997</v>
      </c>
      <c r="G10" s="104">
        <f>2061621221.29/1000</f>
        <v>2061621.22129</v>
      </c>
      <c r="H10" s="103">
        <f>1770568245.35/1000</f>
        <v>1770568.24535</v>
      </c>
      <c r="I10" s="102" t="s">
        <v>154</v>
      </c>
    </row>
    <row r="11" spans="1:12">
      <c r="A11" s="107" t="s">
        <v>153</v>
      </c>
      <c r="B11" s="106">
        <v>1</v>
      </c>
      <c r="C11" s="105">
        <f>2141985032.54/1000</f>
        <v>2141985.03254</v>
      </c>
      <c r="D11" s="104">
        <f>2140383329.38/1000</f>
        <v>2140383.32938</v>
      </c>
      <c r="E11" s="105">
        <f>510720838.17/1000</f>
        <v>510720.83817</v>
      </c>
      <c r="F11" s="104">
        <f>26765164.24/1000</f>
        <v>26765.164239999998</v>
      </c>
      <c r="G11" s="104">
        <f>26042001.96/1000</f>
        <v>26042.001960000001</v>
      </c>
      <c r="H11" s="103">
        <f>119329145.58/1000</f>
        <v>119329.14558</v>
      </c>
      <c r="I11" s="102" t="s">
        <v>152</v>
      </c>
    </row>
    <row r="12" spans="1:12">
      <c r="A12" s="107" t="s">
        <v>151</v>
      </c>
      <c r="B12" s="106">
        <v>1</v>
      </c>
      <c r="C12" s="105">
        <f>1047853655.14/1000</f>
        <v>1047853.6551399999</v>
      </c>
      <c r="D12" s="104">
        <f>1027084877.12/1000</f>
        <v>1027084.87712</v>
      </c>
      <c r="E12" s="105">
        <f>201658600.06/1000</f>
        <v>201658.60006</v>
      </c>
      <c r="F12" s="104">
        <f>26658861.69/1000</f>
        <v>26658.861690000002</v>
      </c>
      <c r="G12" s="104">
        <f>19144714.36/1000</f>
        <v>19144.714359999998</v>
      </c>
      <c r="H12" s="103">
        <f>53907536.77/1000</f>
        <v>53907.536770000006</v>
      </c>
      <c r="I12" s="102" t="s">
        <v>150</v>
      </c>
    </row>
    <row r="13" spans="1:12">
      <c r="A13" s="107" t="s">
        <v>149</v>
      </c>
      <c r="B13" s="106">
        <v>1</v>
      </c>
      <c r="C13" s="105">
        <f>3221122265.85/1000</f>
        <v>3221122.2658500001</v>
      </c>
      <c r="D13" s="104">
        <f>3138910563.58/1000</f>
        <v>3138910.5635799998</v>
      </c>
      <c r="E13" s="105">
        <f>767002148.06/1000</f>
        <v>767002.14805999992</v>
      </c>
      <c r="F13" s="104">
        <f>50471278.39/1000</f>
        <v>50471.278389999999</v>
      </c>
      <c r="G13" s="104">
        <f>36004350.41/1000</f>
        <v>36004.350409999999</v>
      </c>
      <c r="H13" s="103">
        <f>128610618.58/1000</f>
        <v>128610.61857999999</v>
      </c>
      <c r="I13" s="102" t="s">
        <v>148</v>
      </c>
    </row>
    <row r="14" spans="1:12">
      <c r="A14" s="101" t="s">
        <v>147</v>
      </c>
      <c r="B14" s="100">
        <v>0</v>
      </c>
      <c r="C14" s="99"/>
      <c r="D14" s="98"/>
      <c r="E14" s="99"/>
      <c r="F14" s="98"/>
      <c r="G14" s="98"/>
      <c r="H14" s="97"/>
      <c r="I14" s="96" t="s">
        <v>146</v>
      </c>
    </row>
    <row r="15" spans="1:12">
      <c r="A15" s="107" t="s">
        <v>145</v>
      </c>
      <c r="B15" s="106">
        <v>1</v>
      </c>
      <c r="C15" s="105">
        <f>2933837842.58/1000</f>
        <v>2933837.8425799999</v>
      </c>
      <c r="D15" s="104">
        <f>2909153166.53/1000</f>
        <v>2909153.16653</v>
      </c>
      <c r="E15" s="105">
        <f>599606667.28/1000</f>
        <v>599606.66727999994</v>
      </c>
      <c r="F15" s="104">
        <f>33894078.86/1000</f>
        <v>33894.078860000001</v>
      </c>
      <c r="G15" s="104">
        <f>19888943.55/1000</f>
        <v>19888.94355</v>
      </c>
      <c r="H15" s="103">
        <f>70081111.74/1000</f>
        <v>70081.111739999993</v>
      </c>
      <c r="I15" s="102" t="s">
        <v>144</v>
      </c>
    </row>
    <row r="16" spans="1:12">
      <c r="A16" s="107" t="s">
        <v>143</v>
      </c>
      <c r="B16" s="106">
        <v>1</v>
      </c>
      <c r="C16" s="105">
        <f>2402658819.86/1000</f>
        <v>2402658.8198600002</v>
      </c>
      <c r="D16" s="104">
        <f>2411485468.1/1000</f>
        <v>2411485.4680999997</v>
      </c>
      <c r="E16" s="105">
        <f>897708715.83/1000</f>
        <v>897708.71583</v>
      </c>
      <c r="F16" s="104">
        <f>2176765336.45/1000</f>
        <v>2176765.3364499998</v>
      </c>
      <c r="G16" s="104">
        <f>2164285978.26/1000</f>
        <v>2164285.9782600002</v>
      </c>
      <c r="H16" s="103">
        <f>240385198.88/1000</f>
        <v>240385.19887999998</v>
      </c>
      <c r="I16" s="102" t="s">
        <v>142</v>
      </c>
    </row>
    <row r="17" spans="1:9">
      <c r="A17" s="107" t="s">
        <v>141</v>
      </c>
      <c r="B17" s="106">
        <v>1</v>
      </c>
      <c r="C17" s="105">
        <f>1819889809.33/1000</f>
        <v>1819889.8093299998</v>
      </c>
      <c r="D17" s="104">
        <f>1838054893.39/1000</f>
        <v>1838054.8933900001</v>
      </c>
      <c r="E17" s="105">
        <f>441810852.14/1000</f>
        <v>441810.85213999997</v>
      </c>
      <c r="F17" s="104">
        <f>35841869.45/1000</f>
        <v>35841.869450000006</v>
      </c>
      <c r="G17" s="104">
        <f>20720226.18/1000</f>
        <v>20720.226180000001</v>
      </c>
      <c r="H17" s="103">
        <f>233132837.21/1000</f>
        <v>233132.83721</v>
      </c>
      <c r="I17" s="102" t="s">
        <v>140</v>
      </c>
    </row>
    <row r="18" spans="1:9">
      <c r="A18" s="107" t="s">
        <v>139</v>
      </c>
      <c r="B18" s="106">
        <v>1</v>
      </c>
      <c r="C18" s="105">
        <f>2979048817.58/1000</f>
        <v>2979048.81758</v>
      </c>
      <c r="D18" s="104">
        <f>3054174883.84/1000</f>
        <v>3054174.8838400003</v>
      </c>
      <c r="E18" s="105">
        <f>691159978.98/1000</f>
        <v>691159.97898000001</v>
      </c>
      <c r="F18" s="104">
        <f>33152677.13/1000</f>
        <v>33152.677129999996</v>
      </c>
      <c r="G18" s="104">
        <f>35002770.68/1000</f>
        <v>35002.770680000001</v>
      </c>
      <c r="H18" s="103">
        <f>94517927.55/1000</f>
        <v>94517.927549999993</v>
      </c>
      <c r="I18" s="102" t="s">
        <v>138</v>
      </c>
    </row>
    <row r="19" spans="1:9">
      <c r="A19" s="107" t="s">
        <v>137</v>
      </c>
      <c r="B19" s="106">
        <v>1</v>
      </c>
      <c r="C19" s="105">
        <f>3863136393.7/1000</f>
        <v>3863136.3936999999</v>
      </c>
      <c r="D19" s="104">
        <f>3794345570.57/1000</f>
        <v>3794345.57057</v>
      </c>
      <c r="E19" s="105">
        <f>992102925.41/1000</f>
        <v>992102.92540999991</v>
      </c>
      <c r="F19" s="104">
        <f>44770270.18/1000</f>
        <v>44770.27018</v>
      </c>
      <c r="G19" s="104">
        <f>32905015.18/1000</f>
        <v>32905.015180000002</v>
      </c>
      <c r="H19" s="103">
        <f>111258623.84/1000</f>
        <v>111258.62384</v>
      </c>
      <c r="I19" s="102" t="s">
        <v>136</v>
      </c>
    </row>
    <row r="20" spans="1:9">
      <c r="A20" s="101" t="s">
        <v>135</v>
      </c>
      <c r="B20" s="100">
        <v>0</v>
      </c>
      <c r="C20" s="99"/>
      <c r="D20" s="98"/>
      <c r="E20" s="99"/>
      <c r="F20" s="98"/>
      <c r="G20" s="98"/>
      <c r="H20" s="97"/>
      <c r="I20" s="96" t="s">
        <v>134</v>
      </c>
    </row>
    <row r="21" spans="1:9">
      <c r="A21" s="107" t="s">
        <v>133</v>
      </c>
      <c r="B21" s="106">
        <v>1</v>
      </c>
      <c r="C21" s="105">
        <f>2190597770.86/1000</f>
        <v>2190597.77086</v>
      </c>
      <c r="D21" s="104">
        <f>2127514019.62/1000</f>
        <v>2127514.0196199999</v>
      </c>
      <c r="E21" s="105">
        <f>696584504.09/1000</f>
        <v>696584.50409000006</v>
      </c>
      <c r="F21" s="104">
        <f>27649082.64/1000</f>
        <v>27649.082640000001</v>
      </c>
      <c r="G21" s="104">
        <f>41238891.97/1000</f>
        <v>41238.891969999997</v>
      </c>
      <c r="H21" s="103">
        <f>130064866.74/1000</f>
        <v>130064.86674</v>
      </c>
      <c r="I21" s="102" t="s">
        <v>132</v>
      </c>
    </row>
    <row r="22" spans="1:9">
      <c r="A22" s="107" t="s">
        <v>131</v>
      </c>
      <c r="B22" s="106">
        <v>1</v>
      </c>
      <c r="C22" s="105">
        <f>1674459932.83/1000</f>
        <v>1674459.9328299998</v>
      </c>
      <c r="D22" s="104">
        <f>1657267595.96/1000</f>
        <v>1657267.5959600001</v>
      </c>
      <c r="E22" s="105">
        <f>495475018.28/1000</f>
        <v>495475.01827999996</v>
      </c>
      <c r="F22" s="104">
        <f>39652215.77/1000</f>
        <v>39652.215770000003</v>
      </c>
      <c r="G22" s="104">
        <f>25421072.31/1000</f>
        <v>25421.07231</v>
      </c>
      <c r="H22" s="103">
        <f>85284863.77/1000</f>
        <v>85284.863769999996</v>
      </c>
      <c r="I22" s="102" t="s">
        <v>130</v>
      </c>
    </row>
    <row r="23" spans="1:9">
      <c r="A23" s="107" t="s">
        <v>129</v>
      </c>
      <c r="B23" s="106">
        <v>1</v>
      </c>
      <c r="C23" s="105">
        <f>2889952062.96/1000</f>
        <v>2889952.0629600002</v>
      </c>
      <c r="D23" s="104">
        <f>2900904439.08/1000</f>
        <v>2900904.4390799999</v>
      </c>
      <c r="E23" s="105">
        <f>995639848.72/1000</f>
        <v>995639.84872000001</v>
      </c>
      <c r="F23" s="104">
        <f>35662681.16/1000</f>
        <v>35662.681159999993</v>
      </c>
      <c r="G23" s="104">
        <f>33582020.15/1000</f>
        <v>33582.020149999997</v>
      </c>
      <c r="H23" s="103">
        <f>128719330.85/1000</f>
        <v>128719.33085</v>
      </c>
      <c r="I23" s="102" t="s">
        <v>128</v>
      </c>
    </row>
    <row r="24" spans="1:9">
      <c r="A24" s="107" t="s">
        <v>127</v>
      </c>
      <c r="B24" s="106">
        <v>1</v>
      </c>
      <c r="C24" s="105">
        <f>3374441139.79/1000</f>
        <v>3374441.1397899999</v>
      </c>
      <c r="D24" s="104">
        <f>3336696641.44/1000</f>
        <v>3336696.6414399999</v>
      </c>
      <c r="E24" s="105">
        <f>758252728.39/1000</f>
        <v>758252.72838999995</v>
      </c>
      <c r="F24" s="104">
        <f>30680780.14/1000</f>
        <v>30680.780139999999</v>
      </c>
      <c r="G24" s="104">
        <f>26708756.04/1000</f>
        <v>26708.75604</v>
      </c>
      <c r="H24" s="103">
        <f>172057685.58/1000</f>
        <v>172057.68558000002</v>
      </c>
      <c r="I24" s="102" t="s">
        <v>126</v>
      </c>
    </row>
    <row r="25" spans="1:9">
      <c r="A25" s="107" t="s">
        <v>125</v>
      </c>
      <c r="B25" s="106">
        <v>1</v>
      </c>
      <c r="C25" s="105">
        <f>1510448977.43/1000</f>
        <v>1510448.97743</v>
      </c>
      <c r="D25" s="104">
        <f>1472946593.06/1000</f>
        <v>1472946.5930599999</v>
      </c>
      <c r="E25" s="105">
        <f>301444943.45/1000</f>
        <v>301444.94344999996</v>
      </c>
      <c r="F25" s="104">
        <f>24317937.46/1000</f>
        <v>24317.937460000001</v>
      </c>
      <c r="G25" s="104">
        <f>16075690.8/1000</f>
        <v>16075.6908</v>
      </c>
      <c r="H25" s="103">
        <f>62399695.82/1000</f>
        <v>62399.695820000001</v>
      </c>
      <c r="I25" s="102" t="s">
        <v>124</v>
      </c>
    </row>
    <row r="26" spans="1:9">
      <c r="A26" s="107" t="s">
        <v>123</v>
      </c>
      <c r="B26" s="106">
        <v>1</v>
      </c>
      <c r="C26" s="105">
        <f>1930127267.43/1000</f>
        <v>1930127.26743</v>
      </c>
      <c r="D26" s="104">
        <f>1858848996.99/1000</f>
        <v>1858848.9969899999</v>
      </c>
      <c r="E26" s="105">
        <f>569485764.88/1000</f>
        <v>569485.76488000003</v>
      </c>
      <c r="F26" s="104">
        <f>31427483.84/1000</f>
        <v>31427.483840000001</v>
      </c>
      <c r="G26" s="104">
        <f>26911877.96/1000</f>
        <v>26911.877960000002</v>
      </c>
      <c r="H26" s="103">
        <f>107657089.92/1000</f>
        <v>107657.08992</v>
      </c>
      <c r="I26" s="102" t="s">
        <v>122</v>
      </c>
    </row>
    <row r="27" spans="1:9">
      <c r="A27" s="107" t="s">
        <v>121</v>
      </c>
      <c r="B27" s="106">
        <v>1</v>
      </c>
      <c r="C27" s="105">
        <f>2828188072.55/1000</f>
        <v>2828188.0725500002</v>
      </c>
      <c r="D27" s="104">
        <f>2723392767.01/1000</f>
        <v>2723392.7670100001</v>
      </c>
      <c r="E27" s="105">
        <f>928086671.88/1000</f>
        <v>928086.67188000004</v>
      </c>
      <c r="F27" s="104">
        <f>148804153.67/1000</f>
        <v>148804.15367</v>
      </c>
      <c r="G27" s="104">
        <f>100841289.38/1000</f>
        <v>100841.28938</v>
      </c>
      <c r="H27" s="103">
        <f>168267949.86/1000</f>
        <v>168267.94986000002</v>
      </c>
      <c r="I27" s="102" t="s">
        <v>120</v>
      </c>
    </row>
    <row r="28" spans="1:9">
      <c r="A28" s="101" t="s">
        <v>119</v>
      </c>
      <c r="B28" s="100">
        <v>0</v>
      </c>
      <c r="C28" s="99"/>
      <c r="D28" s="98"/>
      <c r="E28" s="99"/>
      <c r="F28" s="98"/>
      <c r="G28" s="98"/>
      <c r="H28" s="97"/>
      <c r="I28" s="96" t="s">
        <v>118</v>
      </c>
    </row>
    <row r="29" spans="1:9">
      <c r="A29" s="107" t="s">
        <v>117</v>
      </c>
      <c r="B29" s="106">
        <v>1</v>
      </c>
      <c r="C29" s="105">
        <f>278002657.6/1000</f>
        <v>278002.65760000004</v>
      </c>
      <c r="D29" s="104">
        <f>305783164.44/1000</f>
        <v>305783.16444000002</v>
      </c>
      <c r="E29" s="105">
        <f>744438080.83/1000</f>
        <v>744438.08082999999</v>
      </c>
      <c r="F29" s="104">
        <f>438900/1000</f>
        <v>438.9</v>
      </c>
      <c r="G29" s="104">
        <f>1778667.6/1000</f>
        <v>1778.6676</v>
      </c>
      <c r="H29" s="103">
        <f>90194080.43/1000</f>
        <v>90194.080430000002</v>
      </c>
      <c r="I29" s="102" t="s">
        <v>116</v>
      </c>
    </row>
    <row r="30" spans="1:9">
      <c r="A30" s="107" t="s">
        <v>115</v>
      </c>
      <c r="B30" s="106">
        <v>4</v>
      </c>
      <c r="C30" s="105">
        <f>883173300.43/1000</f>
        <v>883173.30042999994</v>
      </c>
      <c r="D30" s="104">
        <f>867036383/1000</f>
        <v>867036.38300000003</v>
      </c>
      <c r="E30" s="105">
        <f>2364687955.42/1000</f>
        <v>2364687.95542</v>
      </c>
      <c r="F30" s="104">
        <f>2938940.6/1000</f>
        <v>2938.9405999999999</v>
      </c>
      <c r="G30" s="104">
        <f>1124136.34/1000</f>
        <v>1124.13634</v>
      </c>
      <c r="H30" s="103">
        <f>161187018.36/1000</f>
        <v>161187.01836000002</v>
      </c>
      <c r="I30" s="102" t="s">
        <v>114</v>
      </c>
    </row>
    <row r="31" spans="1:9">
      <c r="A31" s="107" t="s">
        <v>113</v>
      </c>
      <c r="B31" s="106">
        <v>1</v>
      </c>
      <c r="C31" s="105">
        <f>132524624.79/1000</f>
        <v>132524.62479</v>
      </c>
      <c r="D31" s="104">
        <f>152831975.05/1000</f>
        <v>152831.97505000001</v>
      </c>
      <c r="E31" s="105">
        <f>322973379.43/1000</f>
        <v>322973.37943000003</v>
      </c>
      <c r="F31" s="104">
        <f>201000/1000</f>
        <v>201</v>
      </c>
      <c r="G31" s="104">
        <f>569151.48/1000</f>
        <v>569.15147999999999</v>
      </c>
      <c r="H31" s="103">
        <f>8489566.15/1000</f>
        <v>8489.5661500000006</v>
      </c>
      <c r="I31" s="102" t="s">
        <v>112</v>
      </c>
    </row>
    <row r="32" spans="1:9">
      <c r="A32" s="107" t="s">
        <v>111</v>
      </c>
      <c r="B32" s="106">
        <v>1</v>
      </c>
      <c r="C32" s="105">
        <f>81686686.23/1000</f>
        <v>81686.686230000007</v>
      </c>
      <c r="D32" s="104">
        <f>91244153.3/1000</f>
        <v>91244.153299999991</v>
      </c>
      <c r="E32" s="105">
        <f>173079829.24/1000</f>
        <v>173079.82924000002</v>
      </c>
      <c r="F32" s="104">
        <f>433000/1000</f>
        <v>433</v>
      </c>
      <c r="G32" s="104">
        <f>979389.9/1000</f>
        <v>979.38990000000001</v>
      </c>
      <c r="H32" s="103">
        <f>37025025.01/1000</f>
        <v>37025.025009999998</v>
      </c>
      <c r="I32" s="102" t="s">
        <v>110</v>
      </c>
    </row>
    <row r="33" spans="1:9">
      <c r="A33" s="101" t="s">
        <v>109</v>
      </c>
      <c r="B33" s="100">
        <v>0</v>
      </c>
      <c r="C33" s="99"/>
      <c r="D33" s="98"/>
      <c r="E33" s="99"/>
      <c r="F33" s="98"/>
      <c r="G33" s="98"/>
      <c r="H33" s="97"/>
      <c r="I33" s="96" t="s">
        <v>108</v>
      </c>
    </row>
    <row r="34" spans="1:9">
      <c r="A34" s="107" t="s">
        <v>107</v>
      </c>
      <c r="B34" s="106">
        <v>1</v>
      </c>
      <c r="C34" s="105">
        <f>64004838.47/1000</f>
        <v>64004.838470000002</v>
      </c>
      <c r="D34" s="104">
        <f>94637114.62/1000</f>
        <v>94637.114620000008</v>
      </c>
      <c r="E34" s="105">
        <f>135230998.67/1000</f>
        <v>135230.99867</v>
      </c>
      <c r="F34" s="104">
        <f>432000/1000</f>
        <v>432</v>
      </c>
      <c r="G34" s="104">
        <f>189646.08/1000</f>
        <v>189.64607999999998</v>
      </c>
      <c r="H34" s="103">
        <f>5547957.16/1000</f>
        <v>5547.9571599999999</v>
      </c>
      <c r="I34" s="102" t="s">
        <v>106</v>
      </c>
    </row>
    <row r="35" spans="1:9">
      <c r="A35" s="101" t="s">
        <v>105</v>
      </c>
      <c r="B35" s="100">
        <v>0</v>
      </c>
      <c r="C35" s="99"/>
      <c r="D35" s="98"/>
      <c r="E35" s="99"/>
      <c r="F35" s="98"/>
      <c r="G35" s="98"/>
      <c r="H35" s="97"/>
      <c r="I35" s="96" t="s">
        <v>104</v>
      </c>
    </row>
    <row r="36" spans="1:9">
      <c r="A36" s="101" t="s">
        <v>103</v>
      </c>
      <c r="B36" s="100">
        <v>0</v>
      </c>
      <c r="C36" s="99"/>
      <c r="D36" s="98"/>
      <c r="E36" s="99"/>
      <c r="F36" s="98"/>
      <c r="G36" s="98"/>
      <c r="H36" s="97"/>
      <c r="I36" s="96" t="s">
        <v>102</v>
      </c>
    </row>
    <row r="37" spans="1:9">
      <c r="A37" s="101" t="s">
        <v>101</v>
      </c>
      <c r="B37" s="100">
        <v>0</v>
      </c>
      <c r="C37" s="99"/>
      <c r="D37" s="98"/>
      <c r="E37" s="99"/>
      <c r="F37" s="98"/>
      <c r="G37" s="98"/>
      <c r="H37" s="97"/>
      <c r="I37" s="96" t="s">
        <v>100</v>
      </c>
    </row>
    <row r="38" spans="1:9">
      <c r="A38" s="101" t="s">
        <v>99</v>
      </c>
      <c r="B38" s="100">
        <v>0</v>
      </c>
      <c r="C38" s="99"/>
      <c r="D38" s="98"/>
      <c r="E38" s="99"/>
      <c r="F38" s="98"/>
      <c r="G38" s="98"/>
      <c r="H38" s="97"/>
      <c r="I38" s="96" t="s">
        <v>98</v>
      </c>
    </row>
    <row r="39" spans="1:9">
      <c r="A39" s="107" t="s">
        <v>97</v>
      </c>
      <c r="B39" s="106">
        <v>1</v>
      </c>
      <c r="C39" s="105">
        <f>48709768.85/1000</f>
        <v>48709.76885</v>
      </c>
      <c r="D39" s="104">
        <f>48353239.5/1000</f>
        <v>48353.239500000003</v>
      </c>
      <c r="E39" s="105">
        <f>114404214.14/1000</f>
        <v>114404.21414</v>
      </c>
      <c r="F39" s="104">
        <f>2186278.03/1000</f>
        <v>2186.2780299999999</v>
      </c>
      <c r="G39" s="104">
        <f>230306.74/1000</f>
        <v>230.30673999999999</v>
      </c>
      <c r="H39" s="103">
        <f>22170387.48/1000</f>
        <v>22170.387480000001</v>
      </c>
      <c r="I39" s="102" t="s">
        <v>96</v>
      </c>
    </row>
    <row r="40" spans="1:9">
      <c r="A40" s="101" t="s">
        <v>95</v>
      </c>
      <c r="B40" s="100">
        <v>0</v>
      </c>
      <c r="C40" s="99"/>
      <c r="D40" s="98"/>
      <c r="E40" s="99"/>
      <c r="F40" s="98"/>
      <c r="G40" s="98"/>
      <c r="H40" s="97"/>
      <c r="I40" s="96" t="s">
        <v>94</v>
      </c>
    </row>
    <row r="41" spans="1:9">
      <c r="A41" s="101" t="s">
        <v>93</v>
      </c>
      <c r="B41" s="100">
        <v>0</v>
      </c>
      <c r="C41" s="99"/>
      <c r="D41" s="98"/>
      <c r="E41" s="99"/>
      <c r="F41" s="98"/>
      <c r="G41" s="98"/>
      <c r="H41" s="97"/>
      <c r="I41" s="96" t="s">
        <v>92</v>
      </c>
    </row>
    <row r="42" spans="1:9">
      <c r="A42" s="95"/>
      <c r="B42" s="93"/>
      <c r="C42" s="94"/>
      <c r="D42" s="93"/>
      <c r="E42" s="94"/>
      <c r="F42" s="93"/>
      <c r="G42" s="93"/>
      <c r="H42" s="92"/>
      <c r="I42" s="91"/>
    </row>
    <row r="43" spans="1:9" s="90" customFormat="1" ht="19.8">
      <c r="A43" s="90" t="s">
        <v>91</v>
      </c>
    </row>
    <row r="44" spans="1:9" s="90" customFormat="1" ht="5.25" customHeight="1"/>
    <row r="45" spans="1:9" s="90" customFormat="1" ht="19.8">
      <c r="A45" s="90" t="s">
        <v>90</v>
      </c>
    </row>
  </sheetData>
  <mergeCells count="4">
    <mergeCell ref="A4:A8"/>
    <mergeCell ref="C4:E4"/>
    <mergeCell ref="F4:H4"/>
    <mergeCell ref="I4:I8"/>
  </mergeCells>
  <pageMargins left="0.26" right="0.15748031496062992" top="0.31496062992125984" bottom="0.19685039370078741" header="0.15748031496062992" footer="0.15748031496062992"/>
  <pageSetup paperSize="9" scale="8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T227"/>
  <sheetViews>
    <sheetView showGridLines="0" topLeftCell="I23" workbookViewId="0">
      <selection activeCell="P32" sqref="P32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53"/>
      <c r="L3" s="344" t="s">
        <v>65</v>
      </c>
      <c r="M3" s="344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46"/>
      <c r="M4" s="346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38" t="s">
        <v>74</v>
      </c>
      <c r="G5" s="339"/>
      <c r="H5" s="345"/>
      <c r="I5" s="338" t="s">
        <v>75</v>
      </c>
      <c r="J5" s="339"/>
      <c r="K5" s="345"/>
      <c r="L5" s="56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40" t="s">
        <v>66</v>
      </c>
      <c r="B7" s="340"/>
      <c r="C7" s="340"/>
      <c r="D7" s="341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83" t="s">
        <v>84</v>
      </c>
      <c r="G9" s="23" t="s">
        <v>88</v>
      </c>
      <c r="H9" s="23" t="s">
        <v>20</v>
      </c>
      <c r="I9" s="83" t="s">
        <v>84</v>
      </c>
      <c r="J9" s="23" t="s">
        <v>88</v>
      </c>
      <c r="K9" s="23" t="s">
        <v>20</v>
      </c>
      <c r="L9" s="57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47" t="s">
        <v>42</v>
      </c>
      <c r="B11" s="347"/>
      <c r="C11" s="347"/>
      <c r="D11" s="348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58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84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84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84"/>
      <c r="F32" s="51"/>
      <c r="G32" s="51"/>
      <c r="H32" s="51"/>
      <c r="I32" s="51"/>
      <c r="J32" s="51"/>
      <c r="K32" s="51"/>
      <c r="L32" s="344" t="s">
        <v>65</v>
      </c>
      <c r="M32" s="344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38" t="s">
        <v>74</v>
      </c>
      <c r="G33" s="339"/>
      <c r="H33" s="345"/>
      <c r="I33" s="338" t="s">
        <v>75</v>
      </c>
      <c r="J33" s="339"/>
      <c r="K33" s="345"/>
      <c r="L33" s="85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40" t="s">
        <v>66</v>
      </c>
      <c r="B35" s="340"/>
      <c r="C35" s="340"/>
      <c r="D35" s="341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86" t="s">
        <v>84</v>
      </c>
      <c r="G37" s="23" t="s">
        <v>88</v>
      </c>
      <c r="H37" s="23" t="s">
        <v>20</v>
      </c>
      <c r="I37" s="86" t="s">
        <v>84</v>
      </c>
      <c r="J37" s="23" t="s">
        <v>88</v>
      </c>
      <c r="K37" s="23" t="s">
        <v>20</v>
      </c>
      <c r="L37" s="86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21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53"/>
      <c r="S226" s="10"/>
      <c r="T226" s="10"/>
    </row>
    <row r="227" spans="1:20" s="21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53"/>
      <c r="S227" s="10"/>
      <c r="T227" s="10"/>
    </row>
  </sheetData>
  <mergeCells count="10">
    <mergeCell ref="A35:D35"/>
    <mergeCell ref="L32:M32"/>
    <mergeCell ref="F33:H33"/>
    <mergeCell ref="I33:K33"/>
    <mergeCell ref="L3:M3"/>
    <mergeCell ref="L4:M4"/>
    <mergeCell ref="A11:D11"/>
    <mergeCell ref="I5:K5"/>
    <mergeCell ref="F5:H5"/>
    <mergeCell ref="A7:D7"/>
  </mergeCells>
  <phoneticPr fontId="3" type="noConversion"/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3"/>
  <sheetViews>
    <sheetView showGridLines="0" topLeftCell="J20" workbookViewId="0">
      <selection activeCell="U26" sqref="U26"/>
    </sheetView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7.87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12" t="s">
        <v>32</v>
      </c>
      <c r="B5" s="312"/>
      <c r="C5" s="312"/>
      <c r="D5" s="313"/>
      <c r="E5" s="299" t="s">
        <v>2</v>
      </c>
      <c r="F5" s="318" t="s">
        <v>30</v>
      </c>
      <c r="G5" s="319"/>
      <c r="H5" s="319"/>
      <c r="I5" s="319"/>
      <c r="J5" s="320"/>
      <c r="K5" s="318" t="s">
        <v>60</v>
      </c>
      <c r="L5" s="319"/>
      <c r="M5" s="319"/>
      <c r="N5" s="319"/>
      <c r="O5" s="319"/>
      <c r="P5" s="320"/>
      <c r="Q5" s="321" t="s">
        <v>33</v>
      </c>
      <c r="R5" s="322"/>
      <c r="S5" s="291"/>
      <c r="T5" s="266"/>
    </row>
    <row r="6" spans="1:21" s="265" customFormat="1" ht="23.25" customHeight="1">
      <c r="A6" s="314"/>
      <c r="B6" s="314"/>
      <c r="C6" s="314"/>
      <c r="D6" s="315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27"/>
      <c r="M6" s="328"/>
      <c r="N6" s="291"/>
      <c r="O6" s="295"/>
      <c r="P6" s="295"/>
      <c r="Q6" s="323"/>
      <c r="R6" s="324"/>
      <c r="S6" s="291"/>
      <c r="T6" s="266"/>
    </row>
    <row r="7" spans="1:21" s="265" customFormat="1" ht="23.25" customHeight="1">
      <c r="A7" s="314"/>
      <c r="B7" s="314"/>
      <c r="C7" s="314"/>
      <c r="D7" s="315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27" t="s">
        <v>9</v>
      </c>
      <c r="M7" s="328"/>
      <c r="N7" s="291" t="s">
        <v>10</v>
      </c>
      <c r="O7" s="295" t="s">
        <v>11</v>
      </c>
      <c r="P7" s="295" t="s">
        <v>61</v>
      </c>
      <c r="Q7" s="323"/>
      <c r="R7" s="324"/>
      <c r="S7" s="291"/>
      <c r="T7" s="266"/>
    </row>
    <row r="8" spans="1:21" s="265" customFormat="1" ht="23.25" customHeight="1">
      <c r="A8" s="316"/>
      <c r="B8" s="316"/>
      <c r="C8" s="316"/>
      <c r="D8" s="317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29" t="s">
        <v>86</v>
      </c>
      <c r="M8" s="330"/>
      <c r="N8" s="293" t="s">
        <v>87</v>
      </c>
      <c r="O8" s="292" t="s">
        <v>12</v>
      </c>
      <c r="P8" s="292" t="s">
        <v>73</v>
      </c>
      <c r="Q8" s="325"/>
      <c r="R8" s="326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F5:J5"/>
    <mergeCell ref="K5:P5"/>
    <mergeCell ref="Q5:R8"/>
    <mergeCell ref="L6:M6"/>
    <mergeCell ref="L7:M7"/>
    <mergeCell ref="L8:M8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showGridLines="0" workbookViewId="0">
      <selection activeCell="D14" sqref="D14"/>
    </sheetView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4.62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12" t="s">
        <v>32</v>
      </c>
      <c r="B5" s="312"/>
      <c r="C5" s="312"/>
      <c r="D5" s="313"/>
      <c r="E5" s="299" t="s">
        <v>2</v>
      </c>
      <c r="F5" s="318" t="s">
        <v>30</v>
      </c>
      <c r="G5" s="319"/>
      <c r="H5" s="319"/>
      <c r="I5" s="319"/>
      <c r="J5" s="320"/>
      <c r="K5" s="318" t="s">
        <v>60</v>
      </c>
      <c r="L5" s="319"/>
      <c r="M5" s="319"/>
      <c r="N5" s="319"/>
      <c r="O5" s="319"/>
      <c r="P5" s="320"/>
      <c r="Q5" s="321" t="s">
        <v>33</v>
      </c>
      <c r="R5" s="322"/>
      <c r="S5" s="291"/>
      <c r="T5" s="266"/>
    </row>
    <row r="6" spans="1:21" s="265" customFormat="1" ht="23.25" customHeight="1">
      <c r="A6" s="314"/>
      <c r="B6" s="314"/>
      <c r="C6" s="314"/>
      <c r="D6" s="315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27"/>
      <c r="M6" s="328"/>
      <c r="N6" s="291"/>
      <c r="O6" s="295"/>
      <c r="P6" s="295"/>
      <c r="Q6" s="323"/>
      <c r="R6" s="324"/>
      <c r="S6" s="291"/>
      <c r="T6" s="266"/>
    </row>
    <row r="7" spans="1:21" s="265" customFormat="1" ht="23.25" customHeight="1">
      <c r="A7" s="314"/>
      <c r="B7" s="314"/>
      <c r="C7" s="314"/>
      <c r="D7" s="315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27" t="s">
        <v>9</v>
      </c>
      <c r="M7" s="328"/>
      <c r="N7" s="291" t="s">
        <v>10</v>
      </c>
      <c r="O7" s="295" t="s">
        <v>11</v>
      </c>
      <c r="P7" s="295" t="s">
        <v>61</v>
      </c>
      <c r="Q7" s="323"/>
      <c r="R7" s="324"/>
      <c r="S7" s="291"/>
      <c r="T7" s="266"/>
    </row>
    <row r="8" spans="1:21" s="265" customFormat="1" ht="23.25" customHeight="1">
      <c r="A8" s="316"/>
      <c r="B8" s="316"/>
      <c r="C8" s="316"/>
      <c r="D8" s="317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29" t="s">
        <v>86</v>
      </c>
      <c r="M8" s="330"/>
      <c r="N8" s="293" t="s">
        <v>87</v>
      </c>
      <c r="O8" s="292" t="s">
        <v>12</v>
      </c>
      <c r="P8" s="292" t="s">
        <v>73</v>
      </c>
      <c r="Q8" s="325"/>
      <c r="R8" s="326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36"/>
  <sheetViews>
    <sheetView showGridLines="0" zoomScale="80" zoomScaleNormal="80" workbookViewId="0">
      <selection activeCell="F5" sqref="F5:J5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36"/>
      <c r="L2" s="336"/>
      <c r="M2" s="336"/>
      <c r="N2" s="336"/>
      <c r="O2" s="336"/>
      <c r="P2" s="147"/>
      <c r="Q2" s="147"/>
      <c r="R2" s="11"/>
    </row>
    <row r="3" spans="1:22" s="5" customFormat="1">
      <c r="B3" s="7"/>
      <c r="C3" s="3"/>
      <c r="D3" s="7"/>
      <c r="K3" s="147"/>
      <c r="L3" s="147"/>
      <c r="M3" s="147"/>
      <c r="N3" s="147"/>
      <c r="O3" s="147"/>
      <c r="P3" s="162" t="s">
        <v>256</v>
      </c>
      <c r="Q3" s="14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41"/>
      <c r="C5" s="141"/>
      <c r="D5" s="65"/>
      <c r="E5" s="14" t="s">
        <v>2</v>
      </c>
      <c r="F5" s="337" t="s">
        <v>30</v>
      </c>
      <c r="G5" s="337"/>
      <c r="H5" s="337"/>
      <c r="I5" s="337"/>
      <c r="J5" s="337"/>
      <c r="K5" s="338" t="s">
        <v>60</v>
      </c>
      <c r="L5" s="339"/>
      <c r="M5" s="339"/>
      <c r="N5" s="339"/>
      <c r="O5" s="339"/>
      <c r="P5" s="339"/>
      <c r="Q5" s="339"/>
      <c r="R5" s="339"/>
    </row>
    <row r="6" spans="1:22" s="13" customFormat="1" ht="24" customHeight="1">
      <c r="A6" s="340" t="s">
        <v>5</v>
      </c>
      <c r="B6" s="340"/>
      <c r="C6" s="340"/>
      <c r="D6" s="341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2"/>
      <c r="M6" s="343"/>
      <c r="N6" s="152"/>
      <c r="O6" s="154"/>
      <c r="P6" s="16"/>
      <c r="Q6" s="16"/>
      <c r="R6" s="152"/>
    </row>
    <row r="7" spans="1:22" s="13" customFormat="1" ht="24" customHeight="1">
      <c r="A7" s="340" t="s">
        <v>38</v>
      </c>
      <c r="B7" s="340"/>
      <c r="C7" s="340"/>
      <c r="D7" s="341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2" t="s">
        <v>9</v>
      </c>
      <c r="M7" s="343"/>
      <c r="N7" s="342" t="s">
        <v>10</v>
      </c>
      <c r="O7" s="343"/>
      <c r="P7" s="145" t="s">
        <v>11</v>
      </c>
      <c r="Q7" s="16"/>
      <c r="R7" s="145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155" t="s">
        <v>1</v>
      </c>
      <c r="L8" s="334" t="s">
        <v>86</v>
      </c>
      <c r="M8" s="335"/>
      <c r="N8" s="334" t="s">
        <v>87</v>
      </c>
      <c r="O8" s="335"/>
      <c r="P8" s="143" t="s">
        <v>12</v>
      </c>
      <c r="Q8" s="155"/>
      <c r="R8" s="143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31" t="s">
        <v>257</v>
      </c>
      <c r="B10" s="331"/>
      <c r="C10" s="331"/>
      <c r="D10" s="332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31" t="s">
        <v>258</v>
      </c>
      <c r="B11" s="331"/>
      <c r="C11" s="331"/>
      <c r="D11" s="332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31" t="s">
        <v>259</v>
      </c>
      <c r="B12" s="331"/>
      <c r="C12" s="331"/>
      <c r="D12" s="332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31" t="s">
        <v>260</v>
      </c>
      <c r="B13" s="331"/>
      <c r="C13" s="331"/>
      <c r="D13" s="332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33" t="s">
        <v>261</v>
      </c>
      <c r="B14" s="333"/>
      <c r="C14" s="333"/>
      <c r="D14" s="332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31" t="s">
        <v>262</v>
      </c>
      <c r="B15" s="331"/>
      <c r="C15" s="331"/>
      <c r="D15" s="332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31" t="s">
        <v>263</v>
      </c>
      <c r="B16" s="331"/>
      <c r="C16" s="331"/>
      <c r="D16" s="332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31" t="s">
        <v>264</v>
      </c>
      <c r="B17" s="331"/>
      <c r="C17" s="331"/>
      <c r="D17" s="332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31" t="s">
        <v>265</v>
      </c>
      <c r="B18" s="331"/>
      <c r="C18" s="331"/>
      <c r="D18" s="332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31" t="s">
        <v>266</v>
      </c>
      <c r="B19" s="331"/>
      <c r="C19" s="331"/>
      <c r="D19" s="332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31" t="s">
        <v>270</v>
      </c>
      <c r="B20" s="331"/>
      <c r="C20" s="331"/>
      <c r="D20" s="332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13:D13"/>
    <mergeCell ref="K2:O2"/>
    <mergeCell ref="F5:J5"/>
    <mergeCell ref="K5:R5"/>
    <mergeCell ref="A6:D6"/>
    <mergeCell ref="L6:M6"/>
    <mergeCell ref="A7:D7"/>
    <mergeCell ref="L7:M7"/>
    <mergeCell ref="N7:O7"/>
    <mergeCell ref="L8:M8"/>
    <mergeCell ref="N8:O8"/>
    <mergeCell ref="A10:D10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V36"/>
  <sheetViews>
    <sheetView showGridLines="0" topLeftCell="B1" zoomScale="80" zoomScaleNormal="80" workbookViewId="0">
      <selection activeCell="F5" sqref="F5:J5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36"/>
      <c r="L2" s="336"/>
      <c r="M2" s="336"/>
      <c r="N2" s="336"/>
      <c r="O2" s="336"/>
      <c r="P2" s="64"/>
      <c r="Q2" s="64"/>
      <c r="R2" s="11"/>
    </row>
    <row r="3" spans="1:22" s="5" customFormat="1">
      <c r="B3" s="7"/>
      <c r="C3" s="3"/>
      <c r="D3" s="7"/>
      <c r="K3" s="64"/>
      <c r="L3" s="64"/>
      <c r="M3" s="64"/>
      <c r="N3" s="64"/>
      <c r="O3" s="64"/>
      <c r="P3" s="162" t="s">
        <v>256</v>
      </c>
      <c r="Q3" s="8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5"/>
      <c r="C5" s="15"/>
      <c r="D5" s="65"/>
      <c r="E5" s="14" t="s">
        <v>2</v>
      </c>
      <c r="F5" s="337" t="s">
        <v>30</v>
      </c>
      <c r="G5" s="337"/>
      <c r="H5" s="337"/>
      <c r="I5" s="337"/>
      <c r="J5" s="337"/>
      <c r="K5" s="338" t="s">
        <v>60</v>
      </c>
      <c r="L5" s="339"/>
      <c r="M5" s="339"/>
      <c r="N5" s="339"/>
      <c r="O5" s="339"/>
      <c r="P5" s="339"/>
      <c r="Q5" s="339"/>
      <c r="R5" s="339"/>
    </row>
    <row r="6" spans="1:22" s="13" customFormat="1" ht="24" customHeight="1">
      <c r="A6" s="340" t="s">
        <v>5</v>
      </c>
      <c r="B6" s="340"/>
      <c r="C6" s="340"/>
      <c r="D6" s="341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2"/>
      <c r="M6" s="343"/>
      <c r="N6" s="66"/>
      <c r="O6" s="67"/>
      <c r="P6" s="16"/>
      <c r="Q6" s="16"/>
      <c r="R6" s="66"/>
    </row>
    <row r="7" spans="1:22" s="13" customFormat="1" ht="24" customHeight="1">
      <c r="A7" s="340" t="s">
        <v>38</v>
      </c>
      <c r="B7" s="340"/>
      <c r="C7" s="340"/>
      <c r="D7" s="341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2" t="s">
        <v>9</v>
      </c>
      <c r="M7" s="343"/>
      <c r="N7" s="342" t="s">
        <v>10</v>
      </c>
      <c r="O7" s="343"/>
      <c r="P7" s="20" t="s">
        <v>11</v>
      </c>
      <c r="Q7" s="16"/>
      <c r="R7" s="20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57" t="s">
        <v>1</v>
      </c>
      <c r="L8" s="334" t="s">
        <v>86</v>
      </c>
      <c r="M8" s="335"/>
      <c r="N8" s="334" t="s">
        <v>87</v>
      </c>
      <c r="O8" s="335"/>
      <c r="P8" s="77" t="s">
        <v>12</v>
      </c>
      <c r="Q8" s="57"/>
      <c r="R8" s="77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31" t="s">
        <v>257</v>
      </c>
      <c r="B10" s="331"/>
      <c r="C10" s="331"/>
      <c r="D10" s="332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31" t="s">
        <v>258</v>
      </c>
      <c r="B11" s="331"/>
      <c r="C11" s="331"/>
      <c r="D11" s="332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31" t="s">
        <v>259</v>
      </c>
      <c r="B12" s="331"/>
      <c r="C12" s="331"/>
      <c r="D12" s="332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31" t="s">
        <v>260</v>
      </c>
      <c r="B13" s="331"/>
      <c r="C13" s="331"/>
      <c r="D13" s="332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33" t="s">
        <v>261</v>
      </c>
      <c r="B14" s="333"/>
      <c r="C14" s="333"/>
      <c r="D14" s="332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31" t="s">
        <v>262</v>
      </c>
      <c r="B15" s="331"/>
      <c r="C15" s="331"/>
      <c r="D15" s="332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31" t="s">
        <v>263</v>
      </c>
      <c r="B16" s="331"/>
      <c r="C16" s="331"/>
      <c r="D16" s="332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31" t="s">
        <v>264</v>
      </c>
      <c r="B17" s="331"/>
      <c r="C17" s="331"/>
      <c r="D17" s="332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31" t="s">
        <v>265</v>
      </c>
      <c r="B18" s="331"/>
      <c r="C18" s="331"/>
      <c r="D18" s="332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31" t="s">
        <v>266</v>
      </c>
      <c r="B19" s="331"/>
      <c r="C19" s="331"/>
      <c r="D19" s="332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31" t="s">
        <v>270</v>
      </c>
      <c r="B20" s="331"/>
      <c r="C20" s="331"/>
      <c r="D20" s="332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15:D15"/>
    <mergeCell ref="A16:D16"/>
    <mergeCell ref="A17:D17"/>
    <mergeCell ref="A18:D18"/>
    <mergeCell ref="A19:D19"/>
    <mergeCell ref="A20:D20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</mergeCells>
  <phoneticPr fontId="3" type="noConversion"/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91"/>
  <sheetViews>
    <sheetView showGridLines="0" topLeftCell="A27" workbookViewId="0">
      <selection activeCell="I40" sqref="I40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48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63"/>
      <c r="B5" s="363"/>
      <c r="C5" s="363"/>
      <c r="D5" s="353"/>
      <c r="E5" s="18"/>
      <c r="F5" s="334" t="s">
        <v>76</v>
      </c>
      <c r="G5" s="362"/>
      <c r="H5" s="335"/>
      <c r="I5" s="334" t="s">
        <v>77</v>
      </c>
      <c r="J5" s="362"/>
      <c r="K5" s="362"/>
      <c r="L5" s="335"/>
      <c r="M5" s="360"/>
    </row>
    <row r="6" spans="1:18" s="32" customFormat="1" ht="21" customHeight="1">
      <c r="A6" s="363"/>
      <c r="B6" s="363"/>
      <c r="C6" s="363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63"/>
      <c r="B7" s="363"/>
      <c r="C7" s="363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145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146" t="s">
        <v>72</v>
      </c>
      <c r="M8" s="361"/>
      <c r="N8" s="8"/>
    </row>
    <row r="9" spans="1:18" s="32" customFormat="1" ht="3" customHeight="1">
      <c r="A9" s="142"/>
      <c r="B9" s="142"/>
      <c r="C9" s="142"/>
      <c r="D9" s="142"/>
      <c r="E9" s="14"/>
      <c r="F9" s="14"/>
      <c r="G9" s="14"/>
      <c r="H9" s="14"/>
      <c r="I9" s="14"/>
      <c r="J9" s="14"/>
      <c r="K9" s="14"/>
      <c r="L9" s="14"/>
      <c r="M9" s="151"/>
    </row>
    <row r="10" spans="1:18" s="44" customFormat="1" ht="24.75" customHeight="1">
      <c r="A10" s="347" t="s">
        <v>42</v>
      </c>
      <c r="B10" s="347"/>
      <c r="C10" s="347"/>
      <c r="D10" s="347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4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52"/>
      <c r="B32" s="352"/>
      <c r="C32" s="352"/>
      <c r="D32" s="353"/>
      <c r="E32" s="18"/>
      <c r="F32" s="334" t="s">
        <v>76</v>
      </c>
      <c r="G32" s="362"/>
      <c r="H32" s="335"/>
      <c r="I32" s="334" t="s">
        <v>77</v>
      </c>
      <c r="J32" s="362"/>
      <c r="K32" s="362"/>
      <c r="L32" s="335"/>
      <c r="M32" s="360"/>
      <c r="N32" s="32"/>
      <c r="O32" s="135"/>
      <c r="P32" s="135"/>
      <c r="Q32" s="135"/>
      <c r="R32" s="135"/>
    </row>
    <row r="33" spans="1:18" s="44" customFormat="1" ht="18" customHeight="1">
      <c r="A33" s="352"/>
      <c r="B33" s="352"/>
      <c r="C33" s="352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52"/>
      <c r="B34" s="352"/>
      <c r="C34" s="352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149"/>
      <c r="B162" s="149"/>
      <c r="C162" s="149"/>
      <c r="D162" s="149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149"/>
      <c r="B163" s="81" t="s">
        <v>85</v>
      </c>
      <c r="C163" s="149"/>
      <c r="D163" s="149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149"/>
      <c r="B164" s="149"/>
      <c r="C164" s="149"/>
      <c r="D164" s="149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149"/>
      <c r="B165" s="149"/>
      <c r="C165" s="149"/>
      <c r="D165" s="149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149"/>
      <c r="B166" s="149"/>
      <c r="C166" s="149"/>
      <c r="D166" s="149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149"/>
      <c r="B167" s="149"/>
      <c r="C167" s="149"/>
      <c r="D167" s="149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149"/>
      <c r="B168" s="149"/>
      <c r="C168" s="149"/>
      <c r="D168" s="149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4:D8"/>
    <mergeCell ref="F4:H4"/>
    <mergeCell ref="I4:L4"/>
    <mergeCell ref="M4:M8"/>
    <mergeCell ref="F5:H5"/>
    <mergeCell ref="I5:L5"/>
    <mergeCell ref="A10:D10"/>
    <mergeCell ref="A31:D35"/>
    <mergeCell ref="F31:H31"/>
    <mergeCell ref="I31:L31"/>
    <mergeCell ref="M31:M35"/>
    <mergeCell ref="F32:H32"/>
    <mergeCell ref="I32:L32"/>
  </mergeCells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R191"/>
  <sheetViews>
    <sheetView showGridLines="0" topLeftCell="A27" workbookViewId="0">
      <selection activeCell="I40" sqref="I40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63"/>
      <c r="B5" s="363"/>
      <c r="C5" s="363"/>
      <c r="D5" s="353"/>
      <c r="E5" s="18"/>
      <c r="F5" s="334" t="s">
        <v>76</v>
      </c>
      <c r="G5" s="362"/>
      <c r="H5" s="335"/>
      <c r="I5" s="334" t="s">
        <v>77</v>
      </c>
      <c r="J5" s="362"/>
      <c r="K5" s="362"/>
      <c r="L5" s="335"/>
      <c r="M5" s="360"/>
    </row>
    <row r="6" spans="1:18" s="32" customFormat="1" ht="21" customHeight="1">
      <c r="A6" s="363"/>
      <c r="B6" s="363"/>
      <c r="C6" s="363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63"/>
      <c r="B7" s="363"/>
      <c r="C7" s="363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20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69" t="s">
        <v>72</v>
      </c>
      <c r="M8" s="361"/>
      <c r="N8" s="8"/>
    </row>
    <row r="9" spans="1:18" s="32" customFormat="1" ht="3" customHeight="1">
      <c r="A9" s="53"/>
      <c r="B9" s="53"/>
      <c r="C9" s="53"/>
      <c r="D9" s="53"/>
      <c r="E9" s="14"/>
      <c r="F9" s="14"/>
      <c r="G9" s="14"/>
      <c r="H9" s="14"/>
      <c r="I9" s="14"/>
      <c r="J9" s="14"/>
      <c r="K9" s="14"/>
      <c r="L9" s="14"/>
      <c r="M9" s="70"/>
    </row>
    <row r="10" spans="1:18" s="44" customFormat="1" ht="24.75" customHeight="1">
      <c r="A10" s="347" t="s">
        <v>42</v>
      </c>
      <c r="B10" s="347"/>
      <c r="C10" s="347"/>
      <c r="D10" s="347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8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52"/>
      <c r="B32" s="352"/>
      <c r="C32" s="352"/>
      <c r="D32" s="353"/>
      <c r="E32" s="18"/>
      <c r="F32" s="334" t="s">
        <v>76</v>
      </c>
      <c r="G32" s="362"/>
      <c r="H32" s="335"/>
      <c r="I32" s="334" t="s">
        <v>77</v>
      </c>
      <c r="J32" s="362"/>
      <c r="K32" s="362"/>
      <c r="L32" s="335"/>
      <c r="M32" s="360"/>
      <c r="N32" s="32"/>
      <c r="O32" s="135"/>
      <c r="P32" s="135"/>
      <c r="Q32" s="135"/>
      <c r="R32" s="135"/>
    </row>
    <row r="33" spans="1:18" s="44" customFormat="1" ht="18" customHeight="1">
      <c r="A33" s="352"/>
      <c r="B33" s="352"/>
      <c r="C33" s="352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52"/>
      <c r="B34" s="352"/>
      <c r="C34" s="352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58"/>
      <c r="B162" s="58"/>
      <c r="C162" s="58"/>
      <c r="D162" s="58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58"/>
      <c r="B163" s="81" t="s">
        <v>85</v>
      </c>
      <c r="C163" s="58"/>
      <c r="D163" s="58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58"/>
      <c r="B164" s="58"/>
      <c r="C164" s="58"/>
      <c r="D164" s="58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58"/>
      <c r="B165" s="58"/>
      <c r="C165" s="58"/>
      <c r="D165" s="58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58"/>
      <c r="B166" s="58"/>
      <c r="C166" s="58"/>
      <c r="D166" s="58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58"/>
      <c r="B167" s="58"/>
      <c r="C167" s="58"/>
      <c r="D167" s="58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58"/>
      <c r="B168" s="58"/>
      <c r="C168" s="58"/>
      <c r="D168" s="58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10:D10"/>
    <mergeCell ref="A31:D35"/>
    <mergeCell ref="F31:H31"/>
    <mergeCell ref="I31:L31"/>
    <mergeCell ref="M31:M35"/>
    <mergeCell ref="F32:H32"/>
    <mergeCell ref="I32:L32"/>
    <mergeCell ref="A4:D8"/>
    <mergeCell ref="M4:M8"/>
    <mergeCell ref="F4:H4"/>
    <mergeCell ref="F5:H5"/>
    <mergeCell ref="I4:L4"/>
    <mergeCell ref="I5:L5"/>
  </mergeCells>
  <phoneticPr fontId="3" type="noConversion"/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8"/>
  <sheetViews>
    <sheetView showGridLines="0" workbookViewId="0">
      <selection activeCell="K1" sqref="K1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157"/>
      <c r="C4" s="157"/>
      <c r="D4" s="158"/>
      <c r="E4" s="156" t="s">
        <v>46</v>
      </c>
      <c r="F4" s="36" t="s">
        <v>2</v>
      </c>
      <c r="G4" s="156" t="s">
        <v>48</v>
      </c>
      <c r="H4" s="37" t="s">
        <v>50</v>
      </c>
    </row>
    <row r="5" spans="1:16" s="32" customFormat="1" ht="21" customHeight="1">
      <c r="A5" s="366" t="s">
        <v>5</v>
      </c>
      <c r="B5" s="366"/>
      <c r="C5" s="366"/>
      <c r="D5" s="367"/>
      <c r="E5" s="156" t="s">
        <v>52</v>
      </c>
      <c r="F5" s="36" t="s">
        <v>47</v>
      </c>
      <c r="G5" s="156" t="s">
        <v>49</v>
      </c>
      <c r="H5" s="38" t="s">
        <v>51</v>
      </c>
    </row>
    <row r="6" spans="1:16" s="32" customFormat="1" ht="21" customHeight="1">
      <c r="A6" s="366" t="s">
        <v>38</v>
      </c>
      <c r="B6" s="366"/>
      <c r="C6" s="366"/>
      <c r="D6" s="367"/>
      <c r="E6" s="156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157"/>
      <c r="B7" s="157"/>
      <c r="C7" s="157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156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5" t="s">
        <v>257</v>
      </c>
      <c r="B10" s="365"/>
      <c r="C10" s="365"/>
      <c r="D10" s="368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5" t="s">
        <v>258</v>
      </c>
      <c r="B11" s="365"/>
      <c r="C11" s="365"/>
      <c r="D11" s="368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5" t="s">
        <v>259</v>
      </c>
      <c r="B12" s="365"/>
      <c r="C12" s="365"/>
      <c r="D12" s="365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5" t="s">
        <v>260</v>
      </c>
      <c r="B13" s="365"/>
      <c r="C13" s="365"/>
      <c r="D13" s="365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5" t="s">
        <v>261</v>
      </c>
      <c r="B14" s="365"/>
      <c r="C14" s="365"/>
      <c r="D14" s="365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5" t="s">
        <v>262</v>
      </c>
      <c r="B15" s="365"/>
      <c r="C15" s="365"/>
      <c r="D15" s="365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5" t="s">
        <v>263</v>
      </c>
      <c r="B16" s="365"/>
      <c r="C16" s="365"/>
      <c r="D16" s="365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5" t="s">
        <v>264</v>
      </c>
      <c r="B17" s="365"/>
      <c r="C17" s="365"/>
      <c r="D17" s="365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5" t="s">
        <v>265</v>
      </c>
      <c r="B18" s="365"/>
      <c r="C18" s="365"/>
      <c r="D18" s="365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5" t="s">
        <v>266</v>
      </c>
      <c r="B19" s="365"/>
      <c r="C19" s="365"/>
      <c r="D19" s="365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4"/>
      <c r="B20" s="364"/>
      <c r="C20" s="364"/>
      <c r="D20" s="364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13:D13"/>
    <mergeCell ref="A5:D5"/>
    <mergeCell ref="A6:D6"/>
    <mergeCell ref="A10:D10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T-18.3    </vt:lpstr>
      <vt:lpstr>T-18.3</vt:lpstr>
      <vt:lpstr>T-18.1   </vt:lpstr>
      <vt:lpstr>T-18.1</vt:lpstr>
      <vt:lpstr>T-18.2    </vt:lpstr>
      <vt:lpstr>T-18.2</vt:lpstr>
      <vt:lpstr>T-18.4   </vt:lpstr>
      <vt:lpstr>T-18.4</vt:lpstr>
      <vt:lpstr>T-18.5  </vt:lpstr>
      <vt:lpstr>T-18.5</vt:lpstr>
      <vt:lpstr>T-18.6   </vt:lpstr>
      <vt:lpstr>T-18.6     </vt:lpstr>
      <vt:lpstr>รายงานเงินฝาก </vt:lpstr>
      <vt:lpstr>'รายงานเงินฝาก '!Print_Titles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 7 V.3</cp:lastModifiedBy>
  <cp:lastPrinted>2018-06-21T08:54:08Z</cp:lastPrinted>
  <dcterms:created xsi:type="dcterms:W3CDTF">1997-06-13T10:07:54Z</dcterms:created>
  <dcterms:modified xsi:type="dcterms:W3CDTF">2018-06-21T09:26:31Z</dcterms:modified>
</cp:coreProperties>
</file>