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.4" sheetId="1" r:id="rId1"/>
  </sheets>
  <definedNames>
    <definedName name="_xlnm.Print_Area" localSheetId="0">'T-2.4'!$A$1:$AA$41</definedName>
  </definedNames>
  <calcPr calcId="124519"/>
</workbook>
</file>

<file path=xl/calcChain.xml><?xml version="1.0" encoding="utf-8"?>
<calcChain xmlns="http://schemas.openxmlformats.org/spreadsheetml/2006/main">
  <c r="T34" i="1"/>
  <c r="R34"/>
  <c r="Q34"/>
  <c r="P34"/>
  <c r="O34"/>
  <c r="N34"/>
  <c r="M34"/>
  <c r="L34"/>
  <c r="K34"/>
  <c r="J34"/>
  <c r="I34"/>
  <c r="H34"/>
  <c r="F34"/>
  <c r="T33"/>
  <c r="S33"/>
  <c r="R33"/>
  <c r="Q33"/>
  <c r="P33"/>
  <c r="O33"/>
  <c r="N33"/>
  <c r="M33"/>
  <c r="L33"/>
  <c r="K33"/>
  <c r="J33"/>
  <c r="I33"/>
  <c r="H33"/>
  <c r="G33"/>
  <c r="F33"/>
  <c r="T32"/>
  <c r="S32"/>
  <c r="R32"/>
  <c r="Q32"/>
  <c r="P32"/>
  <c r="O32"/>
  <c r="N32"/>
  <c r="M32"/>
  <c r="L32"/>
  <c r="K32"/>
  <c r="J32"/>
  <c r="I32"/>
  <c r="H32"/>
  <c r="G32"/>
  <c r="F32"/>
  <c r="T31"/>
  <c r="S31"/>
  <c r="R31"/>
  <c r="Q31"/>
  <c r="P31"/>
  <c r="O31"/>
  <c r="N31"/>
  <c r="M31"/>
  <c r="L31"/>
  <c r="K31"/>
  <c r="J31"/>
  <c r="I31"/>
  <c r="H31"/>
  <c r="G31"/>
  <c r="F31"/>
  <c r="T30"/>
  <c r="S30"/>
  <c r="R30"/>
  <c r="Q30"/>
  <c r="P30"/>
  <c r="O30"/>
  <c r="N30"/>
  <c r="M30"/>
  <c r="L30"/>
  <c r="K30"/>
  <c r="J30"/>
  <c r="I30"/>
  <c r="H30"/>
  <c r="G30"/>
  <c r="F30"/>
  <c r="T28"/>
  <c r="S28"/>
  <c r="R28"/>
  <c r="Q28"/>
  <c r="P28"/>
  <c r="O28"/>
  <c r="N28"/>
  <c r="M28"/>
  <c r="L28"/>
  <c r="K28"/>
  <c r="J28"/>
  <c r="I28"/>
  <c r="H28"/>
  <c r="G28"/>
  <c r="F28"/>
  <c r="T27"/>
  <c r="S27"/>
  <c r="R27"/>
  <c r="Q27"/>
  <c r="O27"/>
  <c r="N27"/>
  <c r="M27"/>
  <c r="L27"/>
  <c r="K27"/>
  <c r="J27"/>
  <c r="I27"/>
  <c r="H27"/>
  <c r="G27"/>
  <c r="F27"/>
  <c r="T26"/>
  <c r="S26"/>
  <c r="R26"/>
  <c r="P26"/>
  <c r="O26"/>
  <c r="N26"/>
  <c r="M26"/>
  <c r="L26"/>
  <c r="K26"/>
  <c r="J26"/>
  <c r="I26"/>
  <c r="H26"/>
  <c r="G26"/>
  <c r="F26"/>
  <c r="T25"/>
  <c r="S25"/>
  <c r="R25"/>
  <c r="Q25"/>
  <c r="O25"/>
  <c r="M25"/>
  <c r="L25"/>
  <c r="K25"/>
  <c r="I25"/>
  <c r="T24"/>
  <c r="S24"/>
  <c r="R24"/>
  <c r="Q24"/>
  <c r="P24"/>
  <c r="O24"/>
  <c r="N24"/>
  <c r="M24"/>
  <c r="L24"/>
  <c r="K24"/>
  <c r="J24"/>
  <c r="I24"/>
  <c r="H24"/>
  <c r="G24"/>
  <c r="F24"/>
  <c r="S23"/>
  <c r="R23"/>
  <c r="Q23"/>
  <c r="P23"/>
  <c r="O23"/>
  <c r="N23"/>
  <c r="M23"/>
  <c r="L23"/>
  <c r="K23"/>
  <c r="J23"/>
  <c r="I23"/>
  <c r="G23"/>
  <c r="F23"/>
  <c r="T22"/>
  <c r="S22"/>
  <c r="R22"/>
  <c r="Q22"/>
  <c r="P22"/>
  <c r="O22"/>
  <c r="N22"/>
  <c r="M22"/>
  <c r="L22"/>
  <c r="K22"/>
  <c r="J22"/>
  <c r="I22"/>
  <c r="H22"/>
  <c r="G22"/>
  <c r="F22"/>
  <c r="S21"/>
  <c r="R21"/>
  <c r="Q21"/>
  <c r="P21"/>
  <c r="O21"/>
  <c r="N21"/>
  <c r="M21"/>
  <c r="L21"/>
  <c r="K21"/>
  <c r="J21"/>
  <c r="I21"/>
  <c r="H21"/>
  <c r="G21"/>
  <c r="F21"/>
  <c r="T19"/>
  <c r="S19"/>
  <c r="R19"/>
  <c r="Q19"/>
  <c r="P19"/>
  <c r="O19"/>
  <c r="N19"/>
  <c r="M19"/>
  <c r="L19"/>
  <c r="K19"/>
  <c r="J19"/>
  <c r="I19"/>
  <c r="H19"/>
  <c r="G19"/>
  <c r="F19"/>
  <c r="T18"/>
  <c r="S18"/>
  <c r="R18"/>
  <c r="Q18"/>
  <c r="P18"/>
  <c r="O18"/>
  <c r="N18"/>
  <c r="M18"/>
  <c r="L18"/>
  <c r="K18"/>
  <c r="J18"/>
  <c r="I18"/>
  <c r="H18"/>
  <c r="G18"/>
  <c r="F18"/>
  <c r="T16"/>
  <c r="S16"/>
  <c r="R16"/>
  <c r="P16"/>
  <c r="O16"/>
  <c r="N16"/>
  <c r="M16"/>
  <c r="L16"/>
  <c r="K16"/>
  <c r="J16"/>
  <c r="I16"/>
  <c r="H16"/>
  <c r="G16"/>
  <c r="F16"/>
  <c r="S15"/>
  <c r="R15"/>
  <c r="Q15"/>
  <c r="P15"/>
  <c r="O15"/>
  <c r="M15"/>
  <c r="L15"/>
  <c r="K15"/>
  <c r="J15"/>
  <c r="I15"/>
  <c r="H15"/>
  <c r="G15"/>
  <c r="F15"/>
  <c r="T14"/>
  <c r="S14"/>
  <c r="R14"/>
  <c r="Q14"/>
  <c r="P14"/>
  <c r="O14"/>
  <c r="N14"/>
  <c r="M14"/>
  <c r="L14"/>
  <c r="K14"/>
  <c r="J14"/>
  <c r="I14"/>
  <c r="H14"/>
  <c r="G14"/>
  <c r="F14"/>
  <c r="T11"/>
  <c r="S11"/>
  <c r="R11"/>
  <c r="Q11"/>
  <c r="P11"/>
  <c r="O11"/>
  <c r="N11"/>
  <c r="M11"/>
  <c r="L11"/>
  <c r="K11"/>
  <c r="J11"/>
  <c r="I11"/>
  <c r="H11"/>
  <c r="G11"/>
  <c r="F11"/>
  <c r="T9"/>
  <c r="S9"/>
  <c r="R9"/>
  <c r="Q9"/>
  <c r="P9"/>
  <c r="O9"/>
  <c r="N9"/>
  <c r="M9"/>
  <c r="L9"/>
  <c r="K9"/>
  <c r="J9"/>
  <c r="I9"/>
  <c r="H9"/>
  <c r="G9"/>
  <c r="F9"/>
</calcChain>
</file>

<file path=xl/sharedStrings.xml><?xml version="1.0" encoding="utf-8"?>
<sst xmlns="http://schemas.openxmlformats.org/spreadsheetml/2006/main" count="171" uniqueCount="84">
  <si>
    <t>ตาราง</t>
  </si>
  <si>
    <t>ประชากรอายุ 15 ปีขึ้นไปที่มีงานทำ จำแนกตามประเภทอุตสาหกรรม และเพศ เป็นรายไตรมาส พ.ศ. 2557 - 2558</t>
  </si>
  <si>
    <t>Table</t>
  </si>
  <si>
    <t>Employed Persons Aged 15 Years and Over by Industry, Sex and Quarterly: 2014 - 2015</t>
  </si>
  <si>
    <t xml:space="preserve">                 (หน่วยเป็นพัน   In thousands)</t>
  </si>
  <si>
    <t>อุตสาหกรรม</t>
  </si>
  <si>
    <t>2557 (2014)</t>
  </si>
  <si>
    <t>2558 (2015)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</si>
  <si>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</si>
  <si>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</si>
  <si>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</si>
  <si>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</si>
  <si>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</si>
  <si>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</si>
  <si>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</si>
  <si>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</si>
  <si>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</si>
  <si>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</si>
  <si>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</si>
  <si>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</si>
  <si>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</si>
  <si>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</si>
  <si>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</si>
  <si>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</si>
  <si>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</si>
  <si>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</si>
  <si>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</si>
  <si>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</si>
  <si>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</si>
  <si>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</si>
  <si>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</si>
  <si>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</si>
  <si>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</si>
  <si>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</si>
  <si>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</si>
  <si>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</si>
  <si>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</si>
  <si>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</si>
  <si>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supply; sewerage , waste management</t>
  </si>
  <si>
    <t>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</si>
  <si>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</si>
  <si>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</si>
  <si>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</si>
  <si>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</si>
  <si>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Wholesale and retail trade, repair of motor vehicles</t>
  </si>
  <si>
    <t>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</si>
  <si>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</si>
  <si>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</si>
  <si>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</si>
  <si>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</si>
  <si>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</si>
  <si>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</si>
  <si>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</si>
  <si>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</si>
  <si>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</si>
  <si>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</si>
  <si>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</si>
  <si>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</si>
  <si>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</si>
  <si>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</si>
  <si>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</si>
  <si>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</si>
  <si>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</si>
  <si>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</si>
  <si>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</si>
  <si>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</si>
  <si>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</si>
  <si>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</si>
  <si>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</si>
  <si>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</si>
  <si>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</si>
  <si>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</si>
  <si>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การผลิตสินค้า</t>
  </si>
  <si>
    <t xml:space="preserve">Activities of households as employers; undifferentiated goods </t>
  </si>
  <si>
    <t>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</si>
  <si>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</si>
  <si>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</si>
  <si>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</si>
  <si>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</si>
  <si>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</si>
  <si>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</si>
  <si>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การสำรวจภาวะการทำงานของประชากร พ.ศ. 2557 - 2558  ระดับจังหวัด สำนักงานสถิติแห่งชาติ</t>
  </si>
  <si>
    <t>Source:</t>
  </si>
  <si>
    <t>The  Labour Force Survey: 2014 - 2015,  Provincial level, 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</si>
</sst>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0" xfId="0" applyFont="1" applyBorder="1"/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2" fontId="2" fillId="0" borderId="8" xfId="0" applyNumberFormat="1" applyFont="1" applyBorder="1" applyAlignment="1">
      <alignment horizontal="right" vertical="center"/>
    </xf>
    <xf numFmtId="2" fontId="2" fillId="0" borderId="14" xfId="0" applyNumberFormat="1" applyFont="1" applyBorder="1" applyAlignment="1">
      <alignment horizontal="right" vertical="center"/>
    </xf>
    <xf numFmtId="2" fontId="2" fillId="0" borderId="7" xfId="0" applyNumberFormat="1" applyFont="1" applyBorder="1" applyAlignment="1">
      <alignment horizontal="right" vertical="center"/>
    </xf>
    <xf numFmtId="0" fontId="7" fillId="0" borderId="8" xfId="0" applyFont="1" applyBorder="1"/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vertical="center"/>
    </xf>
    <xf numFmtId="2" fontId="10" fillId="0" borderId="8" xfId="0" applyNumberFormat="1" applyFont="1" applyBorder="1" applyAlignment="1">
      <alignment horizontal="right" vertical="center"/>
    </xf>
    <xf numFmtId="2" fontId="10" fillId="0" borderId="14" xfId="0" applyNumberFormat="1" applyFont="1" applyBorder="1" applyAlignment="1">
      <alignment horizontal="right" vertical="center"/>
    </xf>
    <xf numFmtId="2" fontId="10" fillId="0" borderId="7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0" xfId="0" applyFont="1" applyBorder="1"/>
    <xf numFmtId="0" fontId="9" fillId="0" borderId="11" xfId="0" applyFont="1" applyBorder="1"/>
    <xf numFmtId="0" fontId="9" fillId="0" borderId="9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9" xfId="0" applyFont="1" applyBorder="1"/>
    <xf numFmtId="0" fontId="9" fillId="0" borderId="0" xfId="0" applyFont="1" applyBorder="1"/>
    <xf numFmtId="0" fontId="9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</cellXfs>
  <cellStyles count="25">
    <cellStyle name="เครื่องหมายจุลภาค 2 2" xfId="1"/>
    <cellStyle name="เครื่องหมายจุลภาค 2 2 2" xfId="2"/>
    <cellStyle name="เครื่องหมายจุลภาค 2 2 3" xfId="3"/>
    <cellStyle name="เครื่องหมายจุลภาค 2 2 4" xfId="4"/>
    <cellStyle name="เครื่องหมายจุลภาค 2 2 5" xfId="5"/>
    <cellStyle name="เครื่องหมายจุลภาค 2 2 6" xfId="6"/>
    <cellStyle name="เครื่องหมายจุลภาค 2 2 7" xfId="7"/>
    <cellStyle name="เครื่องหมายจุลภาค 2 2 8" xfId="8"/>
    <cellStyle name="เครื่องหมายจุลภาค 2 3" xfId="9"/>
    <cellStyle name="เครื่องหมายจุลภาค 2 4" xfId="10"/>
    <cellStyle name="เครื่องหมายจุลภาค 2 5" xfId="11"/>
    <cellStyle name="เครื่องหมายจุลภาค 2 6" xfId="12"/>
    <cellStyle name="เครื่องหมายจุลภาค 2 7" xfId="13"/>
    <cellStyle name="เครื่องหมายจุลภาค 2 8" xfId="14"/>
    <cellStyle name="เครื่องหมายจุลภาค 2 9" xfId="15"/>
    <cellStyle name="ปกติ" xfId="0" builtinId="0"/>
    <cellStyle name="ปกติ 2" xfId="16"/>
    <cellStyle name="ปกติ 3" xfId="17"/>
    <cellStyle name="ปกติ 3 2" xfId="18"/>
    <cellStyle name="ปกติ 3 3" xfId="19"/>
    <cellStyle name="ปกติ 3 4" xfId="20"/>
    <cellStyle name="ปกติ 3 5" xfId="21"/>
    <cellStyle name="ปกติ 3 6" xfId="22"/>
    <cellStyle name="ปกติ 3 7" xfId="23"/>
    <cellStyle name="ปกติ 3 8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190500</xdr:colOff>
      <xdr:row>0</xdr:row>
      <xdr:rowOff>76200</xdr:rowOff>
    </xdr:from>
    <xdr:to>
      <xdr:col>27</xdr:col>
      <xdr:colOff>238125</xdr:colOff>
      <xdr:row>40</xdr:row>
      <xdr:rowOff>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11029950" y="76200"/>
          <a:ext cx="1133475" cy="72675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1" y="729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20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6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2"/>
  <sheetViews>
    <sheetView showGridLines="0" tabSelected="1" workbookViewId="0">
      <selection activeCell="J27" sqref="J27"/>
    </sheetView>
  </sheetViews>
  <sheetFormatPr defaultRowHeight="18.75"/>
  <cols>
    <col min="1" max="1" width="1.42578125" style="8" customWidth="1"/>
    <col min="2" max="2" width="1.28515625" style="8" customWidth="1"/>
    <col min="3" max="3" width="5.7109375" style="8" customWidth="1"/>
    <col min="4" max="4" width="4.85546875" style="8" customWidth="1"/>
    <col min="5" max="5" width="17.42578125" style="8" customWidth="1"/>
    <col min="6" max="20" width="6.5703125" style="8" customWidth="1"/>
    <col min="21" max="22" width="0.7109375" style="8" customWidth="1"/>
    <col min="23" max="23" width="9.140625" style="8"/>
    <col min="24" max="24" width="22.7109375" style="8" customWidth="1"/>
    <col min="25" max="25" width="4.140625" style="9" customWidth="1"/>
    <col min="26" max="26" width="6.140625" style="9" customWidth="1"/>
    <col min="27" max="27" width="6" style="8" customWidth="1"/>
    <col min="28" max="16384" width="9.140625" style="8"/>
  </cols>
  <sheetData>
    <row r="1" spans="1:26" s="1" customFormat="1" ht="20.25" customHeight="1">
      <c r="C1" s="2" t="s">
        <v>0</v>
      </c>
      <c r="D1" s="3">
        <v>2.4</v>
      </c>
      <c r="E1" s="2" t="s">
        <v>1</v>
      </c>
      <c r="Y1" s="4"/>
      <c r="Z1" s="4"/>
    </row>
    <row r="2" spans="1:26" s="5" customFormat="1" ht="16.5" customHeight="1">
      <c r="C2" s="1" t="s">
        <v>2</v>
      </c>
      <c r="D2" s="6">
        <v>2.4</v>
      </c>
      <c r="E2" s="1" t="s">
        <v>3</v>
      </c>
      <c r="Y2" s="7"/>
      <c r="Z2" s="7"/>
    </row>
    <row r="3" spans="1:26" ht="14.25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X3" s="10" t="s">
        <v>4</v>
      </c>
      <c r="Y3" s="11"/>
    </row>
    <row r="4" spans="1:26" ht="15.75" customHeight="1">
      <c r="A4" s="12"/>
      <c r="B4" s="13" t="s">
        <v>5</v>
      </c>
      <c r="C4" s="13"/>
      <c r="D4" s="13"/>
      <c r="E4" s="14"/>
      <c r="F4" s="15" t="s">
        <v>6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5" t="s">
        <v>7</v>
      </c>
      <c r="S4" s="16"/>
      <c r="T4" s="17"/>
      <c r="U4" s="18"/>
      <c r="V4" s="13" t="s">
        <v>8</v>
      </c>
      <c r="W4" s="13"/>
      <c r="X4" s="13"/>
      <c r="Y4" s="12"/>
    </row>
    <row r="5" spans="1:26" s="24" customFormat="1" ht="15" customHeight="1">
      <c r="A5" s="19"/>
      <c r="B5" s="20"/>
      <c r="C5" s="20"/>
      <c r="D5" s="20"/>
      <c r="E5" s="21"/>
      <c r="F5" s="22" t="s">
        <v>9</v>
      </c>
      <c r="G5" s="13"/>
      <c r="H5" s="14"/>
      <c r="I5" s="22" t="s">
        <v>10</v>
      </c>
      <c r="J5" s="13"/>
      <c r="K5" s="14"/>
      <c r="L5" s="22" t="s">
        <v>11</v>
      </c>
      <c r="M5" s="13"/>
      <c r="N5" s="14"/>
      <c r="O5" s="22" t="s">
        <v>12</v>
      </c>
      <c r="P5" s="13"/>
      <c r="Q5" s="14"/>
      <c r="R5" s="22" t="s">
        <v>9</v>
      </c>
      <c r="S5" s="13"/>
      <c r="T5" s="14"/>
      <c r="U5" s="23"/>
      <c r="V5" s="20"/>
      <c r="W5" s="20"/>
      <c r="X5" s="20"/>
      <c r="Y5" s="19"/>
      <c r="Z5" s="19"/>
    </row>
    <row r="6" spans="1:26" s="24" customFormat="1" ht="12.75" customHeight="1">
      <c r="A6" s="19"/>
      <c r="B6" s="20"/>
      <c r="C6" s="20"/>
      <c r="D6" s="20"/>
      <c r="E6" s="21"/>
      <c r="F6" s="25" t="s">
        <v>13</v>
      </c>
      <c r="G6" s="26"/>
      <c r="H6" s="27"/>
      <c r="I6" s="25" t="s">
        <v>14</v>
      </c>
      <c r="J6" s="26"/>
      <c r="K6" s="27"/>
      <c r="L6" s="25" t="s">
        <v>15</v>
      </c>
      <c r="M6" s="26"/>
      <c r="N6" s="27"/>
      <c r="O6" s="25" t="s">
        <v>16</v>
      </c>
      <c r="P6" s="26"/>
      <c r="Q6" s="27"/>
      <c r="R6" s="25" t="s">
        <v>13</v>
      </c>
      <c r="S6" s="26"/>
      <c r="T6" s="27"/>
      <c r="U6" s="23"/>
      <c r="V6" s="20"/>
      <c r="W6" s="20"/>
      <c r="X6" s="20"/>
      <c r="Y6" s="19"/>
      <c r="Z6" s="19"/>
    </row>
    <row r="7" spans="1:26" s="24" customFormat="1" ht="13.5" customHeight="1">
      <c r="A7" s="19"/>
      <c r="B7" s="20"/>
      <c r="C7" s="20"/>
      <c r="D7" s="20"/>
      <c r="E7" s="21"/>
      <c r="F7" s="28" t="s">
        <v>17</v>
      </c>
      <c r="G7" s="29" t="s">
        <v>18</v>
      </c>
      <c r="H7" s="30" t="s">
        <v>19</v>
      </c>
      <c r="I7" s="31" t="s">
        <v>17</v>
      </c>
      <c r="J7" s="29" t="s">
        <v>18</v>
      </c>
      <c r="K7" s="31" t="s">
        <v>19</v>
      </c>
      <c r="L7" s="28" t="s">
        <v>17</v>
      </c>
      <c r="M7" s="29" t="s">
        <v>18</v>
      </c>
      <c r="N7" s="30" t="s">
        <v>19</v>
      </c>
      <c r="O7" s="28" t="s">
        <v>17</v>
      </c>
      <c r="P7" s="29" t="s">
        <v>18</v>
      </c>
      <c r="Q7" s="30" t="s">
        <v>19</v>
      </c>
      <c r="R7" s="28" t="s">
        <v>17</v>
      </c>
      <c r="S7" s="29" t="s">
        <v>18</v>
      </c>
      <c r="T7" s="30" t="s">
        <v>19</v>
      </c>
      <c r="U7" s="28"/>
      <c r="V7" s="20"/>
      <c r="W7" s="20"/>
      <c r="X7" s="20"/>
      <c r="Y7" s="19"/>
      <c r="Z7" s="19"/>
    </row>
    <row r="8" spans="1:26" s="24" customFormat="1" ht="13.5" customHeight="1">
      <c r="A8" s="32"/>
      <c r="B8" s="26"/>
      <c r="C8" s="26"/>
      <c r="D8" s="26"/>
      <c r="E8" s="27"/>
      <c r="F8" s="33" t="s">
        <v>20</v>
      </c>
      <c r="G8" s="34" t="s">
        <v>21</v>
      </c>
      <c r="H8" s="35" t="s">
        <v>22</v>
      </c>
      <c r="I8" s="36" t="s">
        <v>20</v>
      </c>
      <c r="J8" s="34" t="s">
        <v>21</v>
      </c>
      <c r="K8" s="36" t="s">
        <v>22</v>
      </c>
      <c r="L8" s="33" t="s">
        <v>20</v>
      </c>
      <c r="M8" s="34" t="s">
        <v>21</v>
      </c>
      <c r="N8" s="35" t="s">
        <v>22</v>
      </c>
      <c r="O8" s="33" t="s">
        <v>20</v>
      </c>
      <c r="P8" s="34" t="s">
        <v>21</v>
      </c>
      <c r="Q8" s="35" t="s">
        <v>22</v>
      </c>
      <c r="R8" s="33" t="s">
        <v>20</v>
      </c>
      <c r="S8" s="34" t="s">
        <v>21</v>
      </c>
      <c r="T8" s="35" t="s">
        <v>22</v>
      </c>
      <c r="U8" s="33"/>
      <c r="V8" s="26"/>
      <c r="W8" s="26"/>
      <c r="X8" s="26"/>
      <c r="Y8" s="32"/>
      <c r="Z8" s="19"/>
    </row>
    <row r="9" spans="1:26" s="37" customFormat="1" ht="16.5" customHeight="1">
      <c r="B9" s="38" t="s">
        <v>23</v>
      </c>
      <c r="C9" s="38"/>
      <c r="D9" s="38"/>
      <c r="E9" s="38"/>
      <c r="F9" s="39">
        <f>513793.84/1000</f>
        <v>513.79384000000005</v>
      </c>
      <c r="G9" s="40">
        <f>285084.34/1000</f>
        <v>285.08434</v>
      </c>
      <c r="H9" s="41">
        <f>228709.5/1000</f>
        <v>228.70949999999999</v>
      </c>
      <c r="I9" s="41">
        <f>537726.88/1000</f>
        <v>537.72688000000005</v>
      </c>
      <c r="J9" s="41">
        <f>299489.61/1000</f>
        <v>299.48960999999997</v>
      </c>
      <c r="K9" s="41">
        <f>238237.27/1000</f>
        <v>238.23727</v>
      </c>
      <c r="L9" s="41">
        <f>568527.14/1000</f>
        <v>568.52714000000003</v>
      </c>
      <c r="M9" s="41">
        <f>312666.18/1000</f>
        <v>312.66618</v>
      </c>
      <c r="N9" s="41">
        <f>255860.96/1000</f>
        <v>255.86096000000001</v>
      </c>
      <c r="O9" s="41">
        <f>545407.41/1000</f>
        <v>545.40741000000003</v>
      </c>
      <c r="P9" s="41">
        <f>290023.42/1000</f>
        <v>290.02341999999999</v>
      </c>
      <c r="Q9" s="41">
        <f>255383.99/1000</f>
        <v>255.38398999999998</v>
      </c>
      <c r="R9" s="41">
        <f>493606.05/1000</f>
        <v>493.60604999999998</v>
      </c>
      <c r="S9" s="41">
        <f>277070.49/1000</f>
        <v>277.07049000000001</v>
      </c>
      <c r="T9" s="41">
        <f>216535.56/1000</f>
        <v>216.53556</v>
      </c>
      <c r="U9" s="42"/>
      <c r="V9" s="38" t="s">
        <v>20</v>
      </c>
      <c r="W9" s="38"/>
      <c r="X9" s="38"/>
      <c r="Y9" s="43"/>
      <c r="Z9" s="43"/>
    </row>
    <row r="10" spans="1:26" s="37" customFormat="1" ht="15" customHeight="1">
      <c r="A10" s="44" t="s">
        <v>24</v>
      </c>
      <c r="C10" s="44"/>
      <c r="D10" s="44"/>
      <c r="E10" s="45"/>
      <c r="F10" s="39"/>
      <c r="G10" s="40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6" t="s">
        <v>25</v>
      </c>
      <c r="W10" s="47"/>
      <c r="X10" s="48"/>
      <c r="Y10" s="43"/>
      <c r="Z10" s="43"/>
    </row>
    <row r="11" spans="1:26" s="54" customFormat="1" ht="15" customHeight="1">
      <c r="A11" s="49"/>
      <c r="B11" s="49" t="s">
        <v>26</v>
      </c>
      <c r="C11" s="49"/>
      <c r="D11" s="49"/>
      <c r="E11" s="49"/>
      <c r="F11" s="50">
        <f>211790.28/1000</f>
        <v>211.79028</v>
      </c>
      <c r="G11" s="51">
        <f>116552.06/1000</f>
        <v>116.55206</v>
      </c>
      <c r="H11" s="52">
        <f>95238.22/1000</f>
        <v>95.238219999999998</v>
      </c>
      <c r="I11" s="52">
        <f>263890.35/1000</f>
        <v>263.89034999999996</v>
      </c>
      <c r="J11" s="52">
        <f>156376.47/1000</f>
        <v>156.37647000000001</v>
      </c>
      <c r="K11" s="52">
        <f>107513.88/1000</f>
        <v>107.51388</v>
      </c>
      <c r="L11" s="52">
        <f>325845.37/1000</f>
        <v>325.84537</v>
      </c>
      <c r="M11" s="52">
        <f>182177.38/1000</f>
        <v>182.17738</v>
      </c>
      <c r="N11" s="52">
        <f>143667.98/1000</f>
        <v>143.66798</v>
      </c>
      <c r="O11" s="52">
        <f>307590.73/1000</f>
        <v>307.59073000000001</v>
      </c>
      <c r="P11" s="52">
        <f>167082.86/1000</f>
        <v>167.08285999999998</v>
      </c>
      <c r="Q11" s="52">
        <f>140507.87/1000</f>
        <v>140.50787</v>
      </c>
      <c r="R11" s="52">
        <f>196740.6/1000</f>
        <v>196.7406</v>
      </c>
      <c r="S11" s="52">
        <f>121135.39/1000</f>
        <v>121.13539</v>
      </c>
      <c r="T11" s="52">
        <f>75605.21/1000</f>
        <v>75.60521</v>
      </c>
      <c r="U11" s="53"/>
      <c r="V11" s="49" t="s">
        <v>27</v>
      </c>
      <c r="W11" s="49"/>
      <c r="Y11" s="55"/>
      <c r="Z11" s="55"/>
    </row>
    <row r="12" spans="1:26" s="54" customFormat="1" ht="15" customHeight="1">
      <c r="A12" s="44" t="s">
        <v>28</v>
      </c>
      <c r="B12" s="44"/>
      <c r="C12" s="44"/>
      <c r="D12" s="56"/>
      <c r="E12" s="57"/>
      <c r="F12" s="50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46" t="s">
        <v>29</v>
      </c>
      <c r="V12" s="49"/>
      <c r="W12" s="49"/>
      <c r="Y12" s="55"/>
      <c r="Z12" s="55"/>
    </row>
    <row r="13" spans="1:26" s="54" customFormat="1" ht="15" customHeight="1">
      <c r="A13" s="49"/>
      <c r="B13" s="49" t="s">
        <v>30</v>
      </c>
      <c r="C13" s="49"/>
      <c r="D13" s="49"/>
      <c r="E13" s="49"/>
      <c r="F13" s="50" t="s">
        <v>31</v>
      </c>
      <c r="G13" s="51" t="s">
        <v>31</v>
      </c>
      <c r="H13" s="52" t="s">
        <v>31</v>
      </c>
      <c r="I13" s="52" t="s">
        <v>31</v>
      </c>
      <c r="J13" s="52" t="s">
        <v>31</v>
      </c>
      <c r="K13" s="52" t="s">
        <v>31</v>
      </c>
      <c r="L13" s="52" t="s">
        <v>31</v>
      </c>
      <c r="M13" s="52" t="s">
        <v>31</v>
      </c>
      <c r="N13" s="52" t="s">
        <v>31</v>
      </c>
      <c r="O13" s="52" t="s">
        <v>31</v>
      </c>
      <c r="P13" s="52" t="s">
        <v>31</v>
      </c>
      <c r="Q13" s="52" t="s">
        <v>31</v>
      </c>
      <c r="R13" s="52" t="s">
        <v>31</v>
      </c>
      <c r="S13" s="52" t="s">
        <v>31</v>
      </c>
      <c r="T13" s="52" t="s">
        <v>31</v>
      </c>
      <c r="U13" s="53"/>
      <c r="V13" s="49" t="s">
        <v>32</v>
      </c>
      <c r="W13" s="49"/>
      <c r="Y13" s="55"/>
      <c r="Z13" s="55"/>
    </row>
    <row r="14" spans="1:26" s="54" customFormat="1" ht="15" customHeight="1">
      <c r="A14" s="49"/>
      <c r="B14" s="49" t="s">
        <v>33</v>
      </c>
      <c r="C14" s="49"/>
      <c r="D14" s="49"/>
      <c r="E14" s="49"/>
      <c r="F14" s="50">
        <f>44843/1000</f>
        <v>44.843000000000004</v>
      </c>
      <c r="G14" s="51">
        <f>16569.86/1000</f>
        <v>16.569860000000002</v>
      </c>
      <c r="H14" s="52">
        <f>28273.14/1000</f>
        <v>28.273139999999998</v>
      </c>
      <c r="I14" s="52">
        <f>47014.29/1000</f>
        <v>47.014290000000003</v>
      </c>
      <c r="J14" s="52">
        <f>15025.7/1000</f>
        <v>15.025700000000001</v>
      </c>
      <c r="K14" s="52">
        <f>31988.58/1000</f>
        <v>31.988580000000002</v>
      </c>
      <c r="L14" s="52">
        <f>44441.44/1000</f>
        <v>44.44144</v>
      </c>
      <c r="M14" s="52">
        <f>14940.42/1000</f>
        <v>14.94042</v>
      </c>
      <c r="N14" s="52">
        <f>29501.02/1000</f>
        <v>29.50102</v>
      </c>
      <c r="O14" s="52">
        <f>45947.95/1000</f>
        <v>45.947949999999999</v>
      </c>
      <c r="P14" s="52">
        <f>15023.18/1000</f>
        <v>15.02318</v>
      </c>
      <c r="Q14" s="52">
        <f>30924.77/1000</f>
        <v>30.924769999999999</v>
      </c>
      <c r="R14" s="52">
        <f>55212.68/1000</f>
        <v>55.212679999999999</v>
      </c>
      <c r="S14" s="52">
        <f>17875.07/1000</f>
        <v>17.875070000000001</v>
      </c>
      <c r="T14" s="52">
        <f>37337.6/1000</f>
        <v>37.337600000000002</v>
      </c>
      <c r="U14" s="53"/>
      <c r="V14" s="49" t="s">
        <v>34</v>
      </c>
      <c r="W14" s="49"/>
      <c r="Y14" s="55"/>
      <c r="Z14" s="55"/>
    </row>
    <row r="15" spans="1:26" s="54" customFormat="1" ht="15" customHeight="1">
      <c r="A15" s="49"/>
      <c r="B15" s="49" t="s">
        <v>35</v>
      </c>
      <c r="C15" s="49"/>
      <c r="D15" s="49"/>
      <c r="E15" s="49"/>
      <c r="F15" s="50">
        <f>2406.76/1000</f>
        <v>2.4067600000000002</v>
      </c>
      <c r="G15" s="51">
        <f>1706.94/1000</f>
        <v>1.7069400000000001</v>
      </c>
      <c r="H15" s="52">
        <f>699.82/1000</f>
        <v>0.69982</v>
      </c>
      <c r="I15" s="52">
        <f>1684.05/1000</f>
        <v>1.68405</v>
      </c>
      <c r="J15" s="52">
        <f>1174.36/1000</f>
        <v>1.1743599999999998</v>
      </c>
      <c r="K15" s="52">
        <f>509.68/1000</f>
        <v>0.50968000000000002</v>
      </c>
      <c r="L15" s="52">
        <f>1168.61/1000</f>
        <v>1.1686099999999999</v>
      </c>
      <c r="M15" s="52">
        <f>1168.61/1000</f>
        <v>1.1686099999999999</v>
      </c>
      <c r="N15" s="52" t="s">
        <v>31</v>
      </c>
      <c r="O15" s="52">
        <f>3528.31/1000</f>
        <v>3.5283099999999998</v>
      </c>
      <c r="P15" s="52">
        <f>2318.93/1000</f>
        <v>2.3189299999999999</v>
      </c>
      <c r="Q15" s="52">
        <f>1209.38/1000</f>
        <v>1.2093800000000001</v>
      </c>
      <c r="R15" s="52">
        <f>818.44/1000</f>
        <v>0.81844000000000006</v>
      </c>
      <c r="S15" s="52">
        <f>818.44/1000</f>
        <v>0.81844000000000006</v>
      </c>
      <c r="T15" s="52" t="s">
        <v>31</v>
      </c>
      <c r="U15" s="53"/>
      <c r="V15" s="49" t="s">
        <v>36</v>
      </c>
      <c r="W15" s="49"/>
      <c r="Y15" s="55"/>
      <c r="Z15" s="55"/>
    </row>
    <row r="16" spans="1:26" s="54" customFormat="1" ht="15" customHeight="1">
      <c r="A16" s="49"/>
      <c r="B16" s="49" t="s">
        <v>37</v>
      </c>
      <c r="C16" s="49"/>
      <c r="D16" s="49"/>
      <c r="E16" s="49"/>
      <c r="F16" s="50">
        <f>2641.85/1000</f>
        <v>2.6418499999999998</v>
      </c>
      <c r="G16" s="51">
        <f>1612.68/1000</f>
        <v>1.6126800000000001</v>
      </c>
      <c r="H16" s="52">
        <f>1029.18/1000</f>
        <v>1.02918</v>
      </c>
      <c r="I16" s="52">
        <f>2225.19/1000</f>
        <v>2.22519</v>
      </c>
      <c r="J16" s="52">
        <f>1075.93/1000</f>
        <v>1.0759300000000001</v>
      </c>
      <c r="K16" s="52">
        <f>1149.26/1000</f>
        <v>1.1492599999999999</v>
      </c>
      <c r="L16" s="52">
        <f>1398.5/1000</f>
        <v>1.3985000000000001</v>
      </c>
      <c r="M16" s="52">
        <f>885.76/1000</f>
        <v>0.88575999999999999</v>
      </c>
      <c r="N16" s="52">
        <f>512.74/1000</f>
        <v>0.51273999999999997</v>
      </c>
      <c r="O16" s="52">
        <f>61.47/1000</f>
        <v>6.1469999999999997E-2</v>
      </c>
      <c r="P16" s="52">
        <f>61.47/1000</f>
        <v>6.1469999999999997E-2</v>
      </c>
      <c r="Q16" s="52" t="s">
        <v>31</v>
      </c>
      <c r="R16" s="52">
        <f>1316.69/1000</f>
        <v>1.3166900000000001</v>
      </c>
      <c r="S16" s="52">
        <f>879.46/1000</f>
        <v>0.87946000000000002</v>
      </c>
      <c r="T16" s="52">
        <f>437.23/1000</f>
        <v>0.43723000000000001</v>
      </c>
      <c r="U16" s="53"/>
      <c r="V16" s="49" t="s">
        <v>38</v>
      </c>
      <c r="W16" s="49"/>
      <c r="Y16" s="55"/>
      <c r="Z16" s="55"/>
    </row>
    <row r="17" spans="1:26" s="54" customFormat="1" ht="15" customHeight="1">
      <c r="A17" s="49"/>
      <c r="B17" s="49"/>
      <c r="C17" s="49" t="s">
        <v>39</v>
      </c>
      <c r="D17" s="49"/>
      <c r="E17" s="49"/>
      <c r="F17" s="50"/>
      <c r="G17" s="51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49"/>
      <c r="W17" s="49" t="s">
        <v>40</v>
      </c>
      <c r="Y17" s="55"/>
      <c r="Z17" s="55"/>
    </row>
    <row r="18" spans="1:26" s="54" customFormat="1" ht="15" customHeight="1">
      <c r="A18" s="49"/>
      <c r="B18" s="49" t="s">
        <v>41</v>
      </c>
      <c r="C18" s="49"/>
      <c r="D18" s="49"/>
      <c r="E18" s="49"/>
      <c r="F18" s="50">
        <f>53718.83/1000</f>
        <v>53.718830000000004</v>
      </c>
      <c r="G18" s="51">
        <f>44347.46/1000</f>
        <v>44.347459999999998</v>
      </c>
      <c r="H18" s="52">
        <f>9371.37/1000</f>
        <v>9.3713700000000006</v>
      </c>
      <c r="I18" s="52">
        <f>50899.51/1000</f>
        <v>50.899509999999999</v>
      </c>
      <c r="J18" s="52">
        <f>44363.6/1000</f>
        <v>44.363599999999998</v>
      </c>
      <c r="K18" s="52">
        <f>6535.91/1000</f>
        <v>6.5359099999999994</v>
      </c>
      <c r="L18" s="52">
        <f>37386.65/1000</f>
        <v>37.386650000000003</v>
      </c>
      <c r="M18" s="52">
        <f>33213.62/1000</f>
        <v>33.213620000000006</v>
      </c>
      <c r="N18" s="52">
        <f>4173.03/1000</f>
        <v>4.1730299999999998</v>
      </c>
      <c r="O18" s="52">
        <f>27961.37/1000</f>
        <v>27.961369999999999</v>
      </c>
      <c r="P18" s="52">
        <f>26242.57/1000</f>
        <v>26.242570000000001</v>
      </c>
      <c r="Q18" s="52">
        <f>1718.8/1000</f>
        <v>1.7187999999999999</v>
      </c>
      <c r="R18" s="52">
        <f>45368.71/1000</f>
        <v>45.36871</v>
      </c>
      <c r="S18" s="52">
        <f>38896.09/1000</f>
        <v>38.896089999999994</v>
      </c>
      <c r="T18" s="52">
        <f>6472.62/1000</f>
        <v>6.47262</v>
      </c>
      <c r="U18" s="53"/>
      <c r="V18" s="49" t="s">
        <v>42</v>
      </c>
      <c r="W18" s="49"/>
      <c r="Y18" s="55"/>
      <c r="Z18" s="55"/>
    </row>
    <row r="19" spans="1:26" s="54" customFormat="1" ht="15" customHeight="1">
      <c r="A19" s="49"/>
      <c r="B19" s="49" t="s">
        <v>43</v>
      </c>
      <c r="C19" s="49"/>
      <c r="D19" s="49"/>
      <c r="E19" s="49"/>
      <c r="F19" s="50">
        <f>85368.24/1000</f>
        <v>85.36824</v>
      </c>
      <c r="G19" s="51">
        <f>45094.48/1000</f>
        <v>45.094480000000004</v>
      </c>
      <c r="H19" s="52">
        <f>40273.76/1000</f>
        <v>40.273760000000003</v>
      </c>
      <c r="I19" s="52">
        <f>61478.33/1000</f>
        <v>61.47833</v>
      </c>
      <c r="J19" s="52">
        <f>27440.91/1000</f>
        <v>27.440909999999999</v>
      </c>
      <c r="K19" s="52">
        <f>34037.42/1000</f>
        <v>34.037419999999997</v>
      </c>
      <c r="L19" s="52">
        <f>65327.01/1000</f>
        <v>65.327010000000001</v>
      </c>
      <c r="M19" s="52">
        <f>33698.03/1000</f>
        <v>33.698029999999996</v>
      </c>
      <c r="N19" s="52">
        <f>31628.99/1000</f>
        <v>31.628990000000002</v>
      </c>
      <c r="O19" s="52">
        <f>67129.66/1000</f>
        <v>67.129660000000001</v>
      </c>
      <c r="P19" s="52">
        <f>30781.18/1000</f>
        <v>30.781179999999999</v>
      </c>
      <c r="Q19" s="52">
        <f>36348.48/1000</f>
        <v>36.348480000000002</v>
      </c>
      <c r="R19" s="52">
        <f>77466.53/1000</f>
        <v>77.466530000000006</v>
      </c>
      <c r="S19" s="52">
        <f>37120.84/1000</f>
        <v>37.120839999999994</v>
      </c>
      <c r="T19" s="52">
        <f>40345.69/1000</f>
        <v>40.345690000000005</v>
      </c>
      <c r="U19" s="53"/>
      <c r="V19" s="49" t="s">
        <v>44</v>
      </c>
      <c r="W19" s="49"/>
      <c r="Y19" s="55"/>
      <c r="Z19" s="55"/>
    </row>
    <row r="20" spans="1:26" s="54" customFormat="1" ht="15" customHeight="1">
      <c r="A20" s="49"/>
      <c r="B20" s="49"/>
      <c r="C20" s="49"/>
      <c r="D20" s="49"/>
      <c r="E20" s="49"/>
      <c r="F20" s="50"/>
      <c r="G20" s="51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3"/>
      <c r="V20" s="49"/>
      <c r="W20" s="49" t="s">
        <v>45</v>
      </c>
      <c r="Y20" s="55"/>
      <c r="Z20" s="55"/>
    </row>
    <row r="21" spans="1:26" s="54" customFormat="1" ht="15" customHeight="1">
      <c r="A21" s="49"/>
      <c r="B21" s="49" t="s">
        <v>46</v>
      </c>
      <c r="C21" s="49"/>
      <c r="D21" s="49"/>
      <c r="E21" s="49"/>
      <c r="F21" s="50">
        <f>12749.94/1000</f>
        <v>12.74994</v>
      </c>
      <c r="G21" s="51">
        <f>12168.89/1000</f>
        <v>12.168889999999999</v>
      </c>
      <c r="H21" s="52">
        <f>581.06/1000</f>
        <v>0.58105999999999991</v>
      </c>
      <c r="I21" s="52">
        <f>8815.07/1000</f>
        <v>8.8150700000000004</v>
      </c>
      <c r="J21" s="52">
        <f>7886.6/1000</f>
        <v>7.8866000000000005</v>
      </c>
      <c r="K21" s="52">
        <f>928.48/1000</f>
        <v>0.92847999999999997</v>
      </c>
      <c r="L21" s="52">
        <f>5807.1/1000</f>
        <v>5.8071000000000002</v>
      </c>
      <c r="M21" s="52">
        <f>4352.39/1000</f>
        <v>4.3523900000000006</v>
      </c>
      <c r="N21" s="52">
        <f>1454.7/1000</f>
        <v>1.4547000000000001</v>
      </c>
      <c r="O21" s="52">
        <f>4661.72/1000</f>
        <v>4.6617199999999999</v>
      </c>
      <c r="P21" s="52">
        <f>4578.29/1000</f>
        <v>4.57829</v>
      </c>
      <c r="Q21" s="52">
        <f>83.43/1000</f>
        <v>8.3430000000000004E-2</v>
      </c>
      <c r="R21" s="52">
        <f>10368.39/1000</f>
        <v>10.36839</v>
      </c>
      <c r="S21" s="52">
        <f>10368.39/1000</f>
        <v>10.36839</v>
      </c>
      <c r="T21" s="52" t="s">
        <v>31</v>
      </c>
      <c r="U21" s="53"/>
      <c r="V21" s="49" t="s">
        <v>47</v>
      </c>
      <c r="W21" s="49"/>
      <c r="Y21" s="55"/>
      <c r="Z21" s="55"/>
    </row>
    <row r="22" spans="1:26" s="54" customFormat="1" ht="15" customHeight="1">
      <c r="A22" s="49"/>
      <c r="B22" s="49" t="s">
        <v>48</v>
      </c>
      <c r="C22" s="49"/>
      <c r="D22" s="49"/>
      <c r="E22" s="49"/>
      <c r="F22" s="50">
        <f>25774.78/1000</f>
        <v>25.77478</v>
      </c>
      <c r="G22" s="51">
        <f>8218.24/1000</f>
        <v>8.2182399999999998</v>
      </c>
      <c r="H22" s="52">
        <f>17556.54/1000</f>
        <v>17.556540000000002</v>
      </c>
      <c r="I22" s="52">
        <f>21917.99/1000</f>
        <v>21.917990000000003</v>
      </c>
      <c r="J22" s="52">
        <f>7252.97/1000</f>
        <v>7.2529700000000004</v>
      </c>
      <c r="K22" s="52">
        <f>14665.02/1000</f>
        <v>14.66502</v>
      </c>
      <c r="L22" s="52">
        <f>17271.04/1000</f>
        <v>17.271039999999999</v>
      </c>
      <c r="M22" s="52">
        <f>4911.44/1000</f>
        <v>4.9114399999999998</v>
      </c>
      <c r="N22" s="52">
        <f>12359.6/1000</f>
        <v>12.3596</v>
      </c>
      <c r="O22" s="52">
        <f>20344.8/1000</f>
        <v>20.344799999999999</v>
      </c>
      <c r="P22" s="52">
        <f>6416.73/1000</f>
        <v>6.4167299999999994</v>
      </c>
      <c r="Q22" s="52">
        <f>13928.07/1000</f>
        <v>13.92807</v>
      </c>
      <c r="R22" s="52">
        <f>24927.22/1000</f>
        <v>24.927220000000002</v>
      </c>
      <c r="S22" s="52">
        <f>11282.61/1000</f>
        <v>11.28261</v>
      </c>
      <c r="T22" s="52">
        <f>13644.6/1000</f>
        <v>13.644600000000001</v>
      </c>
      <c r="U22" s="53"/>
      <c r="V22" s="49" t="s">
        <v>49</v>
      </c>
      <c r="W22" s="49"/>
      <c r="Y22" s="55"/>
      <c r="Z22" s="55"/>
    </row>
    <row r="23" spans="1:26" s="54" customFormat="1" ht="15" customHeight="1">
      <c r="A23" s="49"/>
      <c r="B23" s="49" t="s">
        <v>50</v>
      </c>
      <c r="C23" s="53"/>
      <c r="D23" s="53"/>
      <c r="E23" s="53"/>
      <c r="F23" s="50">
        <f>268.8/1000</f>
        <v>0.26880000000000004</v>
      </c>
      <c r="G23" s="51">
        <f>268.8/1000</f>
        <v>0.26880000000000004</v>
      </c>
      <c r="H23" s="52" t="s">
        <v>31</v>
      </c>
      <c r="I23" s="52">
        <f>358.52/1000</f>
        <v>0.35852000000000001</v>
      </c>
      <c r="J23" s="52">
        <f>175.38/1000</f>
        <v>0.17538000000000001</v>
      </c>
      <c r="K23" s="52">
        <f>183.14/1000</f>
        <v>0.18314</v>
      </c>
      <c r="L23" s="52">
        <f>355.68/1000</f>
        <v>0.35568</v>
      </c>
      <c r="M23" s="52">
        <f>92.42/1000</f>
        <v>9.2420000000000002E-2</v>
      </c>
      <c r="N23" s="52">
        <f>263.26/1000</f>
        <v>0.26325999999999999</v>
      </c>
      <c r="O23" s="52">
        <f>1124.01/1000</f>
        <v>1.12401</v>
      </c>
      <c r="P23" s="52">
        <f>928.93/1000</f>
        <v>0.92892999999999992</v>
      </c>
      <c r="Q23" s="52">
        <f>195.07/1000</f>
        <v>0.19506999999999999</v>
      </c>
      <c r="R23" s="52">
        <f>404.03/1000</f>
        <v>0.40403</v>
      </c>
      <c r="S23" s="52">
        <f>404.03/1000</f>
        <v>0.40403</v>
      </c>
      <c r="T23" s="52" t="s">
        <v>31</v>
      </c>
      <c r="U23" s="53"/>
      <c r="V23" s="53" t="s">
        <v>51</v>
      </c>
      <c r="W23" s="53"/>
      <c r="X23" s="55"/>
      <c r="Y23" s="55"/>
      <c r="Z23" s="55"/>
    </row>
    <row r="24" spans="1:26" s="54" customFormat="1" ht="15" customHeight="1">
      <c r="A24" s="49"/>
      <c r="B24" s="49" t="s">
        <v>52</v>
      </c>
      <c r="C24" s="53"/>
      <c r="D24" s="53"/>
      <c r="E24" s="53"/>
      <c r="F24" s="50">
        <f>5415.47/1000</f>
        <v>5.41547</v>
      </c>
      <c r="G24" s="51">
        <f>1986.05/1000</f>
        <v>1.9860499999999999</v>
      </c>
      <c r="H24" s="52">
        <f>3429.42/1000</f>
        <v>3.4294199999999999</v>
      </c>
      <c r="I24" s="52">
        <f>4491.06/1000</f>
        <v>4.4910600000000001</v>
      </c>
      <c r="J24" s="52">
        <f>1214.06/1000</f>
        <v>1.2140599999999999</v>
      </c>
      <c r="K24" s="52">
        <f>3277/1000</f>
        <v>3.2770000000000001</v>
      </c>
      <c r="L24" s="52">
        <f>3703.46/1000</f>
        <v>3.7034600000000002</v>
      </c>
      <c r="M24" s="52">
        <f>2414.65/1000</f>
        <v>2.41465</v>
      </c>
      <c r="N24" s="52">
        <f>1288.81/1000</f>
        <v>1.28881</v>
      </c>
      <c r="O24" s="52">
        <f>1975.21/1000</f>
        <v>1.9752100000000001</v>
      </c>
      <c r="P24" s="52">
        <f>956.39/1000</f>
        <v>0.95638999999999996</v>
      </c>
      <c r="Q24" s="52">
        <f>1018.81/1000</f>
        <v>1.01881</v>
      </c>
      <c r="R24" s="52">
        <f>5371.55/1000</f>
        <v>5.37155</v>
      </c>
      <c r="S24" s="52">
        <f>2263.61/1000</f>
        <v>2.2636100000000003</v>
      </c>
      <c r="T24" s="52">
        <f>3107.94/1000</f>
        <v>3.1079400000000001</v>
      </c>
      <c r="U24" s="53"/>
      <c r="V24" s="53" t="s">
        <v>53</v>
      </c>
      <c r="W24" s="53"/>
      <c r="X24" s="55"/>
      <c r="Y24" s="55"/>
      <c r="Z24" s="55"/>
    </row>
    <row r="25" spans="1:26" s="54" customFormat="1" ht="15" customHeight="1">
      <c r="A25" s="49"/>
      <c r="B25" s="53" t="s">
        <v>54</v>
      </c>
      <c r="C25" s="53"/>
      <c r="D25" s="53"/>
      <c r="E25" s="53"/>
      <c r="F25" s="50" t="s">
        <v>31</v>
      </c>
      <c r="G25" s="51" t="s">
        <v>31</v>
      </c>
      <c r="H25" s="52" t="s">
        <v>31</v>
      </c>
      <c r="I25" s="52">
        <f>509.51/1000</f>
        <v>0.50951000000000002</v>
      </c>
      <c r="J25" s="52" t="s">
        <v>31</v>
      </c>
      <c r="K25" s="52">
        <f>509.51/1000</f>
        <v>0.50951000000000002</v>
      </c>
      <c r="L25" s="52">
        <f>166.57/1000</f>
        <v>0.16657</v>
      </c>
      <c r="M25" s="52">
        <f>166.57/1000</f>
        <v>0.16657</v>
      </c>
      <c r="N25" s="52" t="s">
        <v>31</v>
      </c>
      <c r="O25" s="52">
        <f>886.07/1000</f>
        <v>0.88607000000000002</v>
      </c>
      <c r="P25" s="52" t="s">
        <v>31</v>
      </c>
      <c r="Q25" s="52">
        <f>886.07/1000</f>
        <v>0.88607000000000002</v>
      </c>
      <c r="R25" s="52">
        <f>619.66/1000</f>
        <v>0.61965999999999999</v>
      </c>
      <c r="S25" s="52">
        <f>482.12/1000</f>
        <v>0.48211999999999999</v>
      </c>
      <c r="T25" s="52">
        <f>137.54/1000</f>
        <v>0.13754</v>
      </c>
      <c r="U25" s="53"/>
      <c r="V25" s="53" t="s">
        <v>55</v>
      </c>
      <c r="W25" s="53"/>
      <c r="X25" s="55"/>
      <c r="Y25" s="55"/>
      <c r="Z25" s="55"/>
    </row>
    <row r="26" spans="1:26" s="54" customFormat="1" ht="15" customHeight="1">
      <c r="A26" s="49"/>
      <c r="B26" s="49" t="s">
        <v>56</v>
      </c>
      <c r="C26" s="49"/>
      <c r="D26" s="53"/>
      <c r="E26" s="53"/>
      <c r="F26" s="50">
        <f>2680.15/1000</f>
        <v>2.6801500000000003</v>
      </c>
      <c r="G26" s="51">
        <f>1188.01/1000</f>
        <v>1.18801</v>
      </c>
      <c r="H26" s="52">
        <f>1492.14/1000</f>
        <v>1.49214</v>
      </c>
      <c r="I26" s="52">
        <f>3407.7/1000</f>
        <v>3.4076999999999997</v>
      </c>
      <c r="J26" s="52">
        <f>1858.06/1000</f>
        <v>1.85806</v>
      </c>
      <c r="K26" s="52">
        <f>1549.64/1000</f>
        <v>1.5496400000000001</v>
      </c>
      <c r="L26" s="52">
        <f>2893.76/1000</f>
        <v>2.8937600000000003</v>
      </c>
      <c r="M26" s="52">
        <f>2160.33/1000</f>
        <v>2.1603300000000001</v>
      </c>
      <c r="N26" s="52">
        <f>733.43/1000</f>
        <v>0.73342999999999992</v>
      </c>
      <c r="O26" s="52">
        <f>389.18/1000</f>
        <v>0.38918000000000003</v>
      </c>
      <c r="P26" s="52">
        <f>389.18/1000</f>
        <v>0.38918000000000003</v>
      </c>
      <c r="Q26" s="52" t="s">
        <v>31</v>
      </c>
      <c r="R26" s="52">
        <f>2280.18/1000</f>
        <v>2.2801799999999997</v>
      </c>
      <c r="S26" s="52">
        <f>716.61/1000</f>
        <v>0.71660999999999997</v>
      </c>
      <c r="T26" s="52">
        <f>1563.58/1000</f>
        <v>1.56358</v>
      </c>
      <c r="U26" s="53"/>
      <c r="V26" s="49" t="s">
        <v>57</v>
      </c>
      <c r="W26" s="53"/>
      <c r="X26" s="55"/>
      <c r="Y26" s="55"/>
      <c r="Z26" s="55"/>
    </row>
    <row r="27" spans="1:26" s="54" customFormat="1" ht="15" customHeight="1">
      <c r="A27" s="49"/>
      <c r="B27" s="49" t="s">
        <v>58</v>
      </c>
      <c r="C27" s="53"/>
      <c r="D27" s="53"/>
      <c r="E27" s="53"/>
      <c r="F27" s="50">
        <f>946.99/1000</f>
        <v>0.94699</v>
      </c>
      <c r="G27" s="51">
        <f>202.16/1000</f>
        <v>0.20216000000000001</v>
      </c>
      <c r="H27" s="52">
        <f>744.83/1000</f>
        <v>0.74482999999999999</v>
      </c>
      <c r="I27" s="52">
        <f>574.61/1000</f>
        <v>0.57461000000000007</v>
      </c>
      <c r="J27" s="52">
        <f>317.74/1000</f>
        <v>0.31774000000000002</v>
      </c>
      <c r="K27" s="52">
        <f>256.86/1000</f>
        <v>0.25686000000000003</v>
      </c>
      <c r="L27" s="52">
        <f>1175.48/1000</f>
        <v>1.1754800000000001</v>
      </c>
      <c r="M27" s="52">
        <f>202.67/1000</f>
        <v>0.20266999999999999</v>
      </c>
      <c r="N27" s="52">
        <f>972.81/1000</f>
        <v>0.97280999999999995</v>
      </c>
      <c r="O27" s="52">
        <f>353.45/1000</f>
        <v>0.35344999999999999</v>
      </c>
      <c r="P27" s="52" t="s">
        <v>31</v>
      </c>
      <c r="Q27" s="52">
        <f>353.45/1000</f>
        <v>0.35344999999999999</v>
      </c>
      <c r="R27" s="52">
        <f>1553.42/1000</f>
        <v>1.55342</v>
      </c>
      <c r="S27" s="52">
        <f>1458.75/1000</f>
        <v>1.45875</v>
      </c>
      <c r="T27" s="52">
        <f>94.67/1000</f>
        <v>9.4670000000000004E-2</v>
      </c>
      <c r="U27" s="53"/>
      <c r="V27" s="53" t="s">
        <v>59</v>
      </c>
      <c r="W27" s="53"/>
      <c r="X27" s="55"/>
      <c r="Y27" s="55"/>
      <c r="Z27" s="55"/>
    </row>
    <row r="28" spans="1:26" s="54" customFormat="1" ht="15" customHeight="1">
      <c r="A28" s="49"/>
      <c r="B28" s="53" t="s">
        <v>60</v>
      </c>
      <c r="C28" s="53"/>
      <c r="D28" s="53"/>
      <c r="E28" s="53"/>
      <c r="F28" s="50">
        <f>30741.29/1000</f>
        <v>30.741289999999999</v>
      </c>
      <c r="G28" s="51">
        <f>20626.28/1000</f>
        <v>20.626279999999998</v>
      </c>
      <c r="H28" s="52">
        <f>10115.01/1000</f>
        <v>10.11501</v>
      </c>
      <c r="I28" s="52">
        <f>25174.41/1000</f>
        <v>25.174409999999998</v>
      </c>
      <c r="J28" s="52">
        <f>18275.16/1000</f>
        <v>18.27516</v>
      </c>
      <c r="K28" s="52">
        <f>6899.25/1000</f>
        <v>6.8992500000000003</v>
      </c>
      <c r="L28" s="52">
        <f>25676.17/1000</f>
        <v>25.676169999999999</v>
      </c>
      <c r="M28" s="52">
        <f>18263.85/1000</f>
        <v>18.263849999999998</v>
      </c>
      <c r="N28" s="52">
        <f>7412.32/1000</f>
        <v>7.4123199999999994</v>
      </c>
      <c r="O28" s="52">
        <f>23504.42/1000</f>
        <v>23.50442</v>
      </c>
      <c r="P28" s="52">
        <f>17858.06/1000</f>
        <v>17.858060000000002</v>
      </c>
      <c r="Q28" s="52">
        <f>5646.36/1000</f>
        <v>5.6463599999999996</v>
      </c>
      <c r="R28" s="52">
        <f>25260.65/1000</f>
        <v>25.260650000000002</v>
      </c>
      <c r="S28" s="52">
        <f>16695.57/1000</f>
        <v>16.69557</v>
      </c>
      <c r="T28" s="52">
        <f>8565.08/1000</f>
        <v>8.56508</v>
      </c>
      <c r="U28" s="53"/>
      <c r="V28" s="53" t="s">
        <v>61</v>
      </c>
      <c r="W28" s="53"/>
      <c r="X28" s="55"/>
      <c r="Y28" s="55"/>
      <c r="Z28" s="55"/>
    </row>
    <row r="29" spans="1:26" s="54" customFormat="1" ht="15" customHeight="1">
      <c r="A29" s="49"/>
      <c r="B29" s="49"/>
      <c r="C29" s="53" t="s">
        <v>62</v>
      </c>
      <c r="D29" s="53"/>
      <c r="E29" s="53"/>
      <c r="F29" s="50"/>
      <c r="G29" s="51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3"/>
      <c r="V29" s="53"/>
      <c r="W29" s="53" t="s">
        <v>63</v>
      </c>
      <c r="X29" s="55"/>
      <c r="Y29" s="55"/>
      <c r="Z29" s="55"/>
    </row>
    <row r="30" spans="1:26" s="54" customFormat="1" ht="15" customHeight="1">
      <c r="A30" s="49"/>
      <c r="B30" s="53" t="s">
        <v>64</v>
      </c>
      <c r="C30" s="53"/>
      <c r="D30" s="53"/>
      <c r="E30" s="53"/>
      <c r="F30" s="50">
        <f>15456.93/1000</f>
        <v>15.45693</v>
      </c>
      <c r="G30" s="51">
        <f>5443.36/1000</f>
        <v>5.4433599999999993</v>
      </c>
      <c r="H30" s="52">
        <f>10013.57/1000</f>
        <v>10.01357</v>
      </c>
      <c r="I30" s="52">
        <f>15315.04/1000</f>
        <v>15.315040000000002</v>
      </c>
      <c r="J30" s="52">
        <f>5332.1/1000</f>
        <v>5.3321000000000005</v>
      </c>
      <c r="K30" s="52">
        <f>9982.94/1000</f>
        <v>9.982940000000001</v>
      </c>
      <c r="L30" s="52">
        <f>14639.78/1000</f>
        <v>14.63978</v>
      </c>
      <c r="M30" s="52">
        <f>7288.3/1000</f>
        <v>7.2883000000000004</v>
      </c>
      <c r="N30" s="52">
        <f>7351.47/1000</f>
        <v>7.3514699999999999</v>
      </c>
      <c r="O30" s="52">
        <f>17642.51/1000</f>
        <v>17.642509999999998</v>
      </c>
      <c r="P30" s="52">
        <f>6799.95/1000</f>
        <v>6.7999499999999999</v>
      </c>
      <c r="Q30" s="52">
        <f>10842.57/1000</f>
        <v>10.84257</v>
      </c>
      <c r="R30" s="52">
        <f>18048.94/1000</f>
        <v>18.048939999999998</v>
      </c>
      <c r="S30" s="52">
        <f>6441.6/1000</f>
        <v>6.4416000000000002</v>
      </c>
      <c r="T30" s="52">
        <f>11607.34/1000</f>
        <v>11.607340000000001</v>
      </c>
      <c r="U30" s="53"/>
      <c r="V30" s="53" t="s">
        <v>65</v>
      </c>
      <c r="W30" s="53"/>
      <c r="X30" s="55"/>
      <c r="Y30" s="55"/>
      <c r="Z30" s="55"/>
    </row>
    <row r="31" spans="1:26" s="54" customFormat="1" ht="15" customHeight="1">
      <c r="A31" s="49"/>
      <c r="B31" s="53" t="s">
        <v>66</v>
      </c>
      <c r="C31" s="53"/>
      <c r="D31" s="53"/>
      <c r="E31" s="53"/>
      <c r="F31" s="50">
        <f>6317.07/1000</f>
        <v>6.3170699999999993</v>
      </c>
      <c r="G31" s="51">
        <f>2364.41/1000</f>
        <v>2.3644099999999999</v>
      </c>
      <c r="H31" s="52">
        <f>3952.67/1000</f>
        <v>3.9526699999999999</v>
      </c>
      <c r="I31" s="52">
        <f>13202.14/1000</f>
        <v>13.20214</v>
      </c>
      <c r="J31" s="52">
        <f>3044.23/1000</f>
        <v>3.0442300000000002</v>
      </c>
      <c r="K31" s="52">
        <f>10157.91/1000</f>
        <v>10.157909999999999</v>
      </c>
      <c r="L31" s="52">
        <f>12419.05/1000</f>
        <v>12.419049999999999</v>
      </c>
      <c r="M31" s="52">
        <f>3267.35/1000</f>
        <v>3.26735</v>
      </c>
      <c r="N31" s="52">
        <f>9151.69/1000</f>
        <v>9.1516900000000003</v>
      </c>
      <c r="O31" s="52">
        <f>9091.05/1000</f>
        <v>9.0910499999999992</v>
      </c>
      <c r="P31" s="52">
        <f>3117.49/1000</f>
        <v>3.1174899999999997</v>
      </c>
      <c r="Q31" s="52">
        <f>5973.56/1000</f>
        <v>5.97356</v>
      </c>
      <c r="R31" s="52">
        <f>6267.91/1000</f>
        <v>6.2679099999999996</v>
      </c>
      <c r="S31" s="52">
        <f>1026.65/1000</f>
        <v>1.0266500000000001</v>
      </c>
      <c r="T31" s="52">
        <f>5241.27/1000</f>
        <v>5.2412700000000001</v>
      </c>
      <c r="U31" s="53"/>
      <c r="V31" s="53" t="s">
        <v>67</v>
      </c>
      <c r="W31" s="53"/>
      <c r="X31" s="55"/>
      <c r="Y31" s="55"/>
      <c r="Z31" s="55"/>
    </row>
    <row r="32" spans="1:26" s="54" customFormat="1" ht="15" customHeight="1">
      <c r="A32" s="49"/>
      <c r="B32" s="49" t="s">
        <v>68</v>
      </c>
      <c r="C32" s="53"/>
      <c r="D32" s="53"/>
      <c r="E32" s="53"/>
      <c r="F32" s="50">
        <f>6038.63/1000</f>
        <v>6.0386300000000004</v>
      </c>
      <c r="G32" s="51">
        <f>3398.11/1000</f>
        <v>3.39811</v>
      </c>
      <c r="H32" s="52">
        <f>2640.51/1000</f>
        <v>2.6405100000000004</v>
      </c>
      <c r="I32" s="52">
        <f>8741.19/1000</f>
        <v>8.7411900000000013</v>
      </c>
      <c r="J32" s="52">
        <f>5647.22/1000</f>
        <v>5.6472199999999999</v>
      </c>
      <c r="K32" s="52">
        <f>3093.97/1000</f>
        <v>3.0939699999999997</v>
      </c>
      <c r="L32" s="52">
        <f>2799.36/1000</f>
        <v>2.7993600000000001</v>
      </c>
      <c r="M32" s="52">
        <f>2012.74/1000</f>
        <v>2.01274</v>
      </c>
      <c r="N32" s="52">
        <f>786.62/1000</f>
        <v>0.78661999999999999</v>
      </c>
      <c r="O32" s="52">
        <f>3704.06/1000</f>
        <v>3.7040600000000001</v>
      </c>
      <c r="P32" s="52">
        <f>2738.29/1000</f>
        <v>2.7382900000000001</v>
      </c>
      <c r="Q32" s="52">
        <f>965.77/1000</f>
        <v>0.96577000000000002</v>
      </c>
      <c r="R32" s="52">
        <f>9380.09/1000</f>
        <v>9.3800900000000009</v>
      </c>
      <c r="S32" s="52">
        <f>6961.62/1000</f>
        <v>6.9616199999999999</v>
      </c>
      <c r="T32" s="52">
        <f>2418.47/1000</f>
        <v>2.4184699999999997</v>
      </c>
      <c r="U32" s="53"/>
      <c r="V32" s="53" t="s">
        <v>69</v>
      </c>
      <c r="W32" s="53"/>
      <c r="X32" s="55"/>
      <c r="Y32" s="55"/>
      <c r="Z32" s="55"/>
    </row>
    <row r="33" spans="1:26" s="54" customFormat="1" ht="15" customHeight="1">
      <c r="A33" s="49"/>
      <c r="B33" s="49" t="s">
        <v>70</v>
      </c>
      <c r="C33" s="53"/>
      <c r="D33" s="53"/>
      <c r="E33" s="53"/>
      <c r="F33" s="50">
        <f>5987.88/1000</f>
        <v>5.9878800000000005</v>
      </c>
      <c r="G33" s="51">
        <f>3336.55/1000</f>
        <v>3.3365500000000003</v>
      </c>
      <c r="H33" s="52">
        <f>2651.33/1000</f>
        <v>2.6513299999999997</v>
      </c>
      <c r="I33" s="52">
        <f>5031.63/1000</f>
        <v>5.0316299999999998</v>
      </c>
      <c r="J33" s="52">
        <f>2184.1/1000</f>
        <v>2.1840999999999999</v>
      </c>
      <c r="K33" s="52">
        <f>2847.53/1000</f>
        <v>2.8475300000000003</v>
      </c>
      <c r="L33" s="52">
        <f>4537.96/1000</f>
        <v>4.53796</v>
      </c>
      <c r="M33" s="52">
        <f>1061.74/1000</f>
        <v>1.0617399999999999</v>
      </c>
      <c r="N33" s="52">
        <f>3476.23/1000</f>
        <v>3.4762300000000002</v>
      </c>
      <c r="O33" s="52">
        <f>8833.91/1000</f>
        <v>8.8339099999999995</v>
      </c>
      <c r="P33" s="52">
        <f>4650.46/1000</f>
        <v>4.6504599999999998</v>
      </c>
      <c r="Q33" s="52">
        <f>4183.45/1000</f>
        <v>4.1834499999999997</v>
      </c>
      <c r="R33" s="52">
        <f>8000.37/1000</f>
        <v>8.0003700000000002</v>
      </c>
      <c r="S33" s="52">
        <f>2243.64/1000</f>
        <v>2.2436400000000001</v>
      </c>
      <c r="T33" s="52">
        <f>5756.72/1000</f>
        <v>5.7567200000000005</v>
      </c>
      <c r="U33" s="53"/>
      <c r="V33" s="49" t="s">
        <v>71</v>
      </c>
      <c r="W33" s="49"/>
      <c r="X33" s="55"/>
      <c r="Y33" s="55"/>
      <c r="Z33" s="55"/>
    </row>
    <row r="34" spans="1:26" s="54" customFormat="1" ht="15" customHeight="1">
      <c r="A34" s="49"/>
      <c r="B34" s="49" t="s">
        <v>72</v>
      </c>
      <c r="C34" s="53"/>
      <c r="D34" s="53"/>
      <c r="E34" s="53"/>
      <c r="F34" s="50">
        <f>646.95/1000</f>
        <v>0.64695000000000003</v>
      </c>
      <c r="G34" s="51" t="s">
        <v>31</v>
      </c>
      <c r="H34" s="52">
        <f>646.95/1000</f>
        <v>0.64695000000000003</v>
      </c>
      <c r="I34" s="52">
        <f>2996.3/1000</f>
        <v>2.9963000000000002</v>
      </c>
      <c r="J34" s="52">
        <f>845/1000</f>
        <v>0.84499999999999997</v>
      </c>
      <c r="K34" s="52">
        <f>2151.3/1000</f>
        <v>2.1513</v>
      </c>
      <c r="L34" s="52">
        <f>1514.16/1000</f>
        <v>1.5141600000000002</v>
      </c>
      <c r="M34" s="52">
        <f>387.9/1000</f>
        <v>0.38789999999999997</v>
      </c>
      <c r="N34" s="52">
        <f>1126.25/1000</f>
        <v>1.12625</v>
      </c>
      <c r="O34" s="52">
        <f>677.53/1000</f>
        <v>0.67752999999999997</v>
      </c>
      <c r="P34" s="52">
        <f>79.45/1000</f>
        <v>7.9450000000000007E-2</v>
      </c>
      <c r="Q34" s="52">
        <f>598.08/1000</f>
        <v>0.59808000000000006</v>
      </c>
      <c r="R34" s="52">
        <f>4200/1000</f>
        <v>4.2</v>
      </c>
      <c r="S34" s="52" t="s">
        <v>31</v>
      </c>
      <c r="T34" s="52">
        <f>4200/1000</f>
        <v>4.2</v>
      </c>
      <c r="U34" s="53"/>
      <c r="V34" s="53" t="s">
        <v>73</v>
      </c>
      <c r="W34" s="53"/>
      <c r="X34" s="55"/>
      <c r="Y34" s="55"/>
      <c r="Z34" s="55"/>
    </row>
    <row r="35" spans="1:26" s="54" customFormat="1" ht="15" customHeight="1">
      <c r="A35" s="49"/>
      <c r="B35" s="49"/>
      <c r="C35" s="49" t="s">
        <v>74</v>
      </c>
      <c r="D35" s="53"/>
      <c r="E35" s="53"/>
      <c r="F35" s="50"/>
      <c r="G35" s="51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3"/>
      <c r="V35" s="53"/>
      <c r="W35" s="53" t="s">
        <v>75</v>
      </c>
      <c r="X35" s="55"/>
      <c r="Y35" s="55"/>
      <c r="Z35" s="55"/>
    </row>
    <row r="36" spans="1:26" s="54" customFormat="1" ht="15" customHeight="1">
      <c r="A36" s="49"/>
      <c r="B36" s="53" t="s">
        <v>76</v>
      </c>
      <c r="C36" s="53"/>
      <c r="D36" s="53"/>
      <c r="E36" s="53"/>
      <c r="F36" s="50" t="s">
        <v>31</v>
      </c>
      <c r="G36" s="51" t="s">
        <v>31</v>
      </c>
      <c r="H36" s="52" t="s">
        <v>31</v>
      </c>
      <c r="I36" s="52" t="s">
        <v>31</v>
      </c>
      <c r="J36" s="52" t="s">
        <v>31</v>
      </c>
      <c r="K36" s="52" t="s">
        <v>31</v>
      </c>
      <c r="L36" s="52" t="s">
        <v>31</v>
      </c>
      <c r="M36" s="52" t="s">
        <v>31</v>
      </c>
      <c r="N36" s="52" t="s">
        <v>31</v>
      </c>
      <c r="O36" s="52" t="s">
        <v>31</v>
      </c>
      <c r="P36" s="52" t="s">
        <v>31</v>
      </c>
      <c r="Q36" s="52" t="s">
        <v>31</v>
      </c>
      <c r="R36" s="52" t="s">
        <v>31</v>
      </c>
      <c r="S36" s="52" t="s">
        <v>31</v>
      </c>
      <c r="T36" s="52" t="s">
        <v>31</v>
      </c>
      <c r="U36" s="53"/>
      <c r="V36" s="53" t="s">
        <v>77</v>
      </c>
      <c r="W36" s="53"/>
      <c r="X36" s="55"/>
      <c r="Y36" s="55"/>
      <c r="Z36" s="55"/>
    </row>
    <row r="37" spans="1:26" s="54" customFormat="1" ht="15" customHeight="1">
      <c r="A37" s="53"/>
      <c r="B37" s="53" t="s">
        <v>78</v>
      </c>
      <c r="C37" s="53"/>
      <c r="D37" s="53"/>
      <c r="E37" s="57"/>
      <c r="F37" s="50" t="s">
        <v>31</v>
      </c>
      <c r="G37" s="51" t="s">
        <v>31</v>
      </c>
      <c r="H37" s="52" t="s">
        <v>31</v>
      </c>
      <c r="I37" s="52" t="s">
        <v>31</v>
      </c>
      <c r="J37" s="52" t="s">
        <v>31</v>
      </c>
      <c r="K37" s="52" t="s">
        <v>31</v>
      </c>
      <c r="L37" s="52" t="s">
        <v>31</v>
      </c>
      <c r="M37" s="52" t="s">
        <v>31</v>
      </c>
      <c r="N37" s="52" t="s">
        <v>31</v>
      </c>
      <c r="O37" s="52" t="s">
        <v>31</v>
      </c>
      <c r="P37" s="52" t="s">
        <v>31</v>
      </c>
      <c r="Q37" s="52" t="s">
        <v>31</v>
      </c>
      <c r="R37" s="52" t="s">
        <v>31</v>
      </c>
      <c r="S37" s="52" t="s">
        <v>31</v>
      </c>
      <c r="T37" s="52" t="s">
        <v>31</v>
      </c>
      <c r="U37" s="58"/>
      <c r="V37" s="53" t="s">
        <v>79</v>
      </c>
      <c r="W37" s="53"/>
      <c r="X37" s="55"/>
      <c r="Y37" s="55"/>
      <c r="Z37" s="55"/>
    </row>
    <row r="38" spans="1:26" s="66" customFormat="1" ht="3" customHeight="1">
      <c r="A38" s="59"/>
      <c r="B38" s="59"/>
      <c r="C38" s="59"/>
      <c r="D38" s="59"/>
      <c r="E38" s="60"/>
      <c r="F38" s="61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4"/>
      <c r="V38" s="59"/>
      <c r="W38" s="59"/>
      <c r="X38" s="59"/>
      <c r="Y38" s="59"/>
      <c r="Z38" s="65"/>
    </row>
    <row r="39" spans="1:26" s="66" customFormat="1" ht="3" customHeight="1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 spans="1:26" s="67" customFormat="1" ht="14.25" customHeight="1">
      <c r="C40" s="68" t="s">
        <v>80</v>
      </c>
      <c r="D40" s="10" t="s">
        <v>81</v>
      </c>
    </row>
    <row r="41" spans="1:26" s="67" customFormat="1" ht="15" customHeight="1">
      <c r="C41" s="68" t="s">
        <v>82</v>
      </c>
      <c r="D41" s="69" t="s">
        <v>83</v>
      </c>
    </row>
    <row r="43" spans="1:26">
      <c r="B43" s="55"/>
    </row>
    <row r="46" spans="1:26">
      <c r="B46" s="54"/>
    </row>
    <row r="49" spans="2:2">
      <c r="B49" s="55"/>
    </row>
    <row r="50" spans="2:2">
      <c r="B50" s="55"/>
    </row>
    <row r="52" spans="2:2">
      <c r="B52" s="54"/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59055118110236227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2015-09-07T07:22:12Z</dcterms:created>
  <dcterms:modified xsi:type="dcterms:W3CDTF">2015-09-07T07:22:18Z</dcterms:modified>
</cp:coreProperties>
</file>