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6.2" sheetId="1" r:id="rId1"/>
  </sheets>
  <definedNames>
    <definedName name="_xlnm.Print_Area" localSheetId="0">'T-16.2'!$A$1:$Q$102</definedName>
    <definedName name="_xlnm.Print_Titles" localSheetId="0">'T-16.2'!$1:$8</definedName>
  </definedNames>
  <calcPr calcId="125725" fullCalcOnLoad="1"/>
</workbook>
</file>

<file path=xl/calcChain.xml><?xml version="1.0" encoding="utf-8"?>
<calcChain xmlns="http://schemas.openxmlformats.org/spreadsheetml/2006/main">
  <c r="K82" i="1"/>
  <c r="K81" s="1"/>
  <c r="J82"/>
  <c r="E82"/>
  <c r="M81"/>
  <c r="L81"/>
  <c r="J81"/>
  <c r="I81"/>
  <c r="G81"/>
  <c r="F81"/>
  <c r="E81"/>
  <c r="K80"/>
  <c r="J80"/>
  <c r="J79" s="1"/>
  <c r="E80"/>
  <c r="M79"/>
  <c r="L79"/>
  <c r="K79"/>
  <c r="I79"/>
  <c r="H79"/>
  <c r="G79"/>
  <c r="F79"/>
  <c r="E79"/>
  <c r="K78"/>
  <c r="E78"/>
  <c r="K77"/>
  <c r="J77"/>
  <c r="E77"/>
  <c r="M76"/>
  <c r="L76"/>
  <c r="K76"/>
  <c r="J76"/>
  <c r="I76"/>
  <c r="H76"/>
  <c r="G76"/>
  <c r="F76"/>
  <c r="E76"/>
  <c r="K75"/>
  <c r="J75"/>
  <c r="E75"/>
  <c r="M74"/>
  <c r="L74"/>
  <c r="K74"/>
  <c r="J74"/>
  <c r="I74"/>
  <c r="G74"/>
  <c r="F74"/>
  <c r="E74"/>
  <c r="K73"/>
  <c r="J73"/>
  <c r="E73"/>
  <c r="K72"/>
  <c r="J72"/>
  <c r="J71" s="1"/>
  <c r="E72"/>
  <c r="M71"/>
  <c r="L71"/>
  <c r="K71"/>
  <c r="I71"/>
  <c r="H71"/>
  <c r="G71"/>
  <c r="F71"/>
  <c r="E71"/>
  <c r="K70"/>
  <c r="J70"/>
  <c r="E70"/>
  <c r="K69"/>
  <c r="J69"/>
  <c r="E69"/>
  <c r="K68"/>
  <c r="J68"/>
  <c r="J67" s="1"/>
  <c r="E68"/>
  <c r="M67"/>
  <c r="L67"/>
  <c r="K67"/>
  <c r="I67"/>
  <c r="H67"/>
  <c r="G67"/>
  <c r="F67"/>
  <c r="E67"/>
  <c r="K66"/>
  <c r="J66"/>
  <c r="E66"/>
  <c r="K65"/>
  <c r="J65"/>
  <c r="E65"/>
  <c r="K64"/>
  <c r="J64"/>
  <c r="J63" s="1"/>
  <c r="E64"/>
  <c r="M63"/>
  <c r="L63"/>
  <c r="K63"/>
  <c r="I63"/>
  <c r="H63"/>
  <c r="G63"/>
  <c r="F63"/>
  <c r="E63"/>
  <c r="K62"/>
  <c r="J62"/>
  <c r="E62"/>
  <c r="K61"/>
  <c r="K60" s="1"/>
  <c r="J61"/>
  <c r="E61"/>
  <c r="E60" s="1"/>
  <c r="M60"/>
  <c r="L60"/>
  <c r="J60"/>
  <c r="I60"/>
  <c r="H60"/>
  <c r="G60"/>
  <c r="F60"/>
  <c r="K59"/>
  <c r="J59"/>
  <c r="E59"/>
  <c r="K58"/>
  <c r="J58"/>
  <c r="E58"/>
  <c r="M57"/>
  <c r="L57"/>
  <c r="K57"/>
  <c r="J57"/>
  <c r="I57"/>
  <c r="H57"/>
  <c r="G57"/>
  <c r="F57"/>
  <c r="E57"/>
  <c r="K56"/>
  <c r="J56"/>
  <c r="E56"/>
  <c r="K55"/>
  <c r="J55"/>
  <c r="E55"/>
  <c r="K54"/>
  <c r="J54"/>
  <c r="J53" s="1"/>
  <c r="E54"/>
  <c r="M53"/>
  <c r="L53"/>
  <c r="K53"/>
  <c r="I53"/>
  <c r="H53"/>
  <c r="G53"/>
  <c r="F53"/>
  <c r="E53"/>
  <c r="K52"/>
  <c r="J52"/>
  <c r="E52"/>
  <c r="K51"/>
  <c r="K50" s="1"/>
  <c r="J51"/>
  <c r="E51"/>
  <c r="M50"/>
  <c r="L50"/>
  <c r="J50"/>
  <c r="I50"/>
  <c r="G50"/>
  <c r="F50"/>
  <c r="E50"/>
  <c r="K49"/>
  <c r="J49"/>
  <c r="J48" s="1"/>
  <c r="E49"/>
  <c r="M48"/>
  <c r="M10" s="1"/>
  <c r="L48"/>
  <c r="K48"/>
  <c r="I48"/>
  <c r="I10" s="1"/>
  <c r="G48"/>
  <c r="F48"/>
  <c r="E48"/>
  <c r="K47"/>
  <c r="J47"/>
  <c r="E47"/>
  <c r="K46"/>
  <c r="J46"/>
  <c r="J42" s="1"/>
  <c r="E46"/>
  <c r="K45"/>
  <c r="J45"/>
  <c r="E45"/>
  <c r="E42" s="1"/>
  <c r="K44"/>
  <c r="J44"/>
  <c r="E44"/>
  <c r="K43"/>
  <c r="K42" s="1"/>
  <c r="J43"/>
  <c r="E43"/>
  <c r="M42"/>
  <c r="L42"/>
  <c r="I42"/>
  <c r="H42"/>
  <c r="G42"/>
  <c r="F42"/>
  <c r="K41"/>
  <c r="K40" s="1"/>
  <c r="J41"/>
  <c r="E41"/>
  <c r="M40"/>
  <c r="L40"/>
  <c r="J40"/>
  <c r="I40"/>
  <c r="G40"/>
  <c r="F40"/>
  <c r="E40"/>
  <c r="K39"/>
  <c r="J39"/>
  <c r="E39"/>
  <c r="K38"/>
  <c r="J38"/>
  <c r="E38"/>
  <c r="M37"/>
  <c r="L37"/>
  <c r="K37"/>
  <c r="J37"/>
  <c r="I37"/>
  <c r="G37"/>
  <c r="F37"/>
  <c r="E37"/>
  <c r="K36"/>
  <c r="J36"/>
  <c r="E36"/>
  <c r="K35"/>
  <c r="K34" s="1"/>
  <c r="J35"/>
  <c r="E35"/>
  <c r="M34"/>
  <c r="L34"/>
  <c r="J34"/>
  <c r="I34"/>
  <c r="H34"/>
  <c r="G34"/>
  <c r="F34"/>
  <c r="E34"/>
  <c r="K33"/>
  <c r="K30" s="1"/>
  <c r="J33"/>
  <c r="E33"/>
  <c r="K32"/>
  <c r="J32"/>
  <c r="E32"/>
  <c r="K31"/>
  <c r="J31"/>
  <c r="E31"/>
  <c r="E30" s="1"/>
  <c r="M30"/>
  <c r="L30"/>
  <c r="J30"/>
  <c r="I30"/>
  <c r="H30"/>
  <c r="G30"/>
  <c r="F30"/>
  <c r="K29"/>
  <c r="J29"/>
  <c r="E29"/>
  <c r="E25" s="1"/>
  <c r="K28"/>
  <c r="J28"/>
  <c r="E28"/>
  <c r="K27"/>
  <c r="J27"/>
  <c r="E27"/>
  <c r="K26"/>
  <c r="J26"/>
  <c r="J25" s="1"/>
  <c r="E26"/>
  <c r="M25"/>
  <c r="L25"/>
  <c r="K25"/>
  <c r="I25"/>
  <c r="H25"/>
  <c r="G25"/>
  <c r="F25"/>
  <c r="K24"/>
  <c r="J24"/>
  <c r="E24"/>
  <c r="K23"/>
  <c r="K22" s="1"/>
  <c r="J23"/>
  <c r="E23"/>
  <c r="E22" s="1"/>
  <c r="M22"/>
  <c r="L22"/>
  <c r="J22"/>
  <c r="I22"/>
  <c r="H22"/>
  <c r="G22"/>
  <c r="F22"/>
  <c r="K21"/>
  <c r="J21"/>
  <c r="E21"/>
  <c r="E18" s="1"/>
  <c r="K20"/>
  <c r="J20"/>
  <c r="E20"/>
  <c r="K19"/>
  <c r="K18" s="1"/>
  <c r="J19"/>
  <c r="E19"/>
  <c r="M18"/>
  <c r="L18"/>
  <c r="L10" s="1"/>
  <c r="J18"/>
  <c r="I18"/>
  <c r="H18"/>
  <c r="H10" s="1"/>
  <c r="G18"/>
  <c r="F18"/>
  <c r="K17"/>
  <c r="K11" s="1"/>
  <c r="J17"/>
  <c r="E17"/>
  <c r="K16"/>
  <c r="J16"/>
  <c r="E16"/>
  <c r="K15"/>
  <c r="J15"/>
  <c r="E15"/>
  <c r="K14"/>
  <c r="E14"/>
  <c r="K13"/>
  <c r="J13"/>
  <c r="E13"/>
  <c r="K12"/>
  <c r="J12"/>
  <c r="E12"/>
  <c r="E11" s="1"/>
  <c r="E10" s="1"/>
  <c r="M11"/>
  <c r="L11"/>
  <c r="J11"/>
  <c r="J10" s="1"/>
  <c r="I11"/>
  <c r="H11"/>
  <c r="G11"/>
  <c r="F11"/>
  <c r="F10" s="1"/>
  <c r="G10"/>
  <c r="K10" l="1"/>
</calcChain>
</file>

<file path=xl/sharedStrings.xml><?xml version="1.0" encoding="utf-8"?>
<sst xmlns="http://schemas.openxmlformats.org/spreadsheetml/2006/main" count="312" uniqueCount="182">
  <si>
    <t xml:space="preserve">ตาราง   </t>
  </si>
  <si>
    <t>Table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</si>
  <si>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</si>
  <si>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</si>
  <si>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</si>
  <si>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</si>
  <si>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</si>
  <si>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</si>
  <si>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</si>
  <si>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</si>
  <si>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</si>
  <si>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</si>
  <si>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</si>
  <si>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</si>
  <si>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</si>
  <si>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</si>
  <si>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</si>
  <si>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</si>
  <si>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</si>
  <si>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</si>
  <si>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</si>
  <si>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</si>
  <si>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</si>
  <si>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</si>
  <si>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</si>
  <si>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</si>
  <si>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</si>
  <si>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</si>
  <si>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</si>
  <si>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</si>
  <si>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</si>
  <si>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</si>
  <si>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</si>
  <si>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อำเภอเมืองนครศรีธรรมราช</t>
  </si>
  <si>
    <t>Mueang Nakhon Si Thammarat Districi</t>
  </si>
  <si>
    <t xml:space="preserve">   เทศบาลตำบลโพธิ์เสด็จ</t>
  </si>
  <si>
    <t>Posadri Subdistrict Municipality</t>
  </si>
  <si>
    <t xml:space="preserve">      เทศบาลนครนครศรีธรรมราช</t>
  </si>
  <si>
    <t xml:space="preserve"> Nakhon Si Thammarat City Municipality</t>
  </si>
  <si>
    <t xml:space="preserve">      เทศบาลตำบลท่าแพ</t>
  </si>
  <si>
    <t>-</t>
  </si>
  <si>
    <t>Tha Phra  Subdistrict Municipality</t>
  </si>
  <si>
    <t xml:space="preserve">      เทศบาลตำบลบางจาก</t>
  </si>
  <si>
    <t>Bang Chak  Subdistrict Municipality</t>
  </si>
  <si>
    <t xml:space="preserve">      เทศบาลตำบลท่างิ้ว</t>
  </si>
  <si>
    <t>Thangew  Subdistrict Municipality</t>
  </si>
  <si>
    <t xml:space="preserve">      เทศบาลตำบลปากนคร</t>
  </si>
  <si>
    <t>Pak Nakhon  Subdistrict Municipality</t>
  </si>
  <si>
    <t>อำเภอพรหมคีรี</t>
  </si>
  <si>
    <t>Phrom Khiri District</t>
  </si>
  <si>
    <t xml:space="preserve">      เทศบาลตำบลทอนหงส์</t>
  </si>
  <si>
    <t>Thon Hong  Subdistrict Municipality</t>
  </si>
  <si>
    <t xml:space="preserve">      เทศบาลตำบลพรหมคีรี</t>
  </si>
  <si>
    <t>Phrom Khiri  Subdistrict Municipality</t>
  </si>
  <si>
    <t xml:space="preserve">      เทศบาลตำบลพรหมโลก</t>
  </si>
  <si>
    <t>Phromma Lok  Subdistrict Municipality</t>
  </si>
  <si>
    <t>อำเภอลานสกา</t>
  </si>
  <si>
    <t>Lan Saka District</t>
  </si>
  <si>
    <t xml:space="preserve">   เทศบาลตำบลขุนทะเล</t>
  </si>
  <si>
    <t>Khuntalae  Subdistrict Municipality</t>
  </si>
  <si>
    <t xml:space="preserve">      เทศบาลตำบลลานสกา</t>
  </si>
  <si>
    <t>Lan Saka  Subdistrict Municipality</t>
  </si>
  <si>
    <t>อำเภอฉวาง</t>
  </si>
  <si>
    <t>Chawang District</t>
  </si>
  <si>
    <t xml:space="preserve">      เทศบาลตำบลจันดี</t>
  </si>
  <si>
    <t>Chan Di  Subdistrict Municipality</t>
  </si>
  <si>
    <t xml:space="preserve">      เทศบาลตำบลฉวาง</t>
  </si>
  <si>
    <t>Chawang  Subdistrict Municipality</t>
  </si>
  <si>
    <t xml:space="preserve">   เทศบาลตำบลปากน้ำฉวาง</t>
  </si>
  <si>
    <t>Pak Nam Chawang  Subdistrict Municipality</t>
  </si>
  <si>
    <t xml:space="preserve">      เทศบาลตำบลไม้เรียง</t>
  </si>
  <si>
    <t>Mai Riang  Subdistrict Municipality</t>
  </si>
  <si>
    <t>อำเภอพิปูน</t>
  </si>
  <si>
    <t>Phipun District</t>
  </si>
  <si>
    <t xml:space="preserve">   เทศบาลตำบลกระทูน</t>
  </si>
  <si>
    <t xml:space="preserve">  Katoon  Subdistrict Municipality</t>
  </si>
  <si>
    <t xml:space="preserve">      เทศบาลตำบลพิปูน</t>
  </si>
  <si>
    <t xml:space="preserve">  Phipun  Subdistrict Municipality</t>
  </si>
  <si>
    <t xml:space="preserve">      เทศบาลตำบลเขาพระ</t>
  </si>
  <si>
    <t xml:space="preserve">  Kaopra  Subdistrict Municipality</t>
  </si>
  <si>
    <t>อำเภอเชียรใหญ่</t>
  </si>
  <si>
    <t>Chian Yai District</t>
  </si>
  <si>
    <t xml:space="preserve">   เทศบาลตำบลการะเกด</t>
  </si>
  <si>
    <t>Karakae  Subdistrict Municipality</t>
  </si>
  <si>
    <t xml:space="preserve">      เทศบาลตำบลเชียรใหญ่</t>
  </si>
  <si>
    <t>Chian Yai  Subdistrict Municipality</t>
  </si>
  <si>
    <t>อำเภอชะอวด</t>
  </si>
  <si>
    <t>Cha-uat District</t>
  </si>
  <si>
    <t xml:space="preserve">   เทศบาลตำบลท่าประจะ</t>
  </si>
  <si>
    <t>Thapracha  Subdistrict Municipality</t>
  </si>
  <si>
    <t xml:space="preserve">      เทศบาลตำบลชะอวด</t>
  </si>
  <si>
    <t>Cha-uat  Subdistrict Municipality</t>
  </si>
  <si>
    <t>อำเภอท่าศาลา</t>
  </si>
  <si>
    <t>Tha Sala District</t>
  </si>
  <si>
    <t xml:space="preserve">      เทศบาลตำบลท่าศาลา</t>
  </si>
  <si>
    <t>Tha Sala  Subdistrict Municipality</t>
  </si>
  <si>
    <t>อำเภอทุ่งสง</t>
  </si>
  <si>
    <t>Thung Song District</t>
  </si>
  <si>
    <t xml:space="preserve">      เทศบาลเมืองทุ่งสง</t>
  </si>
  <si>
    <t>Thung Song  Subdistrict Municipality</t>
  </si>
  <si>
    <t xml:space="preserve">   เทศบาลตำบลกะปาง</t>
  </si>
  <si>
    <t>Kapang  Subdistrict Municipality</t>
  </si>
  <si>
    <t xml:space="preserve">      เทศบาลตำบลชะมาย</t>
  </si>
  <si>
    <t>Cha mai  Subdistrict Municipality</t>
  </si>
  <si>
    <t xml:space="preserve">   เทศบาลตำบลถ้ำใหญ่</t>
  </si>
  <si>
    <t>Thumyai  Subdistrict Municipality</t>
  </si>
  <si>
    <t xml:space="preserve">      เทศบาลตำบลที่วัง</t>
  </si>
  <si>
    <t>Thi wang  Subdistrict Municipality</t>
  </si>
  <si>
    <t>อำเภอนาบอน</t>
  </si>
  <si>
    <t>Na Bon District</t>
  </si>
  <si>
    <t xml:space="preserve">      เทศบาลตำบลนาบอน</t>
  </si>
  <si>
    <t>Na Bon  Subdistrict Municipality</t>
  </si>
  <si>
    <t>อำเภอทุ่งใหญ่</t>
  </si>
  <si>
    <t>Thung Yai District</t>
  </si>
  <si>
    <t xml:space="preserve">                         เทศบาลทุ่งสัง</t>
  </si>
  <si>
    <t>Tungsang  Subdistrict Municipality</t>
  </si>
  <si>
    <t xml:space="preserve">      เทศบาลตำบลท่ายาง</t>
  </si>
  <si>
    <t>Tha Yang  Subdistrict Municipality</t>
  </si>
  <si>
    <t>อำเภอปากพนัง</t>
  </si>
  <si>
    <t>Pak Phanang District</t>
  </si>
  <si>
    <t xml:space="preserve">   เทศบาลตำบลชะเมา</t>
  </si>
  <si>
    <t>Chamaow  Subdistrict Municipality</t>
  </si>
  <si>
    <t xml:space="preserve">      เทศบาลตำบลบางพระ</t>
  </si>
  <si>
    <t>Bangpra  Subdistrict Municipality</t>
  </si>
  <si>
    <t xml:space="preserve">      เทศบาลเมืองปากพนัง</t>
  </si>
  <si>
    <t>Pak Phanang  Subdistrict Municipality</t>
  </si>
  <si>
    <t>อำเภอร่อนพิบูลย์</t>
  </si>
  <si>
    <t>Ron Phibun District</t>
  </si>
  <si>
    <t xml:space="preserve">      เทศบาลตำบลร่อนพิบูลย์</t>
  </si>
  <si>
    <t>Ron Phibun  Subdistrict Municipality</t>
  </si>
  <si>
    <t xml:space="preserve">      เทศบาลตำบลหินตก</t>
  </si>
  <si>
    <t>Hin Tok  Subdistrict Municipality</t>
  </si>
  <si>
    <t>อำเภอสิชล</t>
  </si>
  <si>
    <t>Sichon  District</t>
  </si>
  <si>
    <t xml:space="preserve">   เทศบาลตำบลทุ่งใส</t>
  </si>
  <si>
    <t>Thungsai  Subdistrict Municipality</t>
  </si>
  <si>
    <t xml:space="preserve">      เทศบาลตำบลสิชล</t>
  </si>
  <si>
    <t>Sichon Subdistrict Municipality</t>
  </si>
  <si>
    <t>อำเภอขนอม</t>
  </si>
  <si>
    <t>Khanom District</t>
  </si>
  <si>
    <t xml:space="preserve">      เทศบาลตำบลขนอม</t>
  </si>
  <si>
    <t>Khanom  Subdistrict Municipality</t>
  </si>
  <si>
    <t xml:space="preserve">   เทศบาลตำบลอ่าวขนอม</t>
  </si>
  <si>
    <t>Oao Khanom  Subdistrict Municipality</t>
  </si>
  <si>
    <t xml:space="preserve">      เทศบาลตำบลท้องเนียน</t>
  </si>
  <si>
    <t>Thong Nian  Subdistrict Municipality</t>
  </si>
  <si>
    <t>อำเภอหัวไทร</t>
  </si>
  <si>
    <t>Hua Sai District</t>
  </si>
  <si>
    <t xml:space="preserve">      เทศบาลตำบลหน้าสตน</t>
  </si>
  <si>
    <t>Nasaton  Subdistrict Municipality</t>
  </si>
  <si>
    <t xml:space="preserve">      เทศบาลตำบลหัวไทร</t>
  </si>
  <si>
    <t>Hua Sai  Subdistrict Municipality</t>
  </si>
  <si>
    <t xml:space="preserve">      เทศบาลตำบลเกาะเพชร</t>
  </si>
  <si>
    <t>Kaophet  Subdistrict Municipality</t>
  </si>
  <si>
    <t>อำเภอเฉลิมพระเกียรติ</t>
  </si>
  <si>
    <t>Chalermprakiat District</t>
  </si>
  <si>
    <t xml:space="preserve">      เทศบาลตำบลดอนตรอ</t>
  </si>
  <si>
    <t>Dontro  Subdistrict Municipality</t>
  </si>
  <si>
    <t xml:space="preserve">      เทศบาลตำบลทางพูน</t>
  </si>
  <si>
    <t>Tangpoon  Subdistrict Municipality</t>
  </si>
  <si>
    <t>อำเภอนบพิตำ</t>
  </si>
  <si>
    <t>Nobphitum District</t>
  </si>
  <si>
    <t xml:space="preserve">   เทศบาลตำบลนาเหรง</t>
  </si>
  <si>
    <t>Nareng  Subdistrict Municipality</t>
  </si>
  <si>
    <t>อำเภอช้างกลาง</t>
  </si>
  <si>
    <t>Changklang District</t>
  </si>
  <si>
    <t xml:space="preserve">   เทศบาลตำบลหลักช้าง</t>
  </si>
  <si>
    <t>Luckchang  Subdistrict Municipality</t>
  </si>
  <si>
    <t xml:space="preserve">   เทศบาลตำบลสวนขัน</t>
  </si>
  <si>
    <t>Suankhan  Subdistrict Municipality</t>
  </si>
  <si>
    <t>อำเภอเมืองปากพูน</t>
  </si>
  <si>
    <t>Pak Poon District</t>
  </si>
  <si>
    <t xml:space="preserve">   เทศบาลเมืองปากพูน</t>
  </si>
  <si>
    <t>Pak Poon  Subdistrict Municipality</t>
  </si>
  <si>
    <t>อำเภอพระพรหม</t>
  </si>
  <si>
    <t>Phra Phrom  Subdistrict Municipality</t>
  </si>
  <si>
    <t xml:space="preserve">    เทศบาลตำบลนาสาร</t>
  </si>
  <si>
    <t>Nasan  Subdistrict Municipality</t>
  </si>
  <si>
    <t xml:space="preserve">     ที่มา:  สำนักงานท้องถิ่นจังหวัดนครศรีธรรมราช</t>
  </si>
  <si>
    <t xml:space="preserve"> Source:   Nakhon Si Thammarat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</si>
  <si>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</si>
  <si>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 xml:space="preserve">Actual Revenue and Expenditure of Municipality by Type, District and Municipality: Fiscal Year 2014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</si>
</sst>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u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9" xfId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3" fontId="4" fillId="0" borderId="9" xfId="1" applyFont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3" fillId="0" borderId="0" xfId="1" applyFont="1" applyBorder="1" applyAlignment="1">
      <alignment horizontal="left" vertical="center"/>
    </xf>
    <xf numFmtId="43" fontId="3" fillId="0" borderId="4" xfId="1" applyFont="1" applyBorder="1" applyAlignment="1">
      <alignment horizontal="left" vertical="center"/>
    </xf>
    <xf numFmtId="0" fontId="4" fillId="0" borderId="6" xfId="0" applyFont="1" applyBorder="1"/>
    <xf numFmtId="43" fontId="4" fillId="0" borderId="6" xfId="1" applyFont="1" applyBorder="1"/>
    <xf numFmtId="43" fontId="4" fillId="0" borderId="7" xfId="1" applyFont="1" applyBorder="1"/>
    <xf numFmtId="43" fontId="4" fillId="0" borderId="10" xfId="1" applyFont="1" applyBorder="1" applyAlignment="1">
      <alignment horizontal="right" wrapText="1"/>
    </xf>
    <xf numFmtId="0" fontId="4" fillId="0" borderId="6" xfId="0" applyFont="1" applyBorder="1" applyAlignment="1">
      <alignment horizontal="left"/>
    </xf>
    <xf numFmtId="0" fontId="5" fillId="0" borderId="0" xfId="0" applyFont="1" applyBorder="1"/>
    <xf numFmtId="43" fontId="5" fillId="0" borderId="0" xfId="1" applyFont="1" applyBorder="1"/>
    <xf numFmtId="43" fontId="4" fillId="0" borderId="0" xfId="1" applyFont="1" applyBorder="1"/>
    <xf numFmtId="0" fontId="7" fillId="0" borderId="0" xfId="0" applyFont="1" applyBorder="1"/>
    <xf numFmtId="0" fontId="8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88"/>
  <sheetViews>
    <sheetView showGridLines="0" tabSelected="1" view="pageBreakPreview" topLeftCell="A76" zoomScale="60" zoomScaleNormal="100" workbookViewId="0">
      <selection activeCell="A3" sqref="A3:D8"/>
    </sheetView>
  </sheetViews>
  <sheetFormatPr defaultRowHeight="21.75"/>
  <cols>
    <col min="1" max="1" width="1.7109375" style="67" customWidth="1"/>
    <col min="2" max="2" width="6" style="67" customWidth="1"/>
    <col min="3" max="3" width="4.5703125" style="67" customWidth="1"/>
    <col min="4" max="4" width="12" style="67" customWidth="1"/>
    <col min="5" max="5" width="15.42578125" style="67" customWidth="1"/>
    <col min="6" max="6" width="14.85546875" style="67" customWidth="1"/>
    <col min="7" max="7" width="13" style="67" customWidth="1"/>
    <col min="8" max="8" width="12.28515625" style="67" customWidth="1"/>
    <col min="9" max="9" width="13.5703125" style="67" customWidth="1"/>
    <col min="10" max="10" width="16.7109375" style="67" customWidth="1"/>
    <col min="11" max="11" width="15.28515625" style="67" customWidth="1"/>
    <col min="12" max="12" width="14.28515625" style="67" customWidth="1"/>
    <col min="13" max="13" width="14.85546875" style="67" customWidth="1"/>
    <col min="14" max="14" width="1.28515625" style="67" customWidth="1"/>
    <col min="15" max="15" width="34" style="67" customWidth="1"/>
    <col min="16" max="16" width="2.28515625" style="67" customWidth="1"/>
    <col min="17" max="17" width="7.42578125" style="67" customWidth="1"/>
    <col min="18" max="16384" width="9.140625" style="67"/>
  </cols>
  <sheetData>
    <row r="1" spans="1:16" s="1" customFormat="1">
      <c r="B1" s="2" t="s">
        <v>0</v>
      </c>
      <c r="C1" s="3">
        <v>16.2</v>
      </c>
      <c r="D1" s="2" t="s">
        <v>180</v>
      </c>
    </row>
    <row r="2" spans="1:16" s="4" customFormat="1">
      <c r="B2" s="1" t="s">
        <v>1</v>
      </c>
      <c r="C2" s="3">
        <v>16.2</v>
      </c>
      <c r="D2" s="5" t="s">
        <v>181</v>
      </c>
    </row>
    <row r="3" spans="1:16" s="16" customFormat="1" ht="21" customHeight="1">
      <c r="A3" s="6" t="s">
        <v>2</v>
      </c>
      <c r="B3" s="6"/>
      <c r="C3" s="6"/>
      <c r="D3" s="7"/>
      <c r="E3" s="8" t="s">
        <v>3</v>
      </c>
      <c r="F3" s="9"/>
      <c r="G3" s="9"/>
      <c r="H3" s="9"/>
      <c r="I3" s="9"/>
      <c r="J3" s="10"/>
      <c r="K3" s="11" t="s">
        <v>4</v>
      </c>
      <c r="L3" s="12"/>
      <c r="M3" s="12"/>
      <c r="N3" s="13" t="s">
        <v>5</v>
      </c>
      <c r="O3" s="14"/>
      <c r="P3" s="15"/>
    </row>
    <row r="4" spans="1:16" s="16" customFormat="1" ht="21" customHeight="1">
      <c r="A4" s="17"/>
      <c r="B4" s="17"/>
      <c r="C4" s="17"/>
      <c r="D4" s="18"/>
      <c r="E4" s="19" t="s">
        <v>6</v>
      </c>
      <c r="F4" s="20"/>
      <c r="G4" s="20"/>
      <c r="H4" s="20"/>
      <c r="I4" s="20"/>
      <c r="J4" s="21"/>
      <c r="K4" s="22" t="s">
        <v>7</v>
      </c>
      <c r="L4" s="23"/>
      <c r="M4" s="23"/>
      <c r="N4" s="24"/>
      <c r="O4" s="25"/>
      <c r="P4" s="15"/>
    </row>
    <row r="5" spans="1:16" s="16" customFormat="1" ht="21" customHeight="1">
      <c r="A5" s="17"/>
      <c r="B5" s="17"/>
      <c r="C5" s="17"/>
      <c r="D5" s="18"/>
      <c r="E5" s="26"/>
      <c r="F5" s="26" t="s">
        <v>8</v>
      </c>
      <c r="G5" s="26"/>
      <c r="H5" s="26"/>
      <c r="I5" s="26"/>
      <c r="J5" s="15"/>
      <c r="K5" s="27"/>
      <c r="L5" s="27" t="s">
        <v>4</v>
      </c>
      <c r="M5" s="27" t="s">
        <v>4</v>
      </c>
      <c r="N5" s="24"/>
      <c r="O5" s="25"/>
      <c r="P5" s="15"/>
    </row>
    <row r="6" spans="1:16" s="16" customFormat="1" ht="21" customHeight="1">
      <c r="A6" s="17"/>
      <c r="B6" s="17"/>
      <c r="C6" s="17"/>
      <c r="D6" s="18"/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7" t="s">
        <v>14</v>
      </c>
      <c r="K6" s="27" t="s">
        <v>15</v>
      </c>
      <c r="L6" s="27" t="s">
        <v>16</v>
      </c>
      <c r="M6" s="27" t="s">
        <v>17</v>
      </c>
      <c r="N6" s="24"/>
      <c r="O6" s="25"/>
      <c r="P6" s="15"/>
    </row>
    <row r="7" spans="1:16" s="16" customFormat="1" ht="21" customHeight="1">
      <c r="A7" s="17"/>
      <c r="B7" s="17"/>
      <c r="C7" s="17"/>
      <c r="D7" s="18"/>
      <c r="E7" s="26" t="s">
        <v>18</v>
      </c>
      <c r="F7" s="26" t="s">
        <v>19</v>
      </c>
      <c r="G7" s="26" t="s">
        <v>20</v>
      </c>
      <c r="H7" s="26" t="s">
        <v>21</v>
      </c>
      <c r="I7" s="26" t="s">
        <v>22</v>
      </c>
      <c r="J7" s="26" t="s">
        <v>23</v>
      </c>
      <c r="K7" s="27" t="s">
        <v>24</v>
      </c>
      <c r="L7" s="27" t="s">
        <v>25</v>
      </c>
      <c r="M7" s="27" t="s">
        <v>26</v>
      </c>
      <c r="N7" s="24"/>
      <c r="O7" s="25"/>
      <c r="P7" s="15"/>
    </row>
    <row r="8" spans="1:16" s="16" customFormat="1" ht="21" customHeight="1">
      <c r="A8" s="20"/>
      <c r="B8" s="20"/>
      <c r="C8" s="20"/>
      <c r="D8" s="21"/>
      <c r="E8" s="28" t="s">
        <v>27</v>
      </c>
      <c r="F8" s="29"/>
      <c r="G8" s="28"/>
      <c r="H8" s="28" t="s">
        <v>28</v>
      </c>
      <c r="I8" s="28"/>
      <c r="J8" s="28"/>
      <c r="K8" s="30" t="s">
        <v>7</v>
      </c>
      <c r="L8" s="30" t="s">
        <v>29</v>
      </c>
      <c r="M8" s="30" t="s">
        <v>30</v>
      </c>
      <c r="N8" s="31"/>
      <c r="O8" s="32"/>
      <c r="P8" s="15"/>
    </row>
    <row r="9" spans="1:16" s="16" customFormat="1" ht="3" customHeight="1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5"/>
      <c r="M9" s="35"/>
      <c r="N9" s="36"/>
      <c r="O9" s="33"/>
      <c r="P9" s="15"/>
    </row>
    <row r="10" spans="1:16" s="16" customFormat="1" ht="21" customHeight="1">
      <c r="A10" s="37" t="s">
        <v>31</v>
      </c>
      <c r="B10" s="37"/>
      <c r="C10" s="37"/>
      <c r="D10" s="38"/>
      <c r="E10" s="39">
        <f t="shared" ref="E10:M10" si="0">SUM(E11,E18,E22,E25,E30,E34,E37,E40,E42,E48,E50,E53,E57,E60,E63,E67,E71,E74,E76,E79,E81)</f>
        <v>1737633693.9699998</v>
      </c>
      <c r="F10" s="39">
        <f t="shared" si="0"/>
        <v>57604914.160000004</v>
      </c>
      <c r="G10" s="39">
        <f t="shared" si="0"/>
        <v>55790697.609999999</v>
      </c>
      <c r="H10" s="39">
        <f t="shared" si="0"/>
        <v>33599516.379999995</v>
      </c>
      <c r="I10" s="39">
        <f t="shared" si="0"/>
        <v>24434333.290000003</v>
      </c>
      <c r="J10" s="39">
        <f t="shared" si="0"/>
        <v>2157824627.98</v>
      </c>
      <c r="K10" s="39">
        <f t="shared" si="0"/>
        <v>2280359084.2400007</v>
      </c>
      <c r="L10" s="39">
        <f t="shared" si="0"/>
        <v>596686352.11999989</v>
      </c>
      <c r="M10" s="39">
        <f t="shared" si="0"/>
        <v>403521836.01999998</v>
      </c>
      <c r="N10" s="36"/>
      <c r="O10" s="33" t="s">
        <v>32</v>
      </c>
      <c r="P10" s="15"/>
    </row>
    <row r="11" spans="1:16" s="16" customFormat="1" ht="21" customHeight="1">
      <c r="A11" s="40" t="s">
        <v>33</v>
      </c>
      <c r="B11" s="40" t="s">
        <v>33</v>
      </c>
      <c r="C11" s="40" t="s">
        <v>33</v>
      </c>
      <c r="D11" s="41" t="s">
        <v>33</v>
      </c>
      <c r="E11" s="39">
        <f>SUM(E12:E17)</f>
        <v>511505934.70999998</v>
      </c>
      <c r="F11" s="39">
        <f t="shared" ref="F11:M11" si="1">SUM(F12:F17)</f>
        <v>28990359.670000002</v>
      </c>
      <c r="G11" s="39">
        <f t="shared" si="1"/>
        <v>25999819.549999997</v>
      </c>
      <c r="H11" s="39">
        <f t="shared" si="1"/>
        <v>8902709.2100000009</v>
      </c>
      <c r="I11" s="39">
        <f t="shared" si="1"/>
        <v>3604410.33</v>
      </c>
      <c r="J11" s="39">
        <f t="shared" si="1"/>
        <v>705699155.13</v>
      </c>
      <c r="K11" s="39">
        <f t="shared" si="1"/>
        <v>735396995.35000002</v>
      </c>
      <c r="L11" s="39">
        <f t="shared" si="1"/>
        <v>219582176.97</v>
      </c>
      <c r="M11" s="39">
        <f t="shared" si="1"/>
        <v>230087998.81</v>
      </c>
      <c r="N11" s="36"/>
      <c r="O11" s="42" t="s">
        <v>34</v>
      </c>
      <c r="P11" s="15"/>
    </row>
    <row r="12" spans="1:16" s="16" customFormat="1" ht="21" customHeight="1">
      <c r="A12" s="43"/>
      <c r="B12" s="43" t="s">
        <v>35</v>
      </c>
      <c r="C12" s="43"/>
      <c r="D12" s="44"/>
      <c r="E12" s="45">
        <f>1136156.82+22664790.91</f>
        <v>23800947.73</v>
      </c>
      <c r="F12" s="45">
        <v>425035.1</v>
      </c>
      <c r="G12" s="45">
        <v>427887.13</v>
      </c>
      <c r="H12" s="45">
        <v>589630</v>
      </c>
      <c r="I12" s="45">
        <v>207595</v>
      </c>
      <c r="J12" s="45">
        <f>10844637+14145594.9</f>
        <v>24990231.899999999</v>
      </c>
      <c r="K12" s="45">
        <f>10168675.33+15171737.38</f>
        <v>25340412.710000001</v>
      </c>
      <c r="L12" s="45">
        <v>6786915.0599999996</v>
      </c>
      <c r="M12" s="45">
        <v>1880225.16</v>
      </c>
      <c r="N12" s="36"/>
      <c r="O12" s="46" t="s">
        <v>36</v>
      </c>
      <c r="P12" s="15"/>
    </row>
    <row r="13" spans="1:16" s="16" customFormat="1" ht="21" customHeight="1">
      <c r="A13" s="47" t="s">
        <v>37</v>
      </c>
      <c r="B13" s="47" t="s">
        <v>37</v>
      </c>
      <c r="C13" s="47" t="s">
        <v>37</v>
      </c>
      <c r="D13" s="48" t="s">
        <v>37</v>
      </c>
      <c r="E13" s="45">
        <f>71961650.95+337702356.52</f>
        <v>409664007.46999997</v>
      </c>
      <c r="F13" s="45">
        <v>27849083.199999999</v>
      </c>
      <c r="G13" s="45">
        <v>23649829.949999999</v>
      </c>
      <c r="H13" s="45">
        <v>8313079.21</v>
      </c>
      <c r="I13" s="45">
        <v>3058761.33</v>
      </c>
      <c r="J13" s="45">
        <f>350003567+253697339.23</f>
        <v>603700906.23000002</v>
      </c>
      <c r="K13" s="45">
        <f>294702628.08+336301344.24</f>
        <v>631003972.31999993</v>
      </c>
      <c r="L13" s="45">
        <v>189175828.30000001</v>
      </c>
      <c r="M13" s="45">
        <v>205975059.62</v>
      </c>
      <c r="N13" s="36"/>
      <c r="O13" s="46" t="s">
        <v>38</v>
      </c>
      <c r="P13" s="15"/>
    </row>
    <row r="14" spans="1:16" s="16" customFormat="1" ht="21" customHeight="1">
      <c r="A14" s="47" t="s">
        <v>39</v>
      </c>
      <c r="B14" s="47" t="s">
        <v>39</v>
      </c>
      <c r="C14" s="47" t="s">
        <v>39</v>
      </c>
      <c r="D14" s="48" t="s">
        <v>39</v>
      </c>
      <c r="E14" s="45">
        <f>755953.59+18061741.43</f>
        <v>18817695.02</v>
      </c>
      <c r="F14" s="45">
        <v>74326.2</v>
      </c>
      <c r="G14" s="45">
        <v>440806.48</v>
      </c>
      <c r="H14" s="45" t="s">
        <v>40</v>
      </c>
      <c r="I14" s="45">
        <v>83375</v>
      </c>
      <c r="J14" s="45">
        <v>14125853</v>
      </c>
      <c r="K14" s="45">
        <f>13024115.64+9881189.44</f>
        <v>22905305.079999998</v>
      </c>
      <c r="L14" s="45">
        <v>1944096.78</v>
      </c>
      <c r="M14" s="45">
        <v>2982813.57</v>
      </c>
      <c r="N14" s="36"/>
      <c r="O14" s="46" t="s">
        <v>41</v>
      </c>
      <c r="P14" s="15"/>
    </row>
    <row r="15" spans="1:16" s="16" customFormat="1" ht="21" customHeight="1">
      <c r="A15" s="47" t="s">
        <v>42</v>
      </c>
      <c r="B15" s="47" t="s">
        <v>42</v>
      </c>
      <c r="C15" s="47" t="s">
        <v>42</v>
      </c>
      <c r="D15" s="48" t="s">
        <v>42</v>
      </c>
      <c r="E15" s="45">
        <f>171574.13+14261292.38</f>
        <v>14432866.510000002</v>
      </c>
      <c r="F15" s="45">
        <v>157830.07</v>
      </c>
      <c r="G15" s="45">
        <v>500355.07</v>
      </c>
      <c r="H15" s="45" t="s">
        <v>40</v>
      </c>
      <c r="I15" s="45">
        <v>89479</v>
      </c>
      <c r="J15" s="45">
        <f>9048126+5714515</f>
        <v>14762641</v>
      </c>
      <c r="K15" s="45">
        <f>10139884.63+5573094.21</f>
        <v>15712978.84</v>
      </c>
      <c r="L15" s="45">
        <v>4338703.5999999996</v>
      </c>
      <c r="M15" s="45">
        <v>3258229.68</v>
      </c>
      <c r="N15" s="36"/>
      <c r="O15" s="46" t="s">
        <v>43</v>
      </c>
      <c r="P15" s="15"/>
    </row>
    <row r="16" spans="1:16" s="16" customFormat="1" ht="21" customHeight="1">
      <c r="A16" s="43" t="s">
        <v>44</v>
      </c>
      <c r="B16" s="43"/>
      <c r="C16" s="43"/>
      <c r="D16" s="44"/>
      <c r="E16" s="45">
        <f>1115687.42+21280277.33</f>
        <v>22395964.75</v>
      </c>
      <c r="F16" s="45">
        <v>417715.1</v>
      </c>
      <c r="G16" s="45">
        <v>509725.54</v>
      </c>
      <c r="H16" s="45" t="s">
        <v>40</v>
      </c>
      <c r="I16" s="45">
        <v>134700</v>
      </c>
      <c r="J16" s="45">
        <f>11583650+16869012</f>
        <v>28452662</v>
      </c>
      <c r="K16" s="45">
        <f>9932774.38+8782008.38</f>
        <v>18714782.760000002</v>
      </c>
      <c r="L16" s="45">
        <v>11255939</v>
      </c>
      <c r="M16" s="45">
        <v>13011542.15</v>
      </c>
      <c r="N16" s="36"/>
      <c r="O16" s="46" t="s">
        <v>45</v>
      </c>
      <c r="P16" s="15"/>
    </row>
    <row r="17" spans="1:16" s="16" customFormat="1" ht="21" customHeight="1">
      <c r="A17" s="47" t="s">
        <v>46</v>
      </c>
      <c r="B17" s="47" t="s">
        <v>46</v>
      </c>
      <c r="C17" s="47" t="s">
        <v>46</v>
      </c>
      <c r="D17" s="48" t="s">
        <v>46</v>
      </c>
      <c r="E17" s="45">
        <f>320085.25+22074367.98</f>
        <v>22394453.23</v>
      </c>
      <c r="F17" s="45">
        <v>66370</v>
      </c>
      <c r="G17" s="45">
        <v>471215.38</v>
      </c>
      <c r="H17" s="45" t="s">
        <v>40</v>
      </c>
      <c r="I17" s="45">
        <v>30500</v>
      </c>
      <c r="J17" s="45">
        <f>12690261+6976600</f>
        <v>19666861</v>
      </c>
      <c r="K17" s="45">
        <f>14582483.04+7137060.6</f>
        <v>21719543.640000001</v>
      </c>
      <c r="L17" s="45">
        <v>6080694.2300000004</v>
      </c>
      <c r="M17" s="45">
        <v>2980128.63</v>
      </c>
      <c r="N17" s="36"/>
      <c r="O17" s="46" t="s">
        <v>47</v>
      </c>
      <c r="P17" s="15"/>
    </row>
    <row r="18" spans="1:16" s="50" customFormat="1" ht="21" customHeight="1">
      <c r="A18" s="40" t="s">
        <v>48</v>
      </c>
      <c r="B18" s="40" t="s">
        <v>48</v>
      </c>
      <c r="C18" s="40" t="s">
        <v>48</v>
      </c>
      <c r="D18" s="41" t="s">
        <v>48</v>
      </c>
      <c r="E18" s="39">
        <f>SUM(E19:E21)</f>
        <v>50773118.269999996</v>
      </c>
      <c r="F18" s="39">
        <f t="shared" ref="F18:M18" si="2">SUM(F19:F21)</f>
        <v>471807.5</v>
      </c>
      <c r="G18" s="39">
        <f t="shared" si="2"/>
        <v>807595.31</v>
      </c>
      <c r="H18" s="39">
        <f t="shared" si="2"/>
        <v>521421</v>
      </c>
      <c r="I18" s="39">
        <f t="shared" si="2"/>
        <v>377640.02</v>
      </c>
      <c r="J18" s="39">
        <f t="shared" si="2"/>
        <v>57488451</v>
      </c>
      <c r="K18" s="39">
        <f t="shared" si="2"/>
        <v>59449640.540000007</v>
      </c>
      <c r="L18" s="39">
        <f t="shared" si="2"/>
        <v>12742314.26</v>
      </c>
      <c r="M18" s="39">
        <f t="shared" si="2"/>
        <v>4889571.8500000006</v>
      </c>
      <c r="N18" s="4"/>
      <c r="O18" s="42" t="s">
        <v>49</v>
      </c>
      <c r="P18" s="49"/>
    </row>
    <row r="19" spans="1:16" s="16" customFormat="1" ht="21" customHeight="1">
      <c r="A19" s="47" t="s">
        <v>50</v>
      </c>
      <c r="B19" s="47" t="s">
        <v>50</v>
      </c>
      <c r="C19" s="47" t="s">
        <v>50</v>
      </c>
      <c r="D19" s="48" t="s">
        <v>50</v>
      </c>
      <c r="E19" s="45">
        <f>186246.73+15958163.74</f>
        <v>16144410.470000001</v>
      </c>
      <c r="F19" s="45">
        <v>139056.9</v>
      </c>
      <c r="G19" s="45">
        <v>370462.24</v>
      </c>
      <c r="H19" s="45" t="s">
        <v>40</v>
      </c>
      <c r="I19" s="45">
        <v>66952</v>
      </c>
      <c r="J19" s="45">
        <f>10247512+7049900</f>
        <v>17297412</v>
      </c>
      <c r="K19" s="45">
        <f>10943382.96+9315440.57</f>
        <v>20258823.530000001</v>
      </c>
      <c r="L19" s="45">
        <v>1931330</v>
      </c>
      <c r="M19" s="45">
        <v>3176575.37</v>
      </c>
      <c r="N19" s="36"/>
      <c r="O19" s="46" t="s">
        <v>51</v>
      </c>
      <c r="P19" s="15"/>
    </row>
    <row r="20" spans="1:16" s="16" customFormat="1" ht="21" customHeight="1">
      <c r="A20" s="43" t="s">
        <v>52</v>
      </c>
      <c r="B20" s="43"/>
      <c r="C20" s="43"/>
      <c r="D20" s="44"/>
      <c r="E20" s="45">
        <f>125164.4+12695158.88</f>
        <v>12820323.280000001</v>
      </c>
      <c r="F20" s="45">
        <v>111358.2</v>
      </c>
      <c r="G20" s="45">
        <v>185034.41</v>
      </c>
      <c r="H20" s="45">
        <v>521421</v>
      </c>
      <c r="I20" s="45">
        <v>103605</v>
      </c>
      <c r="J20" s="45">
        <f>4749742+6483823</f>
        <v>11233565</v>
      </c>
      <c r="K20" s="45">
        <f>6909104+3834122.48</f>
        <v>10743226.48</v>
      </c>
      <c r="L20" s="45">
        <v>3729084.26</v>
      </c>
      <c r="M20" s="45">
        <v>1699792.24</v>
      </c>
      <c r="N20" s="36"/>
      <c r="O20" s="46" t="s">
        <v>53</v>
      </c>
      <c r="P20" s="15"/>
    </row>
    <row r="21" spans="1:16" s="16" customFormat="1" ht="21" customHeight="1">
      <c r="A21" s="47" t="s">
        <v>54</v>
      </c>
      <c r="B21" s="47" t="s">
        <v>54</v>
      </c>
      <c r="C21" s="47" t="s">
        <v>54</v>
      </c>
      <c r="D21" s="48" t="s">
        <v>54</v>
      </c>
      <c r="E21" s="45">
        <f>893780.08+20914604.44</f>
        <v>21808384.52</v>
      </c>
      <c r="F21" s="45">
        <v>221392.4</v>
      </c>
      <c r="G21" s="45">
        <v>252098.66</v>
      </c>
      <c r="H21" s="45" t="s">
        <v>40</v>
      </c>
      <c r="I21" s="45">
        <v>207083.02</v>
      </c>
      <c r="J21" s="45">
        <f>15359414+13598060</f>
        <v>28957474</v>
      </c>
      <c r="K21" s="45">
        <f>15602192.22+12845398.31</f>
        <v>28447590.530000001</v>
      </c>
      <c r="L21" s="45">
        <v>7081900</v>
      </c>
      <c r="M21" s="45">
        <v>13204.24</v>
      </c>
      <c r="N21" s="36"/>
      <c r="O21" s="46" t="s">
        <v>55</v>
      </c>
      <c r="P21" s="15"/>
    </row>
    <row r="22" spans="1:16" s="50" customFormat="1" ht="21" customHeight="1">
      <c r="A22" s="40" t="s">
        <v>56</v>
      </c>
      <c r="B22" s="40" t="s">
        <v>56</v>
      </c>
      <c r="C22" s="40" t="s">
        <v>56</v>
      </c>
      <c r="D22" s="41" t="s">
        <v>56</v>
      </c>
      <c r="E22" s="39">
        <f>SUM(E23:E24)</f>
        <v>35658515.640000001</v>
      </c>
      <c r="F22" s="39">
        <f t="shared" ref="F22:M22" si="3">SUM(F23:F24)</f>
        <v>164809.4</v>
      </c>
      <c r="G22" s="39">
        <f t="shared" si="3"/>
        <v>588256.46</v>
      </c>
      <c r="H22" s="39">
        <f t="shared" si="3"/>
        <v>218864</v>
      </c>
      <c r="I22" s="39">
        <f t="shared" si="3"/>
        <v>179720</v>
      </c>
      <c r="J22" s="39">
        <f t="shared" si="3"/>
        <v>40505602</v>
      </c>
      <c r="K22" s="39">
        <f t="shared" si="3"/>
        <v>35367601.060000002</v>
      </c>
      <c r="L22" s="39">
        <f t="shared" si="3"/>
        <v>10017226</v>
      </c>
      <c r="M22" s="39">
        <f t="shared" si="3"/>
        <v>3442459.01</v>
      </c>
      <c r="N22" s="4"/>
      <c r="O22" s="46" t="s">
        <v>57</v>
      </c>
      <c r="P22" s="49"/>
    </row>
    <row r="23" spans="1:16" s="16" customFormat="1" ht="21" customHeight="1">
      <c r="A23" s="43"/>
      <c r="B23" s="43" t="s">
        <v>58</v>
      </c>
      <c r="C23" s="43"/>
      <c r="D23" s="44"/>
      <c r="E23" s="45">
        <f>212035.03+18710514.9</f>
        <v>18922549.93</v>
      </c>
      <c r="F23" s="45">
        <v>21736.400000000001</v>
      </c>
      <c r="G23" s="45">
        <v>170374.35</v>
      </c>
      <c r="H23" s="45">
        <v>218864</v>
      </c>
      <c r="I23" s="45">
        <v>103160</v>
      </c>
      <c r="J23" s="45">
        <f>13216400+15386910</f>
        <v>28603310</v>
      </c>
      <c r="K23" s="45">
        <f>9651045.84+8124929.07</f>
        <v>17775974.91</v>
      </c>
      <c r="L23" s="45">
        <v>6007752</v>
      </c>
      <c r="M23" s="45">
        <v>1410805.18</v>
      </c>
      <c r="N23" s="36"/>
      <c r="O23" s="46" t="s">
        <v>59</v>
      </c>
      <c r="P23" s="15"/>
    </row>
    <row r="24" spans="1:16" s="16" customFormat="1" ht="21" customHeight="1">
      <c r="A24" s="47" t="s">
        <v>60</v>
      </c>
      <c r="B24" s="47" t="s">
        <v>60</v>
      </c>
      <c r="C24" s="47" t="s">
        <v>60</v>
      </c>
      <c r="D24" s="48" t="s">
        <v>60</v>
      </c>
      <c r="E24" s="45">
        <f>498551.83+16237413.88</f>
        <v>16735965.710000001</v>
      </c>
      <c r="F24" s="45">
        <v>143073</v>
      </c>
      <c r="G24" s="45">
        <v>417882.11</v>
      </c>
      <c r="H24" s="45" t="s">
        <v>40</v>
      </c>
      <c r="I24" s="45">
        <v>76560</v>
      </c>
      <c r="J24" s="45">
        <f>9811192+2091100</f>
        <v>11902292</v>
      </c>
      <c r="K24" s="45">
        <f>11056325+6535301.15</f>
        <v>17591626.149999999</v>
      </c>
      <c r="L24" s="45">
        <v>4009474</v>
      </c>
      <c r="M24" s="45">
        <v>2031653.83</v>
      </c>
      <c r="N24" s="36"/>
      <c r="O24" s="46" t="s">
        <v>61</v>
      </c>
      <c r="P24" s="15"/>
    </row>
    <row r="25" spans="1:16" s="50" customFormat="1" ht="21" customHeight="1">
      <c r="A25" s="40" t="s">
        <v>62</v>
      </c>
      <c r="B25" s="40" t="s">
        <v>62</v>
      </c>
      <c r="C25" s="40" t="s">
        <v>62</v>
      </c>
      <c r="D25" s="41" t="s">
        <v>62</v>
      </c>
      <c r="E25" s="39">
        <f>SUM(E26:E29)</f>
        <v>74747944.909999996</v>
      </c>
      <c r="F25" s="39">
        <f t="shared" ref="F25:M25" si="4">SUM(F26:F29)</f>
        <v>2580948.9500000002</v>
      </c>
      <c r="G25" s="39">
        <f t="shared" si="4"/>
        <v>1489012</v>
      </c>
      <c r="H25" s="39">
        <f t="shared" si="4"/>
        <v>329012</v>
      </c>
      <c r="I25" s="39">
        <f t="shared" si="4"/>
        <v>532797.48</v>
      </c>
      <c r="J25" s="39">
        <f t="shared" si="4"/>
        <v>61950757.82</v>
      </c>
      <c r="K25" s="39">
        <f t="shared" si="4"/>
        <v>78202345.460000008</v>
      </c>
      <c r="L25" s="39">
        <f t="shared" si="4"/>
        <v>21070057.060000002</v>
      </c>
      <c r="M25" s="39">
        <f t="shared" si="4"/>
        <v>9353558.1600000001</v>
      </c>
      <c r="N25" s="4"/>
      <c r="O25" s="42" t="s">
        <v>63</v>
      </c>
      <c r="P25" s="49"/>
    </row>
    <row r="26" spans="1:16" s="16" customFormat="1" ht="21" customHeight="1">
      <c r="A26" s="47" t="s">
        <v>64</v>
      </c>
      <c r="B26" s="47" t="s">
        <v>64</v>
      </c>
      <c r="C26" s="47" t="s">
        <v>64</v>
      </c>
      <c r="D26" s="48" t="s">
        <v>64</v>
      </c>
      <c r="E26" s="45">
        <f>2419433.2+29703305.83</f>
        <v>32122739.029999997</v>
      </c>
      <c r="F26" s="45">
        <v>1290889</v>
      </c>
      <c r="G26" s="45">
        <v>738053.98</v>
      </c>
      <c r="H26" s="45" t="s">
        <v>40</v>
      </c>
      <c r="I26" s="45">
        <v>250230</v>
      </c>
      <c r="J26" s="45">
        <f>11938674+8312390</f>
        <v>20251064</v>
      </c>
      <c r="K26" s="45">
        <f>16746421+11736529.54</f>
        <v>28482950.539999999</v>
      </c>
      <c r="L26" s="45">
        <v>10716365</v>
      </c>
      <c r="M26" s="45">
        <v>3949702.71</v>
      </c>
      <c r="N26" s="36"/>
      <c r="O26" s="46" t="s">
        <v>65</v>
      </c>
      <c r="P26" s="15"/>
    </row>
    <row r="27" spans="1:16" s="16" customFormat="1" ht="21" customHeight="1">
      <c r="A27" s="47" t="s">
        <v>66</v>
      </c>
      <c r="B27" s="47" t="s">
        <v>66</v>
      </c>
      <c r="C27" s="47" t="s">
        <v>66</v>
      </c>
      <c r="D27" s="48" t="s">
        <v>66</v>
      </c>
      <c r="E27" s="45">
        <f>688912.14+15423545.93</f>
        <v>16112458.07</v>
      </c>
      <c r="F27" s="45">
        <v>593448</v>
      </c>
      <c r="G27" s="45">
        <v>321348.05</v>
      </c>
      <c r="H27" s="45" t="s">
        <v>40</v>
      </c>
      <c r="I27" s="45">
        <v>85733</v>
      </c>
      <c r="J27" s="45">
        <f>8694462+4062000</f>
        <v>12756462</v>
      </c>
      <c r="K27" s="45">
        <f>11624772+7960957.71</f>
        <v>19585729.710000001</v>
      </c>
      <c r="L27" s="45">
        <v>4221616.6399999997</v>
      </c>
      <c r="M27" s="45">
        <v>3921944.23</v>
      </c>
      <c r="N27" s="36"/>
      <c r="O27" s="46" t="s">
        <v>67</v>
      </c>
      <c r="P27" s="15"/>
    </row>
    <row r="28" spans="1:16" s="16" customFormat="1" ht="21" customHeight="1">
      <c r="A28" s="43"/>
      <c r="B28" s="43" t="s">
        <v>68</v>
      </c>
      <c r="C28" s="43"/>
      <c r="D28" s="44"/>
      <c r="E28" s="45">
        <f>458529.46+11264150.84</f>
        <v>11722680.300000001</v>
      </c>
      <c r="F28" s="45">
        <v>135965.54999999999</v>
      </c>
      <c r="G28" s="45">
        <v>165695.51999999999</v>
      </c>
      <c r="H28" s="45">
        <v>329012</v>
      </c>
      <c r="I28" s="45">
        <v>77214.48</v>
      </c>
      <c r="J28" s="45">
        <f>7252773.18+7401676</f>
        <v>14654449.18</v>
      </c>
      <c r="K28" s="45">
        <f>6950463+5475057.06</f>
        <v>12425520.059999999</v>
      </c>
      <c r="L28" s="45">
        <v>1729150</v>
      </c>
      <c r="M28" s="45">
        <v>622428.22</v>
      </c>
      <c r="N28" s="36"/>
      <c r="O28" s="46" t="s">
        <v>69</v>
      </c>
      <c r="P28" s="15"/>
    </row>
    <row r="29" spans="1:16" s="16" customFormat="1" ht="21" customHeight="1">
      <c r="A29" s="47" t="s">
        <v>70</v>
      </c>
      <c r="B29" s="47"/>
      <c r="C29" s="47"/>
      <c r="D29" s="48"/>
      <c r="E29" s="45">
        <f>310582.1+14479485.41</f>
        <v>14790067.51</v>
      </c>
      <c r="F29" s="45">
        <v>560646.40000000002</v>
      </c>
      <c r="G29" s="45">
        <v>263914.45</v>
      </c>
      <c r="H29" s="45" t="s">
        <v>40</v>
      </c>
      <c r="I29" s="45">
        <v>119620</v>
      </c>
      <c r="J29" s="45">
        <f>9863554+4425228.64</f>
        <v>14288782.640000001</v>
      </c>
      <c r="K29" s="45">
        <f>11260975+6447170.15</f>
        <v>17708145.149999999</v>
      </c>
      <c r="L29" s="45">
        <v>4402925.42</v>
      </c>
      <c r="M29" s="45">
        <v>859483</v>
      </c>
      <c r="N29" s="36"/>
      <c r="O29" s="46" t="s">
        <v>71</v>
      </c>
      <c r="P29" s="15"/>
    </row>
    <row r="30" spans="1:16" s="50" customFormat="1" ht="21" customHeight="1">
      <c r="A30" s="51" t="s">
        <v>72</v>
      </c>
      <c r="B30" s="51"/>
      <c r="C30" s="51"/>
      <c r="D30" s="52"/>
      <c r="E30" s="39">
        <f>SUM(E31:E33)</f>
        <v>45437040.269999996</v>
      </c>
      <c r="F30" s="39">
        <f t="shared" ref="F30:M30" si="5">SUM(F31:F33)</f>
        <v>682437.6</v>
      </c>
      <c r="G30" s="39">
        <f t="shared" si="5"/>
        <v>604048.29</v>
      </c>
      <c r="H30" s="39">
        <f t="shared" si="5"/>
        <v>346290</v>
      </c>
      <c r="I30" s="39">
        <f t="shared" si="5"/>
        <v>136723.06</v>
      </c>
      <c r="J30" s="39">
        <f t="shared" si="5"/>
        <v>67407739</v>
      </c>
      <c r="K30" s="39">
        <f t="shared" si="5"/>
        <v>53532866.789999999</v>
      </c>
      <c r="L30" s="39">
        <f t="shared" si="5"/>
        <v>10957361.34</v>
      </c>
      <c r="M30" s="39">
        <f t="shared" si="5"/>
        <v>3366755.32</v>
      </c>
      <c r="N30" s="4"/>
      <c r="O30" s="42" t="s">
        <v>73</v>
      </c>
      <c r="P30" s="49"/>
    </row>
    <row r="31" spans="1:16" s="16" customFormat="1" ht="21" customHeight="1">
      <c r="A31" s="43"/>
      <c r="B31" s="47" t="s">
        <v>74</v>
      </c>
      <c r="C31" s="47"/>
      <c r="D31" s="48"/>
      <c r="E31" s="45">
        <f>240398.57+13309318.35</f>
        <v>13549716.92</v>
      </c>
      <c r="F31" s="45">
        <v>150630</v>
      </c>
      <c r="G31" s="45">
        <v>81790.33</v>
      </c>
      <c r="H31" s="45" t="s">
        <v>40</v>
      </c>
      <c r="I31" s="45">
        <v>8374</v>
      </c>
      <c r="J31" s="45">
        <f>9437236+12789424</f>
        <v>22226660</v>
      </c>
      <c r="K31" s="45">
        <f>7753581+7400341.78</f>
        <v>15153922.780000001</v>
      </c>
      <c r="L31" s="45">
        <v>2055400</v>
      </c>
      <c r="M31" s="45">
        <v>604473</v>
      </c>
      <c r="N31" s="36" t="s">
        <v>75</v>
      </c>
      <c r="O31" s="46"/>
      <c r="P31" s="15"/>
    </row>
    <row r="32" spans="1:16" s="16" customFormat="1" ht="21" customHeight="1">
      <c r="A32" s="47" t="s">
        <v>76</v>
      </c>
      <c r="B32" s="47" t="s">
        <v>64</v>
      </c>
      <c r="C32" s="47" t="s">
        <v>64</v>
      </c>
      <c r="D32" s="48" t="s">
        <v>64</v>
      </c>
      <c r="E32" s="45">
        <f>404420.55+15201699.6</f>
        <v>15606120.15</v>
      </c>
      <c r="F32" s="45">
        <v>237951</v>
      </c>
      <c r="G32" s="45">
        <v>191016.28</v>
      </c>
      <c r="H32" s="45">
        <v>37535</v>
      </c>
      <c r="I32" s="45">
        <v>60360</v>
      </c>
      <c r="J32" s="45">
        <f>10233484+4682810</f>
        <v>14916294</v>
      </c>
      <c r="K32" s="45">
        <f>11012186+7625740.25</f>
        <v>18637926.25</v>
      </c>
      <c r="L32" s="45">
        <v>1074635.8999999999</v>
      </c>
      <c r="M32" s="45">
        <v>1855542.05</v>
      </c>
      <c r="N32" s="36" t="s">
        <v>77</v>
      </c>
      <c r="O32" s="46"/>
      <c r="P32" s="15"/>
    </row>
    <row r="33" spans="1:16" s="16" customFormat="1" ht="21" customHeight="1">
      <c r="A33" s="47" t="s">
        <v>78</v>
      </c>
      <c r="B33" s="47" t="s">
        <v>66</v>
      </c>
      <c r="C33" s="47" t="s">
        <v>66</v>
      </c>
      <c r="D33" s="48" t="s">
        <v>66</v>
      </c>
      <c r="E33" s="45">
        <f>183582.6+16097620.6</f>
        <v>16281203.199999999</v>
      </c>
      <c r="F33" s="45">
        <v>293856.59999999998</v>
      </c>
      <c r="G33" s="45">
        <v>331241.68</v>
      </c>
      <c r="H33" s="45">
        <v>308755</v>
      </c>
      <c r="I33" s="45">
        <v>67989.06</v>
      </c>
      <c r="J33" s="45">
        <f>18230165+12034620</f>
        <v>30264785</v>
      </c>
      <c r="K33" s="45">
        <f>9144429.83+10596587.93</f>
        <v>19741017.759999998</v>
      </c>
      <c r="L33" s="45">
        <v>7827325.4400000004</v>
      </c>
      <c r="M33" s="45">
        <v>906740.27</v>
      </c>
      <c r="N33" s="36" t="s">
        <v>79</v>
      </c>
      <c r="O33" s="46"/>
      <c r="P33" s="15"/>
    </row>
    <row r="34" spans="1:16" s="50" customFormat="1" ht="21" customHeight="1">
      <c r="A34" s="51" t="s">
        <v>80</v>
      </c>
      <c r="B34" s="51"/>
      <c r="C34" s="51"/>
      <c r="D34" s="52"/>
      <c r="E34" s="39">
        <f>SUM(E35:E36)</f>
        <v>28948095.920000002</v>
      </c>
      <c r="F34" s="39">
        <f t="shared" ref="F34:M34" si="6">SUM(F35:F36)</f>
        <v>304079.48</v>
      </c>
      <c r="G34" s="39">
        <f t="shared" si="6"/>
        <v>675217.81</v>
      </c>
      <c r="H34" s="39">
        <f t="shared" si="6"/>
        <v>310705</v>
      </c>
      <c r="I34" s="39">
        <f t="shared" si="6"/>
        <v>55805</v>
      </c>
      <c r="J34" s="39">
        <f t="shared" si="6"/>
        <v>33358802</v>
      </c>
      <c r="K34" s="39">
        <f t="shared" si="6"/>
        <v>31937760.539999999</v>
      </c>
      <c r="L34" s="39">
        <f t="shared" si="6"/>
        <v>4768738</v>
      </c>
      <c r="M34" s="39">
        <f t="shared" si="6"/>
        <v>5669924.3599999994</v>
      </c>
      <c r="N34" s="4"/>
      <c r="O34" s="42" t="s">
        <v>81</v>
      </c>
      <c r="P34" s="49"/>
    </row>
    <row r="35" spans="1:16" s="16" customFormat="1" ht="21" customHeight="1">
      <c r="A35" s="43"/>
      <c r="B35" s="53" t="s">
        <v>82</v>
      </c>
      <c r="C35" s="53"/>
      <c r="D35" s="44"/>
      <c r="E35" s="45">
        <f>123238.97+14792141.91</f>
        <v>14915380.880000001</v>
      </c>
      <c r="F35" s="45">
        <v>89850.48</v>
      </c>
      <c r="G35" s="45">
        <v>180969.06</v>
      </c>
      <c r="H35" s="45">
        <v>310705</v>
      </c>
      <c r="I35" s="45">
        <v>21080</v>
      </c>
      <c r="J35" s="45">
        <f>9090697+11496460</f>
        <v>20587157</v>
      </c>
      <c r="K35" s="45">
        <f>8228289.84+7783261.74</f>
        <v>16011551.58</v>
      </c>
      <c r="L35" s="45">
        <v>4124901</v>
      </c>
      <c r="M35" s="45">
        <v>3024693</v>
      </c>
      <c r="N35" s="36"/>
      <c r="O35" s="46" t="s">
        <v>83</v>
      </c>
      <c r="P35" s="15"/>
    </row>
    <row r="36" spans="1:16" s="16" customFormat="1" ht="21" customHeight="1">
      <c r="A36" s="47" t="s">
        <v>84</v>
      </c>
      <c r="B36" s="47" t="s">
        <v>64</v>
      </c>
      <c r="C36" s="47" t="s">
        <v>64</v>
      </c>
      <c r="D36" s="48" t="s">
        <v>64</v>
      </c>
      <c r="E36" s="45">
        <f>388000.47+13644714.57</f>
        <v>14032715.040000001</v>
      </c>
      <c r="F36" s="45">
        <v>214229</v>
      </c>
      <c r="G36" s="45">
        <v>494248.75</v>
      </c>
      <c r="H36" s="45" t="s">
        <v>40</v>
      </c>
      <c r="I36" s="45">
        <v>34725</v>
      </c>
      <c r="J36" s="45">
        <f>7212400+5559245</f>
        <v>12771645</v>
      </c>
      <c r="K36" s="45">
        <f>9211265+6714943.96</f>
        <v>15926208.960000001</v>
      </c>
      <c r="L36" s="45">
        <v>643837</v>
      </c>
      <c r="M36" s="45">
        <v>2645231.36</v>
      </c>
      <c r="N36" s="36"/>
      <c r="O36" s="46" t="s">
        <v>85</v>
      </c>
      <c r="P36" s="15"/>
    </row>
    <row r="37" spans="1:16" s="50" customFormat="1" ht="21" customHeight="1">
      <c r="A37" s="51" t="s">
        <v>86</v>
      </c>
      <c r="B37" s="51"/>
      <c r="C37" s="51"/>
      <c r="D37" s="52"/>
      <c r="E37" s="39">
        <f>SUM(E38:E39)</f>
        <v>33647539.379999995</v>
      </c>
      <c r="F37" s="39">
        <f t="shared" ref="F37:M37" si="7">SUM(F38:F39)</f>
        <v>954313.3</v>
      </c>
      <c r="G37" s="39">
        <f t="shared" si="7"/>
        <v>778473.73</v>
      </c>
      <c r="H37" s="39" t="s">
        <v>40</v>
      </c>
      <c r="I37" s="39">
        <f t="shared" si="7"/>
        <v>293993.5</v>
      </c>
      <c r="J37" s="39">
        <f t="shared" si="7"/>
        <v>39359311</v>
      </c>
      <c r="K37" s="39">
        <f t="shared" si="7"/>
        <v>40709369.200000003</v>
      </c>
      <c r="L37" s="39">
        <f t="shared" si="7"/>
        <v>7038362.0700000003</v>
      </c>
      <c r="M37" s="39">
        <f t="shared" si="7"/>
        <v>7155697.2199999997</v>
      </c>
      <c r="N37" s="4"/>
      <c r="O37" s="42" t="s">
        <v>87</v>
      </c>
      <c r="P37" s="49"/>
    </row>
    <row r="38" spans="1:16" s="16" customFormat="1" ht="21" customHeight="1">
      <c r="A38" s="43"/>
      <c r="B38" s="43" t="s">
        <v>88</v>
      </c>
      <c r="C38" s="43"/>
      <c r="D38" s="44"/>
      <c r="E38" s="45">
        <f>256823.9+14071975.15</f>
        <v>14328799.050000001</v>
      </c>
      <c r="F38" s="45">
        <v>169696</v>
      </c>
      <c r="G38" s="45">
        <v>275086</v>
      </c>
      <c r="H38" s="45" t="s">
        <v>40</v>
      </c>
      <c r="I38" s="45">
        <v>131400</v>
      </c>
      <c r="J38" s="45">
        <f>7262301+9115295</f>
        <v>16377596</v>
      </c>
      <c r="K38" s="45">
        <f>7393727.71+5828153.5</f>
        <v>13221881.210000001</v>
      </c>
      <c r="L38" s="45">
        <v>3989536.07</v>
      </c>
      <c r="M38" s="45">
        <v>744406.22</v>
      </c>
      <c r="N38" s="36"/>
      <c r="O38" s="46" t="s">
        <v>89</v>
      </c>
      <c r="P38" s="15"/>
    </row>
    <row r="39" spans="1:16" s="16" customFormat="1" ht="21" customHeight="1">
      <c r="A39" s="47" t="s">
        <v>90</v>
      </c>
      <c r="B39" s="47" t="s">
        <v>64</v>
      </c>
      <c r="C39" s="47" t="s">
        <v>64</v>
      </c>
      <c r="D39" s="48" t="s">
        <v>64</v>
      </c>
      <c r="E39" s="45">
        <f>1746572.81+17572167.52</f>
        <v>19318740.329999998</v>
      </c>
      <c r="F39" s="45">
        <v>784617.3</v>
      </c>
      <c r="G39" s="45">
        <v>503387.73</v>
      </c>
      <c r="H39" s="45" t="s">
        <v>40</v>
      </c>
      <c r="I39" s="45">
        <v>162593.5</v>
      </c>
      <c r="J39" s="45">
        <f>17257618+5724097</f>
        <v>22981715</v>
      </c>
      <c r="K39" s="45">
        <f>16160250.55+11327237.44</f>
        <v>27487487.990000002</v>
      </c>
      <c r="L39" s="45">
        <v>3048826</v>
      </c>
      <c r="M39" s="45">
        <v>6411291</v>
      </c>
      <c r="N39" s="36"/>
      <c r="O39" s="46" t="s">
        <v>91</v>
      </c>
      <c r="P39" s="15"/>
    </row>
    <row r="40" spans="1:16" s="50" customFormat="1" ht="21" customHeight="1">
      <c r="A40" s="51" t="s">
        <v>92</v>
      </c>
      <c r="B40" s="51"/>
      <c r="C40" s="51"/>
      <c r="D40" s="52"/>
      <c r="E40" s="39">
        <f>SUM(E41)</f>
        <v>18760975.689999998</v>
      </c>
      <c r="F40" s="39">
        <f t="shared" ref="F40:M40" si="8">SUM(F41)</f>
        <v>1408817.5</v>
      </c>
      <c r="G40" s="39">
        <f t="shared" si="8"/>
        <v>599044.49</v>
      </c>
      <c r="H40" s="39" t="s">
        <v>40</v>
      </c>
      <c r="I40" s="39">
        <f t="shared" si="8"/>
        <v>91996.52</v>
      </c>
      <c r="J40" s="39">
        <f t="shared" si="8"/>
        <v>23763201.5</v>
      </c>
      <c r="K40" s="39">
        <f t="shared" si="8"/>
        <v>23764035.18</v>
      </c>
      <c r="L40" s="39">
        <f t="shared" si="8"/>
        <v>1655923.02</v>
      </c>
      <c r="M40" s="39">
        <f t="shared" si="8"/>
        <v>6555204.5300000003</v>
      </c>
      <c r="N40" s="4"/>
      <c r="O40" s="42" t="s">
        <v>93</v>
      </c>
      <c r="P40" s="49"/>
    </row>
    <row r="41" spans="1:16" s="16" customFormat="1" ht="21" customHeight="1">
      <c r="A41" s="47" t="s">
        <v>94</v>
      </c>
      <c r="B41" s="47" t="s">
        <v>64</v>
      </c>
      <c r="C41" s="47" t="s">
        <v>64</v>
      </c>
      <c r="D41" s="48" t="s">
        <v>64</v>
      </c>
      <c r="E41" s="45">
        <f>2146612.01+16614363.68</f>
        <v>18760975.689999998</v>
      </c>
      <c r="F41" s="45">
        <v>1408817.5</v>
      </c>
      <c r="G41" s="45">
        <v>599044.49</v>
      </c>
      <c r="H41" s="45" t="s">
        <v>40</v>
      </c>
      <c r="I41" s="45">
        <v>91996.52</v>
      </c>
      <c r="J41" s="45">
        <f>19816350+3946851.5</f>
        <v>23763201.5</v>
      </c>
      <c r="K41" s="45">
        <f>13965474.82+9798560.36</f>
        <v>23764035.18</v>
      </c>
      <c r="L41" s="45">
        <v>1655923.02</v>
      </c>
      <c r="M41" s="45">
        <v>6555204.5300000003</v>
      </c>
      <c r="N41" s="36"/>
      <c r="O41" s="46" t="s">
        <v>95</v>
      </c>
      <c r="P41" s="15"/>
    </row>
    <row r="42" spans="1:16" s="50" customFormat="1" ht="21" customHeight="1">
      <c r="A42" s="51" t="s">
        <v>96</v>
      </c>
      <c r="B42" s="51"/>
      <c r="C42" s="51"/>
      <c r="D42" s="52"/>
      <c r="E42" s="39">
        <f>SUM(E43:E47)</f>
        <v>336393619.16999996</v>
      </c>
      <c r="F42" s="39">
        <f t="shared" ref="F42:M42" si="9">SUM(F43:F47)</f>
        <v>9640929.1099999994</v>
      </c>
      <c r="G42" s="39">
        <f t="shared" si="9"/>
        <v>6266860.75</v>
      </c>
      <c r="H42" s="39">
        <f t="shared" si="9"/>
        <v>9170861.5399999991</v>
      </c>
      <c r="I42" s="39">
        <f t="shared" si="9"/>
        <v>12195258.85</v>
      </c>
      <c r="J42" s="39">
        <f t="shared" si="9"/>
        <v>374153117.44</v>
      </c>
      <c r="K42" s="39">
        <f t="shared" si="9"/>
        <v>413251503.97000003</v>
      </c>
      <c r="L42" s="39">
        <f t="shared" si="9"/>
        <v>128190921.92999999</v>
      </c>
      <c r="M42" s="39">
        <f t="shared" si="9"/>
        <v>52256604.629999995</v>
      </c>
      <c r="N42" s="4"/>
      <c r="O42" s="42" t="s">
        <v>97</v>
      </c>
      <c r="P42" s="49"/>
    </row>
    <row r="43" spans="1:16" s="16" customFormat="1" ht="21" customHeight="1">
      <c r="A43" s="47" t="s">
        <v>98</v>
      </c>
      <c r="B43" s="47" t="s">
        <v>64</v>
      </c>
      <c r="C43" s="47" t="s">
        <v>64</v>
      </c>
      <c r="D43" s="48" t="s">
        <v>64</v>
      </c>
      <c r="E43" s="45">
        <f>14072764.64+187195436.43</f>
        <v>201268201.06999999</v>
      </c>
      <c r="F43" s="45">
        <v>5525871.5099999998</v>
      </c>
      <c r="G43" s="45">
        <v>4884847.5</v>
      </c>
      <c r="H43" s="45">
        <v>7390094.04</v>
      </c>
      <c r="I43" s="45">
        <v>8714437.9100000001</v>
      </c>
      <c r="J43" s="45">
        <f>163919146+77738482.44</f>
        <v>241657628.44</v>
      </c>
      <c r="K43" s="45">
        <f>185528377.6+116007494.8</f>
        <v>301535872.39999998</v>
      </c>
      <c r="L43" s="45">
        <v>50769146.93</v>
      </c>
      <c r="M43" s="45">
        <v>29591205.710000001</v>
      </c>
      <c r="N43" s="36"/>
      <c r="O43" s="46" t="s">
        <v>99</v>
      </c>
      <c r="P43" s="15"/>
    </row>
    <row r="44" spans="1:16" s="16" customFormat="1" ht="21" customHeight="1">
      <c r="A44" s="43"/>
      <c r="B44" s="43" t="s">
        <v>100</v>
      </c>
      <c r="C44" s="43"/>
      <c r="D44" s="44"/>
      <c r="E44" s="45">
        <f>212365.3+23968126.29</f>
        <v>24180491.59</v>
      </c>
      <c r="F44" s="45">
        <v>68091.399999999994</v>
      </c>
      <c r="G44" s="45">
        <v>291453.51</v>
      </c>
      <c r="H44" s="45">
        <v>917960</v>
      </c>
      <c r="I44" s="45">
        <v>209874.2</v>
      </c>
      <c r="J44" s="45">
        <f>20085152+9819977</f>
        <v>29905129</v>
      </c>
      <c r="K44" s="45">
        <f>8748313+11869311.3</f>
        <v>20617624.300000001</v>
      </c>
      <c r="L44" s="45">
        <v>15358840</v>
      </c>
      <c r="M44" s="45">
        <v>1853527</v>
      </c>
      <c r="N44" s="36"/>
      <c r="O44" s="46" t="s">
        <v>101</v>
      </c>
      <c r="P44" s="15"/>
    </row>
    <row r="45" spans="1:16" s="16" customFormat="1" ht="21" customHeight="1">
      <c r="A45" s="43" t="s">
        <v>102</v>
      </c>
      <c r="B45" s="54"/>
      <c r="C45" s="54"/>
      <c r="D45" s="55"/>
      <c r="E45" s="45">
        <f>6362633.06+31677707.52</f>
        <v>38040340.579999998</v>
      </c>
      <c r="F45" s="45">
        <v>1890327</v>
      </c>
      <c r="G45" s="45">
        <v>561847.63</v>
      </c>
      <c r="H45" s="45" t="s">
        <v>40</v>
      </c>
      <c r="I45" s="45">
        <v>2534671.7400000002</v>
      </c>
      <c r="J45" s="45">
        <f>12303065+13488454</f>
        <v>25791519</v>
      </c>
      <c r="K45" s="45">
        <f>18631818.08+15066283.7</f>
        <v>33698101.780000001</v>
      </c>
      <c r="L45" s="45">
        <v>13627695.199999999</v>
      </c>
      <c r="M45" s="45">
        <v>3375965.3</v>
      </c>
      <c r="N45" s="36"/>
      <c r="O45" s="46" t="s">
        <v>103</v>
      </c>
      <c r="P45" s="15"/>
    </row>
    <row r="46" spans="1:16" s="16" customFormat="1" ht="21" customHeight="1">
      <c r="A46" s="43"/>
      <c r="B46" s="43" t="s">
        <v>104</v>
      </c>
      <c r="C46" s="54"/>
      <c r="D46" s="55"/>
      <c r="E46" s="45">
        <f>3766216.01+27585543.95</f>
        <v>31351759.960000001</v>
      </c>
      <c r="F46" s="45">
        <v>1277384</v>
      </c>
      <c r="G46" s="45">
        <v>528712.11</v>
      </c>
      <c r="H46" s="45" t="s">
        <v>40</v>
      </c>
      <c r="I46" s="45">
        <v>299428</v>
      </c>
      <c r="J46" s="45">
        <f>12390079+12386492</f>
        <v>24776571</v>
      </c>
      <c r="K46" s="45">
        <f>15174799.07+12195203.19</f>
        <v>27370002.259999998</v>
      </c>
      <c r="L46" s="45">
        <v>10768305.800000001</v>
      </c>
      <c r="M46" s="45">
        <v>2219361.25</v>
      </c>
      <c r="N46" s="36"/>
      <c r="O46" s="46" t="s">
        <v>105</v>
      </c>
      <c r="P46" s="15"/>
    </row>
    <row r="47" spans="1:16" s="16" customFormat="1" ht="21" customHeight="1">
      <c r="A47" s="47" t="s">
        <v>106</v>
      </c>
      <c r="B47" s="47" t="s">
        <v>64</v>
      </c>
      <c r="C47" s="47" t="s">
        <v>64</v>
      </c>
      <c r="D47" s="48" t="s">
        <v>64</v>
      </c>
      <c r="E47" s="45">
        <f>7354929.93+34197896.04</f>
        <v>41552825.969999999</v>
      </c>
      <c r="F47" s="45">
        <v>879255.2</v>
      </c>
      <c r="G47" s="45" t="s">
        <v>40</v>
      </c>
      <c r="H47" s="45">
        <v>862807.5</v>
      </c>
      <c r="I47" s="45">
        <v>436847</v>
      </c>
      <c r="J47" s="45">
        <f>24988893+27033377</f>
        <v>52022270</v>
      </c>
      <c r="K47" s="45">
        <f>17548004+12481899.23</f>
        <v>30029903.23</v>
      </c>
      <c r="L47" s="45">
        <v>37666934</v>
      </c>
      <c r="M47" s="45">
        <v>15216545.369999999</v>
      </c>
      <c r="N47" s="36"/>
      <c r="O47" s="46" t="s">
        <v>107</v>
      </c>
      <c r="P47" s="15"/>
    </row>
    <row r="48" spans="1:16" s="50" customFormat="1" ht="21" customHeight="1">
      <c r="A48" s="51" t="s">
        <v>108</v>
      </c>
      <c r="B48" s="51"/>
      <c r="C48" s="51"/>
      <c r="D48" s="52"/>
      <c r="E48" s="39">
        <f>SUM(E49)</f>
        <v>16627580.27</v>
      </c>
      <c r="F48" s="39">
        <f t="shared" ref="F48:M48" si="10">SUM(F49)</f>
        <v>591459.19999999995</v>
      </c>
      <c r="G48" s="39">
        <f t="shared" si="10"/>
        <v>951600.25</v>
      </c>
      <c r="H48" s="39" t="s">
        <v>40</v>
      </c>
      <c r="I48" s="39">
        <f t="shared" si="10"/>
        <v>37215</v>
      </c>
      <c r="J48" s="39">
        <f t="shared" si="10"/>
        <v>13404033</v>
      </c>
      <c r="K48" s="39">
        <f t="shared" si="10"/>
        <v>17487866.039999999</v>
      </c>
      <c r="L48" s="39">
        <f t="shared" si="10"/>
        <v>1416079</v>
      </c>
      <c r="M48" s="39">
        <f t="shared" si="10"/>
        <v>2638494.5</v>
      </c>
      <c r="N48" s="4"/>
      <c r="O48" s="42" t="s">
        <v>109</v>
      </c>
      <c r="P48" s="49"/>
    </row>
    <row r="49" spans="1:16" s="16" customFormat="1" ht="21" customHeight="1">
      <c r="A49" s="47" t="s">
        <v>110</v>
      </c>
      <c r="B49" s="47" t="s">
        <v>64</v>
      </c>
      <c r="C49" s="47" t="s">
        <v>64</v>
      </c>
      <c r="D49" s="48" t="s">
        <v>64</v>
      </c>
      <c r="E49" s="45">
        <f>863760.07+15763820.2</f>
        <v>16627580.27</v>
      </c>
      <c r="F49" s="45">
        <v>591459.19999999995</v>
      </c>
      <c r="G49" s="45">
        <v>951600.25</v>
      </c>
      <c r="H49" s="45" t="s">
        <v>40</v>
      </c>
      <c r="I49" s="45">
        <v>37215</v>
      </c>
      <c r="J49" s="45">
        <f>9565683+3838350</f>
        <v>13404033</v>
      </c>
      <c r="K49" s="45">
        <f>11236214.4+6251651.64</f>
        <v>17487866.039999999</v>
      </c>
      <c r="L49" s="45">
        <v>1416079</v>
      </c>
      <c r="M49" s="45">
        <v>2638494.5</v>
      </c>
      <c r="N49" s="36"/>
      <c r="O49" s="46" t="s">
        <v>111</v>
      </c>
      <c r="P49" s="15"/>
    </row>
    <row r="50" spans="1:16" s="50" customFormat="1" ht="21" customHeight="1">
      <c r="A50" s="51" t="s">
        <v>112</v>
      </c>
      <c r="B50" s="51"/>
      <c r="C50" s="51"/>
      <c r="D50" s="52"/>
      <c r="E50" s="39">
        <f>SUM(E51:E52)</f>
        <v>38747583</v>
      </c>
      <c r="F50" s="39">
        <f t="shared" ref="F50:M50" si="11">SUM(F51:F52)</f>
        <v>1439348.7</v>
      </c>
      <c r="G50" s="39">
        <f t="shared" si="11"/>
        <v>1211418.1399999999</v>
      </c>
      <c r="H50" s="39" t="s">
        <v>40</v>
      </c>
      <c r="I50" s="39">
        <f t="shared" si="11"/>
        <v>435376</v>
      </c>
      <c r="J50" s="39">
        <f t="shared" si="11"/>
        <v>44269477</v>
      </c>
      <c r="K50" s="39">
        <f t="shared" si="11"/>
        <v>31102228.630000003</v>
      </c>
      <c r="L50" s="39">
        <f t="shared" si="11"/>
        <v>10987472.780000001</v>
      </c>
      <c r="M50" s="39">
        <f t="shared" si="11"/>
        <v>3777692.6</v>
      </c>
      <c r="N50" s="4"/>
      <c r="O50" s="46" t="s">
        <v>113</v>
      </c>
      <c r="P50" s="49"/>
    </row>
    <row r="51" spans="1:16" s="16" customFormat="1" ht="21" customHeight="1">
      <c r="A51" s="54" t="s">
        <v>114</v>
      </c>
      <c r="B51" s="43"/>
      <c r="C51" s="43"/>
      <c r="D51" s="44"/>
      <c r="E51" s="45">
        <f>88218.67+14833239.43</f>
        <v>14921458.1</v>
      </c>
      <c r="F51" s="45">
        <v>6111.5</v>
      </c>
      <c r="G51" s="45">
        <v>153091.25</v>
      </c>
      <c r="H51" s="45" t="s">
        <v>40</v>
      </c>
      <c r="I51" s="45">
        <v>219656</v>
      </c>
      <c r="J51" s="45">
        <f>9736201+11889264</f>
        <v>21625465</v>
      </c>
      <c r="K51" s="45">
        <f>6383782.28+6184583.32</f>
        <v>12568365.600000001</v>
      </c>
      <c r="L51" s="45">
        <v>4481900</v>
      </c>
      <c r="M51" s="45">
        <v>706664</v>
      </c>
      <c r="N51" s="36"/>
      <c r="O51" s="46" t="s">
        <v>115</v>
      </c>
      <c r="P51" s="15"/>
    </row>
    <row r="52" spans="1:16" s="16" customFormat="1" ht="21" customHeight="1">
      <c r="A52" s="47" t="s">
        <v>116</v>
      </c>
      <c r="B52" s="47" t="s">
        <v>64</v>
      </c>
      <c r="C52" s="47" t="s">
        <v>64</v>
      </c>
      <c r="D52" s="48" t="s">
        <v>64</v>
      </c>
      <c r="E52" s="45">
        <f>1747305.92+22078818.98</f>
        <v>23826124.899999999</v>
      </c>
      <c r="F52" s="45">
        <v>1433237.2</v>
      </c>
      <c r="G52" s="45">
        <v>1058326.8899999999</v>
      </c>
      <c r="H52" s="45" t="s">
        <v>40</v>
      </c>
      <c r="I52" s="45">
        <v>215720</v>
      </c>
      <c r="J52" s="45">
        <f>14122900+8521112</f>
        <v>22644012</v>
      </c>
      <c r="K52" s="45">
        <f>11089328.95+7444534.08</f>
        <v>18533863.030000001</v>
      </c>
      <c r="L52" s="45">
        <v>6505572.7800000003</v>
      </c>
      <c r="M52" s="45">
        <v>3071028.6</v>
      </c>
      <c r="N52" s="36"/>
      <c r="O52" s="46" t="s">
        <v>117</v>
      </c>
      <c r="P52" s="15"/>
    </row>
    <row r="53" spans="1:16" s="50" customFormat="1" ht="21" customHeight="1">
      <c r="A53" s="51" t="s">
        <v>118</v>
      </c>
      <c r="B53" s="51"/>
      <c r="C53" s="51"/>
      <c r="D53" s="52"/>
      <c r="E53" s="39">
        <f t="shared" ref="E53:M53" si="12">SUM(E54:E56)</f>
        <v>156306332.34</v>
      </c>
      <c r="F53" s="39">
        <f t="shared" si="12"/>
        <v>1857012.5</v>
      </c>
      <c r="G53" s="39">
        <f t="shared" si="12"/>
        <v>4167991.08</v>
      </c>
      <c r="H53" s="39">
        <f t="shared" si="12"/>
        <v>1777912.83</v>
      </c>
      <c r="I53" s="39">
        <f t="shared" si="12"/>
        <v>964350</v>
      </c>
      <c r="J53" s="39">
        <f t="shared" si="12"/>
        <v>217655458.69999999</v>
      </c>
      <c r="K53" s="39">
        <f t="shared" si="12"/>
        <v>239212297.71000004</v>
      </c>
      <c r="L53" s="39">
        <f t="shared" si="12"/>
        <v>20342296.670000002</v>
      </c>
      <c r="M53" s="39">
        <f t="shared" si="12"/>
        <v>23185114.090000004</v>
      </c>
      <c r="N53" s="4"/>
      <c r="O53" s="42" t="s">
        <v>119</v>
      </c>
      <c r="P53" s="49"/>
    </row>
    <row r="54" spans="1:16" s="16" customFormat="1" ht="21" customHeight="1">
      <c r="A54" s="43"/>
      <c r="B54" s="43" t="s">
        <v>120</v>
      </c>
      <c r="C54" s="43"/>
      <c r="D54" s="44"/>
      <c r="E54" s="45">
        <f>75597.71+11777876.73</f>
        <v>11853474.440000001</v>
      </c>
      <c r="F54" s="45">
        <v>530</v>
      </c>
      <c r="G54" s="45">
        <v>101686.64</v>
      </c>
      <c r="H54" s="45">
        <v>377245</v>
      </c>
      <c r="I54" s="45">
        <v>173555</v>
      </c>
      <c r="J54" s="45">
        <f>4434097+12251200</f>
        <v>16685297</v>
      </c>
      <c r="K54" s="45">
        <f>4845299+4112031.32</f>
        <v>8957330.3200000003</v>
      </c>
      <c r="L54" s="45">
        <v>2577063</v>
      </c>
      <c r="M54" s="45">
        <v>877074.92</v>
      </c>
      <c r="N54" s="36"/>
      <c r="O54" s="46" t="s">
        <v>121</v>
      </c>
      <c r="P54" s="15"/>
    </row>
    <row r="55" spans="1:16" s="16" customFormat="1" ht="21" customHeight="1">
      <c r="A55" s="43" t="s">
        <v>122</v>
      </c>
      <c r="B55" s="43"/>
      <c r="C55" s="43"/>
      <c r="D55" s="44"/>
      <c r="E55" s="45">
        <f>145285.64+12270811.08</f>
        <v>12416096.720000001</v>
      </c>
      <c r="F55" s="45">
        <v>88683</v>
      </c>
      <c r="G55" s="45">
        <v>157364.63</v>
      </c>
      <c r="H55" s="45" t="s">
        <v>40</v>
      </c>
      <c r="I55" s="45">
        <v>121174</v>
      </c>
      <c r="J55" s="45">
        <f>4585617+5855363</f>
        <v>10440980</v>
      </c>
      <c r="K55" s="45">
        <f>6665439+2737438.35</f>
        <v>9402877.3499999996</v>
      </c>
      <c r="L55" s="45">
        <v>4215892.17</v>
      </c>
      <c r="M55" s="45">
        <v>524768</v>
      </c>
      <c r="N55" s="36"/>
      <c r="O55" s="46" t="s">
        <v>123</v>
      </c>
      <c r="P55" s="15"/>
    </row>
    <row r="56" spans="1:16" s="16" customFormat="1" ht="21" customHeight="1">
      <c r="A56" s="47" t="s">
        <v>124</v>
      </c>
      <c r="B56" s="47" t="s">
        <v>64</v>
      </c>
      <c r="C56" s="47" t="s">
        <v>64</v>
      </c>
      <c r="D56" s="48" t="s">
        <v>64</v>
      </c>
      <c r="E56" s="45">
        <f>3513755.51+128523005.67</f>
        <v>132036761.18000001</v>
      </c>
      <c r="F56" s="45">
        <v>1767799.5</v>
      </c>
      <c r="G56" s="45">
        <v>3908939.81</v>
      </c>
      <c r="H56" s="45">
        <v>1400667.83</v>
      </c>
      <c r="I56" s="45">
        <v>669621</v>
      </c>
      <c r="J56" s="45">
        <f>129990005+60539176.7</f>
        <v>190529181.69999999</v>
      </c>
      <c r="K56" s="45">
        <f>148395792.09+72456297.95</f>
        <v>220852090.04000002</v>
      </c>
      <c r="L56" s="45">
        <v>13549341.5</v>
      </c>
      <c r="M56" s="45">
        <v>21783271.170000002</v>
      </c>
      <c r="N56" s="36"/>
      <c r="O56" s="46" t="s">
        <v>125</v>
      </c>
      <c r="P56" s="15"/>
    </row>
    <row r="57" spans="1:16" s="50" customFormat="1" ht="21" customHeight="1">
      <c r="A57" s="51" t="s">
        <v>126</v>
      </c>
      <c r="B57" s="51"/>
      <c r="C57" s="51"/>
      <c r="D57" s="52"/>
      <c r="E57" s="39">
        <f t="shared" ref="E57:M57" si="13">SUM(E58:E59)</f>
        <v>58161990.25</v>
      </c>
      <c r="F57" s="39">
        <f t="shared" si="13"/>
        <v>1014385.52</v>
      </c>
      <c r="G57" s="39">
        <f t="shared" si="13"/>
        <v>2269688.42</v>
      </c>
      <c r="H57" s="39">
        <f t="shared" si="13"/>
        <v>54640</v>
      </c>
      <c r="I57" s="39">
        <f t="shared" si="13"/>
        <v>2580625.7799999998</v>
      </c>
      <c r="J57" s="39">
        <f t="shared" si="13"/>
        <v>62253581.5</v>
      </c>
      <c r="K57" s="39">
        <f t="shared" si="13"/>
        <v>208036037.96999997</v>
      </c>
      <c r="L57" s="39">
        <f t="shared" si="13"/>
        <v>21470942.530000001</v>
      </c>
      <c r="M57" s="39">
        <f t="shared" si="13"/>
        <v>9667655.8900000006</v>
      </c>
      <c r="N57" s="4"/>
      <c r="O57" s="42" t="s">
        <v>127</v>
      </c>
      <c r="P57" s="49"/>
    </row>
    <row r="58" spans="1:16" s="16" customFormat="1" ht="21" customHeight="1">
      <c r="A58" s="47" t="s">
        <v>128</v>
      </c>
      <c r="B58" s="47" t="s">
        <v>64</v>
      </c>
      <c r="C58" s="47" t="s">
        <v>64</v>
      </c>
      <c r="D58" s="48" t="s">
        <v>64</v>
      </c>
      <c r="E58" s="45">
        <f>1862995.95+27829989.86</f>
        <v>29692985.809999999</v>
      </c>
      <c r="F58" s="45">
        <v>591293.31999999995</v>
      </c>
      <c r="G58" s="45">
        <v>1228490.73</v>
      </c>
      <c r="H58" s="45" t="s">
        <v>40</v>
      </c>
      <c r="I58" s="45">
        <v>358930</v>
      </c>
      <c r="J58" s="45">
        <f>18620251+11399171.5</f>
        <v>30019422.5</v>
      </c>
      <c r="K58" s="45">
        <f>15961330.4+14274846.89</f>
        <v>30236177.289999999</v>
      </c>
      <c r="L58" s="45">
        <v>11595852.529999999</v>
      </c>
      <c r="M58" s="45">
        <v>3770136.35</v>
      </c>
      <c r="N58" s="36"/>
      <c r="O58" s="46" t="s">
        <v>129</v>
      </c>
      <c r="P58" s="15"/>
    </row>
    <row r="59" spans="1:16" s="16" customFormat="1" ht="21" customHeight="1">
      <c r="A59" s="47" t="s">
        <v>130</v>
      </c>
      <c r="B59" s="47" t="s">
        <v>64</v>
      </c>
      <c r="C59" s="47" t="s">
        <v>64</v>
      </c>
      <c r="D59" s="48" t="s">
        <v>64</v>
      </c>
      <c r="E59" s="45">
        <f>841028.19+27627976.25</f>
        <v>28469004.440000001</v>
      </c>
      <c r="F59" s="45">
        <v>423092.2</v>
      </c>
      <c r="G59" s="45">
        <v>1041197.69</v>
      </c>
      <c r="H59" s="45">
        <v>54640</v>
      </c>
      <c r="I59" s="45">
        <v>2221695.7799999998</v>
      </c>
      <c r="J59" s="45">
        <f>18805605+13428554</f>
        <v>32234159</v>
      </c>
      <c r="K59" s="45">
        <f>169449522.76+8350337.92</f>
        <v>177799860.67999998</v>
      </c>
      <c r="L59" s="45">
        <v>9875090</v>
      </c>
      <c r="M59" s="45">
        <v>5897519.54</v>
      </c>
      <c r="N59" s="36"/>
      <c r="O59" s="46" t="s">
        <v>131</v>
      </c>
      <c r="P59" s="15"/>
    </row>
    <row r="60" spans="1:16" s="50" customFormat="1" ht="21" customHeight="1">
      <c r="A60" s="51" t="s">
        <v>132</v>
      </c>
      <c r="B60" s="51"/>
      <c r="C60" s="51"/>
      <c r="D60" s="52"/>
      <c r="E60" s="39">
        <f>SUM(E61:E62)</f>
        <v>48168499.969999999</v>
      </c>
      <c r="F60" s="39">
        <f t="shared" ref="F60:M60" si="14">SUM(F61:F62)</f>
        <v>1016928.7</v>
      </c>
      <c r="G60" s="39">
        <f t="shared" si="14"/>
        <v>1366646.4100000001</v>
      </c>
      <c r="H60" s="39">
        <f t="shared" si="14"/>
        <v>1500</v>
      </c>
      <c r="I60" s="39">
        <f t="shared" si="14"/>
        <v>517100</v>
      </c>
      <c r="J60" s="39">
        <f t="shared" si="14"/>
        <v>77972518</v>
      </c>
      <c r="K60" s="39">
        <f t="shared" si="14"/>
        <v>48556408.75</v>
      </c>
      <c r="L60" s="39">
        <f t="shared" si="14"/>
        <v>14080410.41</v>
      </c>
      <c r="M60" s="39">
        <f t="shared" si="14"/>
        <v>3802392.77</v>
      </c>
      <c r="N60" s="4"/>
      <c r="O60" s="42" t="s">
        <v>133</v>
      </c>
      <c r="P60" s="49"/>
    </row>
    <row r="61" spans="1:16" s="16" customFormat="1" ht="21" customHeight="1">
      <c r="A61" s="43"/>
      <c r="B61" s="43" t="s">
        <v>134</v>
      </c>
      <c r="C61" s="43"/>
      <c r="D61" s="44"/>
      <c r="E61" s="45">
        <f>337202.65+20636881.68</f>
        <v>20974084.329999998</v>
      </c>
      <c r="F61" s="45">
        <v>231211</v>
      </c>
      <c r="G61" s="45">
        <v>406424.61</v>
      </c>
      <c r="H61" s="45">
        <v>1500</v>
      </c>
      <c r="I61" s="45">
        <v>222600</v>
      </c>
      <c r="J61" s="45">
        <f>18763838+30696105</f>
        <v>49459943</v>
      </c>
      <c r="K61" s="45">
        <f>8604521.55+11628975.34</f>
        <v>20233496.890000001</v>
      </c>
      <c r="L61" s="45">
        <v>5764778.1699999999</v>
      </c>
      <c r="M61" s="45">
        <v>2478696</v>
      </c>
      <c r="N61" s="36"/>
      <c r="O61" s="46" t="s">
        <v>135</v>
      </c>
      <c r="P61" s="15"/>
    </row>
    <row r="62" spans="1:16" s="16" customFormat="1" ht="21" customHeight="1">
      <c r="A62" s="47" t="s">
        <v>136</v>
      </c>
      <c r="B62" s="47" t="s">
        <v>64</v>
      </c>
      <c r="C62" s="47" t="s">
        <v>64</v>
      </c>
      <c r="D62" s="48" t="s">
        <v>64</v>
      </c>
      <c r="E62" s="45">
        <f>2352961.22+24841454.42</f>
        <v>27194415.640000001</v>
      </c>
      <c r="F62" s="45">
        <v>785717.7</v>
      </c>
      <c r="G62" s="45">
        <v>960221.8</v>
      </c>
      <c r="H62" s="45" t="s">
        <v>40</v>
      </c>
      <c r="I62" s="45">
        <v>294500</v>
      </c>
      <c r="J62" s="45">
        <f>21324275+7188300</f>
        <v>28512575</v>
      </c>
      <c r="K62" s="45">
        <f>16280891.67+12042020.19</f>
        <v>28322911.859999999</v>
      </c>
      <c r="L62" s="45">
        <v>8315632.2400000002</v>
      </c>
      <c r="M62" s="45">
        <v>1323696.77</v>
      </c>
      <c r="N62" s="36"/>
      <c r="O62" s="46" t="s">
        <v>137</v>
      </c>
      <c r="P62" s="15"/>
    </row>
    <row r="63" spans="1:16" s="50" customFormat="1" ht="21" customHeight="1">
      <c r="A63" s="51" t="s">
        <v>138</v>
      </c>
      <c r="B63" s="51"/>
      <c r="C63" s="51"/>
      <c r="D63" s="52"/>
      <c r="E63" s="39">
        <f t="shared" ref="E63:M63" si="15">SUM(E64:E66)</f>
        <v>70469256.950000003</v>
      </c>
      <c r="F63" s="39">
        <f t="shared" si="15"/>
        <v>1465483</v>
      </c>
      <c r="G63" s="39">
        <f t="shared" si="15"/>
        <v>1811664.15</v>
      </c>
      <c r="H63" s="39">
        <f t="shared" si="15"/>
        <v>352482</v>
      </c>
      <c r="I63" s="39">
        <f t="shared" si="15"/>
        <v>703123.14</v>
      </c>
      <c r="J63" s="39">
        <f t="shared" si="15"/>
        <v>73170171</v>
      </c>
      <c r="K63" s="39">
        <f t="shared" si="15"/>
        <v>57313384.18</v>
      </c>
      <c r="L63" s="39">
        <f t="shared" si="15"/>
        <v>24439319.500000004</v>
      </c>
      <c r="M63" s="39">
        <f t="shared" si="15"/>
        <v>6969057.1699999999</v>
      </c>
      <c r="N63" s="4"/>
      <c r="O63" s="42" t="s">
        <v>139</v>
      </c>
      <c r="P63" s="49"/>
    </row>
    <row r="64" spans="1:16" s="16" customFormat="1" ht="21" customHeight="1">
      <c r="A64" s="47" t="s">
        <v>140</v>
      </c>
      <c r="B64" s="47" t="s">
        <v>64</v>
      </c>
      <c r="C64" s="47" t="s">
        <v>64</v>
      </c>
      <c r="D64" s="48" t="s">
        <v>64</v>
      </c>
      <c r="E64" s="45">
        <f>1439606.64+18022681.72</f>
        <v>19462288.359999999</v>
      </c>
      <c r="F64" s="45">
        <v>221615</v>
      </c>
      <c r="G64" s="45">
        <v>532561.87</v>
      </c>
      <c r="H64" s="45" t="s">
        <v>40</v>
      </c>
      <c r="I64" s="45">
        <v>313955.94</v>
      </c>
      <c r="J64" s="45">
        <f>12443584+7698290</f>
        <v>20141874</v>
      </c>
      <c r="K64" s="45">
        <f>12240620.13+9761042.76</f>
        <v>22001662.890000001</v>
      </c>
      <c r="L64" s="45">
        <v>4993793</v>
      </c>
      <c r="M64" s="45">
        <v>2281227.33</v>
      </c>
      <c r="N64" s="36"/>
      <c r="O64" s="46" t="s">
        <v>141</v>
      </c>
      <c r="P64" s="15"/>
    </row>
    <row r="65" spans="1:16" s="16" customFormat="1" ht="21" customHeight="1">
      <c r="A65" s="43"/>
      <c r="B65" s="43" t="s">
        <v>142</v>
      </c>
      <c r="C65" s="43"/>
      <c r="D65" s="44"/>
      <c r="E65" s="45">
        <f>3486819.2+25184387.8</f>
        <v>28671207</v>
      </c>
      <c r="F65" s="45">
        <v>675690</v>
      </c>
      <c r="G65" s="45">
        <v>891271.85</v>
      </c>
      <c r="H65" s="45" t="s">
        <v>40</v>
      </c>
      <c r="I65" s="45">
        <v>248782.2</v>
      </c>
      <c r="J65" s="45">
        <f>13211164+15109950</f>
        <v>28321114</v>
      </c>
      <c r="K65" s="45">
        <f>10809494.81+7283694.19</f>
        <v>18093189</v>
      </c>
      <c r="L65" s="45">
        <v>14937005.310000001</v>
      </c>
      <c r="M65" s="45">
        <v>1116061.3500000001</v>
      </c>
      <c r="N65" s="36"/>
      <c r="O65" s="46" t="s">
        <v>143</v>
      </c>
      <c r="P65" s="15"/>
    </row>
    <row r="66" spans="1:16" s="16" customFormat="1" ht="21" customHeight="1">
      <c r="A66" s="47" t="s">
        <v>144</v>
      </c>
      <c r="B66" s="47" t="s">
        <v>64</v>
      </c>
      <c r="C66" s="47" t="s">
        <v>64</v>
      </c>
      <c r="D66" s="48" t="s">
        <v>64</v>
      </c>
      <c r="E66" s="45">
        <f>7572588.11+14763173.48</f>
        <v>22335761.59</v>
      </c>
      <c r="F66" s="45">
        <v>568178</v>
      </c>
      <c r="G66" s="45">
        <v>387830.43</v>
      </c>
      <c r="H66" s="45">
        <v>352482</v>
      </c>
      <c r="I66" s="45">
        <v>140385</v>
      </c>
      <c r="J66" s="45">
        <f>13045233+11661950</f>
        <v>24707183</v>
      </c>
      <c r="K66" s="45">
        <f>10441888.85+6776643.44</f>
        <v>17218532.289999999</v>
      </c>
      <c r="L66" s="45">
        <v>4508521.1900000004</v>
      </c>
      <c r="M66" s="45">
        <v>3571768.49</v>
      </c>
      <c r="N66" s="36"/>
      <c r="O66" s="46" t="s">
        <v>145</v>
      </c>
      <c r="P66" s="15"/>
    </row>
    <row r="67" spans="1:16" s="50" customFormat="1" ht="21" customHeight="1">
      <c r="A67" s="51" t="s">
        <v>146</v>
      </c>
      <c r="B67" s="51"/>
      <c r="C67" s="51"/>
      <c r="D67" s="52"/>
      <c r="E67" s="39">
        <f>SUM(E68:E70)</f>
        <v>53244655.450000003</v>
      </c>
      <c r="F67" s="39">
        <f t="shared" ref="F67:M67" si="16">SUM(F68:F70)</f>
        <v>1415817.12</v>
      </c>
      <c r="G67" s="39">
        <f t="shared" si="16"/>
        <v>2723125.88</v>
      </c>
      <c r="H67" s="39">
        <f t="shared" si="16"/>
        <v>3427184</v>
      </c>
      <c r="I67" s="39">
        <f t="shared" si="16"/>
        <v>688648.05</v>
      </c>
      <c r="J67" s="39">
        <f t="shared" si="16"/>
        <v>70563390.099999994</v>
      </c>
      <c r="K67" s="39">
        <f t="shared" si="16"/>
        <v>56098508.209999993</v>
      </c>
      <c r="L67" s="39">
        <f t="shared" si="16"/>
        <v>19712978.260000002</v>
      </c>
      <c r="M67" s="39">
        <f t="shared" si="16"/>
        <v>8352852.5200000005</v>
      </c>
      <c r="N67" s="4"/>
      <c r="O67" s="42" t="s">
        <v>147</v>
      </c>
      <c r="P67" s="49"/>
    </row>
    <row r="68" spans="1:16" s="16" customFormat="1" ht="21" customHeight="1">
      <c r="A68" s="43" t="s">
        <v>148</v>
      </c>
      <c r="B68" s="43"/>
      <c r="C68" s="43"/>
      <c r="D68" s="44"/>
      <c r="E68" s="45">
        <f>264006.77+17399384.28</f>
        <v>17663391.050000001</v>
      </c>
      <c r="F68" s="45">
        <v>551547.72</v>
      </c>
      <c r="G68" s="45">
        <v>238585.9</v>
      </c>
      <c r="H68" s="45">
        <v>2373960</v>
      </c>
      <c r="I68" s="45">
        <v>141336.20000000001</v>
      </c>
      <c r="J68" s="45">
        <f>9465142+14285813</f>
        <v>23750955</v>
      </c>
      <c r="K68" s="45">
        <f>8077970.13+8147956.41</f>
        <v>16225926.539999999</v>
      </c>
      <c r="L68" s="45">
        <v>7270059.1100000003</v>
      </c>
      <c r="M68" s="45">
        <v>2945236.49</v>
      </c>
      <c r="N68" s="36"/>
      <c r="O68" s="46" t="s">
        <v>149</v>
      </c>
      <c r="P68" s="15"/>
    </row>
    <row r="69" spans="1:16" s="16" customFormat="1" ht="21" customHeight="1">
      <c r="A69" s="47" t="s">
        <v>150</v>
      </c>
      <c r="B69" s="47" t="s">
        <v>64</v>
      </c>
      <c r="C69" s="47" t="s">
        <v>64</v>
      </c>
      <c r="D69" s="48" t="s">
        <v>64</v>
      </c>
      <c r="E69" s="45">
        <f>1620120.16+18841019.6</f>
        <v>20461139.760000002</v>
      </c>
      <c r="F69" s="45">
        <v>424338.4</v>
      </c>
      <c r="G69" s="45">
        <v>2179016.6800000002</v>
      </c>
      <c r="H69" s="45" t="s">
        <v>40</v>
      </c>
      <c r="I69" s="45">
        <v>215984</v>
      </c>
      <c r="J69" s="45">
        <f>16857293+6740208.1</f>
        <v>23597501.100000001</v>
      </c>
      <c r="K69" s="45">
        <f>13802184.71+11195744.77</f>
        <v>24997929.48</v>
      </c>
      <c r="L69" s="45">
        <v>7212729.1500000004</v>
      </c>
      <c r="M69" s="45">
        <v>1298649.8700000001</v>
      </c>
      <c r="N69" s="46"/>
      <c r="O69" s="46" t="s">
        <v>151</v>
      </c>
      <c r="P69" s="15"/>
    </row>
    <row r="70" spans="1:16" s="16" customFormat="1" ht="21" customHeight="1">
      <c r="A70" s="47" t="s">
        <v>152</v>
      </c>
      <c r="B70" s="47" t="s">
        <v>64</v>
      </c>
      <c r="C70" s="47" t="s">
        <v>64</v>
      </c>
      <c r="D70" s="48" t="s">
        <v>64</v>
      </c>
      <c r="E70" s="45">
        <f>137009.35+14983115.29</f>
        <v>15120124.639999999</v>
      </c>
      <c r="F70" s="45">
        <v>439931</v>
      </c>
      <c r="G70" s="45">
        <v>305523.3</v>
      </c>
      <c r="H70" s="45">
        <v>1053224</v>
      </c>
      <c r="I70" s="45">
        <v>331327.84999999998</v>
      </c>
      <c r="J70" s="45">
        <f>13008532+10206402</f>
        <v>23214934</v>
      </c>
      <c r="K70" s="45">
        <f>8113902+6760750.19</f>
        <v>14874652.190000001</v>
      </c>
      <c r="L70" s="45">
        <v>5230190</v>
      </c>
      <c r="M70" s="45">
        <v>4108966.16</v>
      </c>
      <c r="N70" s="36"/>
      <c r="O70" s="46" t="s">
        <v>153</v>
      </c>
      <c r="P70" s="15"/>
    </row>
    <row r="71" spans="1:16" s="50" customFormat="1" ht="21" customHeight="1">
      <c r="A71" s="51" t="s">
        <v>154</v>
      </c>
      <c r="B71" s="51"/>
      <c r="C71" s="51"/>
      <c r="D71" s="52"/>
      <c r="E71" s="39">
        <f>SUM(E72:E73)</f>
        <v>28489343.869999997</v>
      </c>
      <c r="F71" s="39">
        <f t="shared" ref="F71:M71" si="17">SUM(F72:F73)</f>
        <v>583172.80000000005</v>
      </c>
      <c r="G71" s="39">
        <f t="shared" si="17"/>
        <v>568837.15999999992</v>
      </c>
      <c r="H71" s="39">
        <f t="shared" si="17"/>
        <v>978064</v>
      </c>
      <c r="I71" s="39">
        <f t="shared" si="17"/>
        <v>429069.53</v>
      </c>
      <c r="J71" s="39">
        <f t="shared" si="17"/>
        <v>46873262</v>
      </c>
      <c r="K71" s="39">
        <f t="shared" si="17"/>
        <v>32952824.300000001</v>
      </c>
      <c r="L71" s="39">
        <f t="shared" si="17"/>
        <v>8768225</v>
      </c>
      <c r="M71" s="39">
        <f t="shared" si="17"/>
        <v>2794331.5</v>
      </c>
      <c r="N71" s="4"/>
      <c r="O71" s="42" t="s">
        <v>155</v>
      </c>
      <c r="P71" s="49"/>
    </row>
    <row r="72" spans="1:16" s="16" customFormat="1" ht="21" customHeight="1">
      <c r="A72" s="43" t="s">
        <v>156</v>
      </c>
      <c r="B72" s="43"/>
      <c r="C72" s="43"/>
      <c r="D72" s="44"/>
      <c r="E72" s="45">
        <f>92895.64+11380521.94</f>
        <v>11473417.58</v>
      </c>
      <c r="F72" s="45">
        <v>165069.79999999999</v>
      </c>
      <c r="G72" s="45">
        <v>209409.12</v>
      </c>
      <c r="H72" s="45">
        <v>438079</v>
      </c>
      <c r="I72" s="45">
        <v>263613.53000000003</v>
      </c>
      <c r="J72" s="45">
        <f>6866133+9361790</f>
        <v>16227923</v>
      </c>
      <c r="K72" s="45">
        <f>6895820+5513381.5</f>
        <v>12409201.5</v>
      </c>
      <c r="L72" s="45">
        <v>451020</v>
      </c>
      <c r="M72" s="45">
        <v>672533</v>
      </c>
      <c r="N72" s="36"/>
      <c r="O72" s="46" t="s">
        <v>157</v>
      </c>
      <c r="P72" s="15"/>
    </row>
    <row r="73" spans="1:16" s="16" customFormat="1" ht="21" customHeight="1">
      <c r="A73" s="47" t="s">
        <v>158</v>
      </c>
      <c r="B73" s="47" t="s">
        <v>64</v>
      </c>
      <c r="C73" s="47" t="s">
        <v>64</v>
      </c>
      <c r="D73" s="48" t="s">
        <v>64</v>
      </c>
      <c r="E73" s="45">
        <f>211650.91+16804275.38</f>
        <v>17015926.289999999</v>
      </c>
      <c r="F73" s="45">
        <v>418103</v>
      </c>
      <c r="G73" s="45">
        <v>359428.04</v>
      </c>
      <c r="H73" s="45">
        <v>539985</v>
      </c>
      <c r="I73" s="45">
        <v>165456</v>
      </c>
      <c r="J73" s="45">
        <f>17724909+12920430</f>
        <v>30645339</v>
      </c>
      <c r="K73" s="45">
        <f>11807177.38+8736445.42</f>
        <v>20543622.800000001</v>
      </c>
      <c r="L73" s="45">
        <v>8317205</v>
      </c>
      <c r="M73" s="45">
        <v>2121798.5</v>
      </c>
      <c r="N73" s="36"/>
      <c r="O73" s="46" t="s">
        <v>159</v>
      </c>
      <c r="P73" s="15"/>
    </row>
    <row r="74" spans="1:16" s="50" customFormat="1" ht="21" customHeight="1">
      <c r="A74" s="51" t="s">
        <v>160</v>
      </c>
      <c r="B74" s="51"/>
      <c r="C74" s="51"/>
      <c r="D74" s="52"/>
      <c r="E74" s="39">
        <f>SUM(E75)</f>
        <v>17061270.949999999</v>
      </c>
      <c r="F74" s="39">
        <f t="shared" ref="F74:M74" si="18">SUM(F75)</f>
        <v>220671.4</v>
      </c>
      <c r="G74" s="39">
        <f t="shared" si="18"/>
        <v>204741.79</v>
      </c>
      <c r="H74" s="39" t="s">
        <v>40</v>
      </c>
      <c r="I74" s="39">
        <f t="shared" si="18"/>
        <v>107097</v>
      </c>
      <c r="J74" s="39">
        <f t="shared" si="18"/>
        <v>19273195</v>
      </c>
      <c r="K74" s="39">
        <f t="shared" si="18"/>
        <v>15269773.289999999</v>
      </c>
      <c r="L74" s="39">
        <f t="shared" si="18"/>
        <v>5024656.78</v>
      </c>
      <c r="M74" s="39">
        <f t="shared" si="18"/>
        <v>1243295.45</v>
      </c>
      <c r="N74" s="4"/>
      <c r="O74" s="42" t="s">
        <v>161</v>
      </c>
      <c r="P74" s="49"/>
    </row>
    <row r="75" spans="1:16" s="16" customFormat="1" ht="21" customHeight="1">
      <c r="A75" s="43"/>
      <c r="B75" s="43" t="s">
        <v>162</v>
      </c>
      <c r="C75" s="43"/>
      <c r="D75" s="44"/>
      <c r="E75" s="45">
        <f>421398.4+16639872.55</f>
        <v>17061270.949999999</v>
      </c>
      <c r="F75" s="45">
        <v>220671.4</v>
      </c>
      <c r="G75" s="45">
        <v>204741.79</v>
      </c>
      <c r="H75" s="45" t="s">
        <v>40</v>
      </c>
      <c r="I75" s="45">
        <v>107097</v>
      </c>
      <c r="J75" s="45">
        <f>8534033+10739162</f>
        <v>19273195</v>
      </c>
      <c r="K75" s="45">
        <f>8999532.84+6270240.45</f>
        <v>15269773.289999999</v>
      </c>
      <c r="L75" s="45">
        <v>5024656.78</v>
      </c>
      <c r="M75" s="45">
        <v>1243295.45</v>
      </c>
      <c r="N75" s="36"/>
      <c r="O75" s="46" t="s">
        <v>163</v>
      </c>
      <c r="P75" s="15"/>
    </row>
    <row r="76" spans="1:16" s="50" customFormat="1" ht="21" customHeight="1">
      <c r="A76" s="51" t="s">
        <v>164</v>
      </c>
      <c r="B76" s="51"/>
      <c r="C76" s="51"/>
      <c r="D76" s="52"/>
      <c r="E76" s="39">
        <f>SUM(E77:E78)</f>
        <v>29126452.100000001</v>
      </c>
      <c r="F76" s="39">
        <f t="shared" ref="F76:M76" si="19">SUM(F77:F78)</f>
        <v>565025.55000000005</v>
      </c>
      <c r="G76" s="39">
        <f t="shared" si="19"/>
        <v>737073.36</v>
      </c>
      <c r="H76" s="39">
        <f t="shared" si="19"/>
        <v>1118765</v>
      </c>
      <c r="I76" s="39">
        <f t="shared" si="19"/>
        <v>169012</v>
      </c>
      <c r="J76" s="39">
        <f t="shared" si="19"/>
        <v>27247217</v>
      </c>
      <c r="K76" s="39">
        <f t="shared" si="19"/>
        <v>24694900.629999999</v>
      </c>
      <c r="L76" s="39">
        <f t="shared" si="19"/>
        <v>11664331.539999999</v>
      </c>
      <c r="M76" s="39">
        <f t="shared" si="19"/>
        <v>1667833</v>
      </c>
      <c r="N76" s="4"/>
      <c r="O76" s="42" t="s">
        <v>165</v>
      </c>
      <c r="P76" s="49"/>
    </row>
    <row r="77" spans="1:16" s="16" customFormat="1" ht="21" customHeight="1">
      <c r="A77" s="43"/>
      <c r="B77" s="43" t="s">
        <v>166</v>
      </c>
      <c r="C77" s="43"/>
      <c r="D77" s="44"/>
      <c r="E77" s="45">
        <f>306075.65+15517502.36</f>
        <v>15823578.01</v>
      </c>
      <c r="F77" s="45">
        <v>402472.75</v>
      </c>
      <c r="G77" s="45">
        <v>566447.61</v>
      </c>
      <c r="H77" s="45">
        <v>815360</v>
      </c>
      <c r="I77" s="45">
        <v>61900</v>
      </c>
      <c r="J77" s="45">
        <f>11245943+9197590</f>
        <v>20443533</v>
      </c>
      <c r="K77" s="45">
        <f>7039754.56+5784423.85</f>
        <v>12824178.41</v>
      </c>
      <c r="L77" s="45">
        <v>8048582</v>
      </c>
      <c r="M77" s="45">
        <v>925165</v>
      </c>
      <c r="N77" s="36"/>
      <c r="O77" s="46" t="s">
        <v>167</v>
      </c>
      <c r="P77" s="15"/>
    </row>
    <row r="78" spans="1:16" s="16" customFormat="1" ht="21" customHeight="1">
      <c r="A78" s="43"/>
      <c r="B78" s="43" t="s">
        <v>168</v>
      </c>
      <c r="C78" s="43"/>
      <c r="D78" s="44"/>
      <c r="E78" s="45">
        <f>61644.29+13241229.8</f>
        <v>13302874.09</v>
      </c>
      <c r="F78" s="45">
        <v>162552.79999999999</v>
      </c>
      <c r="G78" s="45">
        <v>170625.75</v>
      </c>
      <c r="H78" s="45">
        <v>303405</v>
      </c>
      <c r="I78" s="45">
        <v>107112</v>
      </c>
      <c r="J78" s="45">
        <v>6803684</v>
      </c>
      <c r="K78" s="45">
        <f>5978631.04+5892091.18</f>
        <v>11870722.219999999</v>
      </c>
      <c r="L78" s="45">
        <v>3615749.54</v>
      </c>
      <c r="M78" s="45">
        <v>742668</v>
      </c>
      <c r="N78" s="36"/>
      <c r="O78" s="46" t="s">
        <v>169</v>
      </c>
      <c r="P78" s="15"/>
    </row>
    <row r="79" spans="1:16" s="50" customFormat="1" ht="21" customHeight="1">
      <c r="A79" s="51" t="s">
        <v>170</v>
      </c>
      <c r="B79" s="51"/>
      <c r="C79" s="51"/>
      <c r="D79" s="52"/>
      <c r="E79" s="39">
        <f>SUM(E80)</f>
        <v>63028032.009999998</v>
      </c>
      <c r="F79" s="39">
        <f t="shared" ref="F79:M79" si="20">SUM(F80)</f>
        <v>1246494.96</v>
      </c>
      <c r="G79" s="39">
        <f t="shared" si="20"/>
        <v>1765173.09</v>
      </c>
      <c r="H79" s="39">
        <f t="shared" si="20"/>
        <v>6089105.7999999998</v>
      </c>
      <c r="I79" s="39">
        <f t="shared" si="20"/>
        <v>219481.03</v>
      </c>
      <c r="J79" s="39">
        <f t="shared" si="20"/>
        <v>76853823.99000001</v>
      </c>
      <c r="K79" s="39">
        <f t="shared" si="20"/>
        <v>61418907.620000005</v>
      </c>
      <c r="L79" s="39">
        <f t="shared" si="20"/>
        <v>32458491</v>
      </c>
      <c r="M79" s="39">
        <f t="shared" si="20"/>
        <v>3359726.43</v>
      </c>
      <c r="N79" s="4"/>
      <c r="O79" s="42" t="s">
        <v>171</v>
      </c>
      <c r="P79" s="49"/>
    </row>
    <row r="80" spans="1:16" s="16" customFormat="1" ht="21" customHeight="1">
      <c r="A80" s="43"/>
      <c r="B80" s="43" t="s">
        <v>172</v>
      </c>
      <c r="C80" s="43"/>
      <c r="D80" s="44"/>
      <c r="E80" s="45">
        <f>2639413.64+60388618.37</f>
        <v>63028032.009999998</v>
      </c>
      <c r="F80" s="45">
        <v>1246494.96</v>
      </c>
      <c r="G80" s="45">
        <v>1765173.09</v>
      </c>
      <c r="H80" s="45">
        <v>6089105.7999999998</v>
      </c>
      <c r="I80" s="45">
        <v>219481.03</v>
      </c>
      <c r="J80" s="45">
        <f>31579519+45274304.99</f>
        <v>76853823.99000001</v>
      </c>
      <c r="K80" s="45">
        <f>21629051.45+39789856.17</f>
        <v>61418907.620000005</v>
      </c>
      <c r="L80" s="45">
        <v>32458491</v>
      </c>
      <c r="M80" s="45">
        <v>3359726.43</v>
      </c>
      <c r="N80" s="36"/>
      <c r="O80" s="46" t="s">
        <v>173</v>
      </c>
      <c r="P80" s="15"/>
    </row>
    <row r="81" spans="1:16" s="50" customFormat="1" ht="21" customHeight="1">
      <c r="A81" s="51" t="s">
        <v>174</v>
      </c>
      <c r="B81" s="56"/>
      <c r="C81" s="56"/>
      <c r="D81" s="57"/>
      <c r="E81" s="39">
        <f>SUM(E82)</f>
        <v>22329912.850000001</v>
      </c>
      <c r="F81" s="39">
        <f t="shared" ref="F81:M81" si="21">SUM(F82)</f>
        <v>990612.2</v>
      </c>
      <c r="G81" s="39">
        <f t="shared" si="21"/>
        <v>204409.49</v>
      </c>
      <c r="H81" s="39" t="s">
        <v>40</v>
      </c>
      <c r="I81" s="39">
        <f t="shared" si="21"/>
        <v>114891</v>
      </c>
      <c r="J81" s="39">
        <f t="shared" si="21"/>
        <v>24602363.800000001</v>
      </c>
      <c r="K81" s="39">
        <f t="shared" si="21"/>
        <v>16603828.82</v>
      </c>
      <c r="L81" s="39">
        <f t="shared" si="21"/>
        <v>10298068</v>
      </c>
      <c r="M81" s="39">
        <f t="shared" si="21"/>
        <v>13285616.210000001</v>
      </c>
      <c r="N81" s="4"/>
      <c r="O81" s="42" t="s">
        <v>175</v>
      </c>
      <c r="P81" s="49"/>
    </row>
    <row r="82" spans="1:16" s="16" customFormat="1" ht="20.25" customHeight="1">
      <c r="A82" s="58"/>
      <c r="B82" s="59" t="s">
        <v>176</v>
      </c>
      <c r="C82" s="59"/>
      <c r="D82" s="60"/>
      <c r="E82" s="61">
        <f>426161.23+21903751.62</f>
        <v>22329912.850000001</v>
      </c>
      <c r="F82" s="61">
        <v>990612.2</v>
      </c>
      <c r="G82" s="61">
        <v>204409.49</v>
      </c>
      <c r="H82" s="61" t="s">
        <v>40</v>
      </c>
      <c r="I82" s="61">
        <v>114891</v>
      </c>
      <c r="J82" s="61">
        <f>11798118+12804245.8</f>
        <v>24602363.800000001</v>
      </c>
      <c r="K82" s="61">
        <f>10190015+6413813.82</f>
        <v>16603828.82</v>
      </c>
      <c r="L82" s="61">
        <v>10298068</v>
      </c>
      <c r="M82" s="61">
        <v>13285616.210000001</v>
      </c>
      <c r="N82" s="58"/>
      <c r="O82" s="62" t="s">
        <v>177</v>
      </c>
      <c r="P82" s="15"/>
    </row>
    <row r="83" spans="1:16" s="16" customFormat="1" ht="9" customHeight="1">
      <c r="A83" s="63"/>
      <c r="B83" s="64"/>
      <c r="C83" s="64"/>
      <c r="D83" s="65"/>
      <c r="E83" s="64"/>
      <c r="F83" s="64"/>
      <c r="G83" s="64"/>
      <c r="H83" s="64"/>
      <c r="I83" s="64"/>
      <c r="J83" s="64"/>
      <c r="K83" s="64"/>
      <c r="L83" s="64"/>
      <c r="M83" s="64"/>
      <c r="N83" s="63"/>
      <c r="O83" s="66"/>
    </row>
    <row r="84" spans="1:16" s="16" customFormat="1" ht="4.5" customHeight="1">
      <c r="A84" s="63"/>
      <c r="B84" s="64"/>
      <c r="C84" s="64"/>
      <c r="D84" s="65"/>
      <c r="E84" s="64"/>
      <c r="F84" s="64"/>
      <c r="G84" s="64"/>
      <c r="H84" s="64"/>
      <c r="I84" s="64"/>
      <c r="J84" s="64"/>
      <c r="K84" s="64"/>
      <c r="L84" s="64"/>
      <c r="M84" s="64"/>
      <c r="N84" s="63"/>
      <c r="O84" s="63"/>
    </row>
    <row r="85" spans="1:16" s="16" customFormat="1" ht="9" hidden="1" customHeight="1">
      <c r="A85" s="63"/>
      <c r="B85" s="64"/>
      <c r="C85" s="64"/>
      <c r="D85" s="65"/>
      <c r="E85" s="64"/>
      <c r="F85" s="64"/>
      <c r="G85" s="64"/>
      <c r="H85" s="64"/>
      <c r="I85" s="64"/>
      <c r="J85" s="64"/>
      <c r="K85" s="64"/>
      <c r="L85" s="64"/>
      <c r="M85" s="64"/>
      <c r="N85" s="63"/>
      <c r="O85" s="63"/>
    </row>
    <row r="86" spans="1:16" s="16" customFormat="1" ht="20.25" hidden="1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</row>
    <row r="87" spans="1:16" s="16" customFormat="1" ht="19.5">
      <c r="B87" s="15" t="s">
        <v>178</v>
      </c>
    </row>
    <row r="88" spans="1:16" s="16" customFormat="1" ht="19.5">
      <c r="B88" s="15" t="s">
        <v>179</v>
      </c>
    </row>
  </sheetData>
  <mergeCells count="40">
    <mergeCell ref="A66:D66"/>
    <mergeCell ref="A69:D69"/>
    <mergeCell ref="A70:D70"/>
    <mergeCell ref="A73:D73"/>
    <mergeCell ref="A52:D52"/>
    <mergeCell ref="A56:D56"/>
    <mergeCell ref="A58:D58"/>
    <mergeCell ref="A59:D59"/>
    <mergeCell ref="A62:D62"/>
    <mergeCell ref="A64:D64"/>
    <mergeCell ref="A36:D36"/>
    <mergeCell ref="A39:D39"/>
    <mergeCell ref="A41:D41"/>
    <mergeCell ref="A43:D43"/>
    <mergeCell ref="A47:D47"/>
    <mergeCell ref="A49:D49"/>
    <mergeCell ref="A26:D26"/>
    <mergeCell ref="A27:D27"/>
    <mergeCell ref="A29:D29"/>
    <mergeCell ref="B31:D31"/>
    <mergeCell ref="A32:D32"/>
    <mergeCell ref="A33:D33"/>
    <mergeCell ref="A18:D18"/>
    <mergeCell ref="A19:D19"/>
    <mergeCell ref="A21:D21"/>
    <mergeCell ref="A22:D22"/>
    <mergeCell ref="A24:D24"/>
    <mergeCell ref="A25:D25"/>
    <mergeCell ref="A10:D10"/>
    <mergeCell ref="A11:D11"/>
    <mergeCell ref="A13:D13"/>
    <mergeCell ref="A14:D14"/>
    <mergeCell ref="A15:D15"/>
    <mergeCell ref="A17:D17"/>
    <mergeCell ref="A3:D8"/>
    <mergeCell ref="E3:J3"/>
    <mergeCell ref="K3:M3"/>
    <mergeCell ref="N3:O8"/>
    <mergeCell ref="E4:J4"/>
    <mergeCell ref="K4:M4"/>
  </mergeCells>
  <pageMargins left="0.59055118110236227" right="0.35433070866141736" top="0.59055118110236227" bottom="0.39370078740157483" header="0.51181102362204722" footer="0.51181102362204722"/>
  <pageSetup paperSize="9" scale="75" orientation="landscape" horizontalDpi="1200" verticalDpi="1200" r:id="rId1"/>
  <headerFooter alignWithMargins="0"/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T-16.2</vt:lpstr>
      <vt:lpstr>'T-16.2'!Print_Area</vt:lpstr>
      <vt:lpstr>'T-16.2'!Print_Titles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2015-11-03T06:34:22Z</dcterms:created>
  <dcterms:modified xsi:type="dcterms:W3CDTF">2015-11-03T06:36:39Z</dcterms:modified>
</cp:coreProperties>
</file>