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7.3" sheetId="1" r:id="rId1"/>
  </sheets>
  <definedNames>
    <definedName name="_xlnm.Print_Area" localSheetId="0">'T-7.3'!$A$1:$AC$25</definedName>
  </definedNames>
  <calcPr calcId="125725"/>
</workbook>
</file>

<file path=xl/calcChain.xml><?xml version="1.0" encoding="utf-8"?>
<calcChain xmlns="http://schemas.openxmlformats.org/spreadsheetml/2006/main">
  <c r="S20" i="1"/>
  <c r="O20"/>
  <c r="N20"/>
  <c r="M20"/>
  <c r="L20"/>
  <c r="K20"/>
  <c r="J20"/>
  <c r="I20"/>
  <c r="H20"/>
  <c r="G20"/>
  <c r="S17"/>
  <c r="O17"/>
  <c r="N17"/>
  <c r="M17"/>
  <c r="L17"/>
  <c r="K17"/>
  <c r="J17"/>
  <c r="I17"/>
  <c r="H17"/>
  <c r="G17"/>
  <c r="S16"/>
  <c r="O16"/>
  <c r="N16"/>
  <c r="M16"/>
  <c r="L16"/>
  <c r="K16"/>
  <c r="J16"/>
  <c r="I16"/>
  <c r="H16"/>
  <c r="G16"/>
  <c r="U15"/>
  <c r="T15"/>
  <c r="S15" s="1"/>
  <c r="O15"/>
  <c r="N15"/>
  <c r="M15"/>
  <c r="L15"/>
  <c r="K15"/>
  <c r="J15"/>
  <c r="I15"/>
  <c r="H15"/>
  <c r="G15"/>
  <c r="S14"/>
  <c r="L14"/>
  <c r="K14"/>
  <c r="J14"/>
  <c r="I14"/>
  <c r="H14"/>
  <c r="G14"/>
  <c r="S13"/>
  <c r="O13"/>
  <c r="N13"/>
  <c r="M13"/>
  <c r="L13"/>
  <c r="K13"/>
  <c r="J13"/>
  <c r="I13"/>
  <c r="H13"/>
  <c r="G13"/>
  <c r="S12"/>
  <c r="O12"/>
  <c r="N12"/>
  <c r="M12"/>
  <c r="L12"/>
  <c r="K12"/>
  <c r="J12"/>
  <c r="I12"/>
  <c r="H12"/>
  <c r="G12"/>
  <c r="S11"/>
  <c r="O11"/>
  <c r="N11"/>
  <c r="M11"/>
  <c r="L11"/>
  <c r="K11"/>
  <c r="J11"/>
  <c r="I11"/>
  <c r="H11"/>
  <c r="G11"/>
  <c r="U10"/>
  <c r="U9" s="1"/>
  <c r="T10"/>
  <c r="S10" s="1"/>
  <c r="P10"/>
  <c r="O10"/>
  <c r="N10"/>
  <c r="M10"/>
  <c r="M9" s="1"/>
  <c r="L10"/>
  <c r="K10"/>
  <c r="J10"/>
  <c r="I10"/>
  <c r="H10"/>
  <c r="G10"/>
  <c r="P9"/>
  <c r="O9"/>
  <c r="N9"/>
  <c r="L9"/>
  <c r="K9"/>
  <c r="J9"/>
  <c r="I9"/>
  <c r="H9"/>
  <c r="G9"/>
  <c r="T9" l="1"/>
  <c r="S9" s="1"/>
</calcChain>
</file>

<file path=xl/sharedStrings.xml><?xml version="1.0" encoding="utf-8"?>
<sst xmlns="http://schemas.openxmlformats.org/spreadsheetml/2006/main" count="95" uniqueCount="51">
  <si>
    <t>ตาราง</t>
  </si>
  <si>
    <t>ประชากรอายุ 15 ปีขึ้นไป จำแนกตามเพศ และสถานภาพแรงงาน เป็นรายไตรมาส พ.ศ. 2559 - 2560</t>
  </si>
  <si>
    <t>Table</t>
  </si>
  <si>
    <t>Population Aged 15 Years and Over by Sex, Labour Force Status and Quarterly: 2016 - 2017</t>
  </si>
  <si>
    <t>(หน่วยเป็นพัน  In thousands)</t>
  </si>
  <si>
    <t>2559 (2016)</t>
  </si>
  <si>
    <t>2560 (2017)</t>
  </si>
  <si>
    <t>สถานภาพแรงงาน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</si>
  <si>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</si>
  <si>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</si>
  <si>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</si>
  <si>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</si>
  <si>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>Labour force status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</si>
  <si>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</si>
  <si>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</si>
  <si>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</si>
  <si>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</si>
  <si>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</si>
  <si>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</si>
  <si>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</si>
  <si>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</si>
  <si>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</si>
  <si>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</si>
  <si>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</si>
  <si>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กำลังแรงงานรวม</t>
  </si>
  <si>
    <t>Total  labour  force</t>
  </si>
  <si>
    <t>1. กำลังแรงงานปัจจุบัน</t>
  </si>
  <si>
    <t>1.  Current  labour force</t>
  </si>
  <si>
    <t>1.1  ผู้มีงานทำ</t>
  </si>
  <si>
    <t>1.1.  Employed</t>
  </si>
  <si>
    <t>1.2  ผู้ว่างงาน</t>
  </si>
  <si>
    <t>1.2  Unemployed</t>
  </si>
  <si>
    <t>2.  กำลังแรงงานที่รอฤดูกาล</t>
  </si>
  <si>
    <t>-</t>
  </si>
  <si>
    <t>2. Seasonally inactive labour force</t>
  </si>
  <si>
    <t>ผู้ไม่อยู่ในกำลังแรงงาน</t>
  </si>
  <si>
    <t>Persons not in labour force</t>
  </si>
  <si>
    <t>1. ทำงานบ้าน</t>
  </si>
  <si>
    <t>1. Household work</t>
  </si>
  <si>
    <t>2. เรียนหนังสือ</t>
  </si>
  <si>
    <t>2. Studies</t>
  </si>
  <si>
    <t>3. ยังเด็ก ชรา/</t>
  </si>
  <si>
    <t>3. Too young/old/</t>
  </si>
  <si>
    <t>ไม่สามารถทำงานได้</t>
  </si>
  <si>
    <t>incapable of work</t>
  </si>
  <si>
    <t>4. อื่นๆ</t>
  </si>
  <si>
    <t>4. Others</t>
  </si>
  <si>
    <t>ที่มา:</t>
  </si>
  <si>
    <t xml:space="preserve"> สำรวจภาวะการทำงานของประชากร พ.ศ. 2559 - 2560 ระดับจังหวัด  สำนักงานสถิติแห่งชาติ</t>
  </si>
  <si>
    <t>Source:</t>
  </si>
  <si>
    <t>Labour Force Survey: 2016 - 2017, Provincial level,  National Statistical Office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</si>
</sst>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2"/>
      <color rgb="FFFF0000"/>
      <name val="TH SarabunPSK"/>
      <family val="2"/>
    </font>
    <font>
      <b/>
      <sz val="12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1" xfId="1" applyFont="1" applyBorder="1"/>
    <xf numFmtId="0" fontId="5" fillId="0" borderId="1" xfId="1" applyFont="1" applyBorder="1" applyAlignment="1">
      <alignment horizontal="right" vertical="center"/>
    </xf>
    <xf numFmtId="0" fontId="4" fillId="0" borderId="0" xfId="1" applyFont="1"/>
    <xf numFmtId="0" fontId="4" fillId="0" borderId="2" xfId="1" applyFont="1" applyBorder="1"/>
    <xf numFmtId="0" fontId="4" fillId="0" borderId="3" xfId="1" applyFont="1" applyBorder="1"/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5" fillId="0" borderId="2" xfId="1" applyFont="1" applyBorder="1" applyAlignment="1">
      <alignment horizontal="right"/>
    </xf>
    <xf numFmtId="0" fontId="6" fillId="0" borderId="0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/>
    <xf numFmtId="0" fontId="6" fillId="0" borderId="9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1" xfId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7" xfId="1" applyFont="1" applyBorder="1" applyAlignment="1">
      <alignment horizontal="center"/>
    </xf>
    <xf numFmtId="4" fontId="8" fillId="0" borderId="11" xfId="1" applyNumberFormat="1" applyFont="1" applyBorder="1" applyAlignment="1">
      <alignment horizontal="right"/>
    </xf>
    <xf numFmtId="4" fontId="8" fillId="0" borderId="14" xfId="1" applyNumberFormat="1" applyFont="1" applyBorder="1" applyAlignment="1">
      <alignment horizontal="right"/>
    </xf>
    <xf numFmtId="4" fontId="8" fillId="0" borderId="7" xfId="1" applyNumberFormat="1" applyFont="1" applyBorder="1" applyAlignment="1">
      <alignment horizontal="right"/>
    </xf>
    <xf numFmtId="4" fontId="8" fillId="0" borderId="0" xfId="1" applyNumberFormat="1" applyFont="1" applyAlignment="1">
      <alignment horizontal="right"/>
    </xf>
    <xf numFmtId="4" fontId="7" fillId="0" borderId="0" xfId="1" applyNumberFormat="1" applyFont="1" applyBorder="1"/>
    <xf numFmtId="4" fontId="7" fillId="0" borderId="0" xfId="1" applyNumberFormat="1" applyFont="1" applyBorder="1" applyAlignment="1">
      <alignment horizontal="center"/>
    </xf>
    <xf numFmtId="0" fontId="7" fillId="0" borderId="0" xfId="1" applyFont="1"/>
    <xf numFmtId="4" fontId="7" fillId="0" borderId="0" xfId="1" applyNumberFormat="1" applyFont="1"/>
    <xf numFmtId="4" fontId="5" fillId="0" borderId="7" xfId="1" applyNumberFormat="1" applyFont="1" applyBorder="1" applyAlignment="1">
      <alignment horizontal="right"/>
    </xf>
    <xf numFmtId="4" fontId="5" fillId="0" borderId="11" xfId="1" applyNumberFormat="1" applyFont="1" applyBorder="1" applyAlignment="1">
      <alignment horizontal="right"/>
    </xf>
    <xf numFmtId="4" fontId="5" fillId="0" borderId="14" xfId="1" applyNumberFormat="1" applyFont="1" applyBorder="1" applyAlignment="1">
      <alignment horizontal="right"/>
    </xf>
    <xf numFmtId="4" fontId="5" fillId="0" borderId="0" xfId="1" applyNumberFormat="1" applyFont="1" applyAlignment="1">
      <alignment horizontal="right"/>
    </xf>
    <xf numFmtId="4" fontId="6" fillId="0" borderId="0" xfId="1" applyNumberFormat="1" applyFont="1" applyBorder="1"/>
    <xf numFmtId="0" fontId="9" fillId="0" borderId="0" xfId="1" applyFont="1"/>
    <xf numFmtId="0" fontId="10" fillId="0" borderId="0" xfId="1" applyFont="1"/>
    <xf numFmtId="4" fontId="4" fillId="0" borderId="9" xfId="1" applyNumberFormat="1" applyFont="1" applyBorder="1" applyAlignment="1">
      <alignment horizontal="right"/>
    </xf>
    <xf numFmtId="4" fontId="4" fillId="0" borderId="13" xfId="1" applyNumberFormat="1" applyFont="1" applyBorder="1" applyAlignment="1">
      <alignment horizontal="right"/>
    </xf>
    <xf numFmtId="4" fontId="4" fillId="0" borderId="10" xfId="1" applyNumberFormat="1" applyFont="1" applyBorder="1" applyAlignment="1">
      <alignment horizontal="right"/>
    </xf>
    <xf numFmtId="4" fontId="4" fillId="0" borderId="1" xfId="1" applyNumberFormat="1" applyFont="1" applyBorder="1" applyAlignment="1">
      <alignment horizontal="right"/>
    </xf>
    <xf numFmtId="4" fontId="4" fillId="0" borderId="1" xfId="1" applyNumberFormat="1" applyFont="1" applyBorder="1"/>
    <xf numFmtId="0" fontId="6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</cellXfs>
  <cellStyles count="5">
    <cellStyle name="Comma 2" xfId="2"/>
    <cellStyle name="Comma 2 2" xfId="3"/>
    <cellStyle name="Normal 2" xfId="1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E28"/>
  <sheetViews>
    <sheetView showGridLines="0" tabSelected="1" view="pageBreakPreview" zoomScaleSheetLayoutView="100" workbookViewId="0">
      <selection activeCell="U18" sqref="U18"/>
    </sheetView>
  </sheetViews>
  <sheetFormatPr defaultRowHeight="21.75"/>
  <cols>
    <col min="1" max="1" width="1.375" style="6" customWidth="1"/>
    <col min="2" max="2" width="1.25" style="6" customWidth="1"/>
    <col min="3" max="3" width="2.25" style="6" customWidth="1"/>
    <col min="4" max="4" width="1.5" style="6" customWidth="1"/>
    <col min="5" max="5" width="3.625" style="6" customWidth="1"/>
    <col min="6" max="6" width="8.875" style="6" customWidth="1"/>
    <col min="7" max="8" width="5.625" style="6" customWidth="1"/>
    <col min="9" max="9" width="6.25" style="6" customWidth="1"/>
    <col min="10" max="18" width="5.625" style="6" customWidth="1"/>
    <col min="19" max="19" width="6.125" style="6" customWidth="1"/>
    <col min="20" max="21" width="5.625" style="6" customWidth="1"/>
    <col min="22" max="22" width="0.875" style="6" customWidth="1"/>
    <col min="23" max="23" width="1.375" style="6" customWidth="1"/>
    <col min="24" max="24" width="1.125" style="6" customWidth="1"/>
    <col min="25" max="25" width="1" style="6" customWidth="1"/>
    <col min="26" max="26" width="9" style="6"/>
    <col min="27" max="27" width="11" style="6" customWidth="1"/>
    <col min="28" max="28" width="2" style="6" customWidth="1"/>
    <col min="29" max="29" width="5" style="6" customWidth="1"/>
    <col min="30" max="16384" width="9" style="6"/>
  </cols>
  <sheetData>
    <row r="1" spans="1:31" s="1" customFormat="1" ht="23.25" customHeight="1">
      <c r="B1" s="2" t="s">
        <v>0</v>
      </c>
      <c r="C1" s="2"/>
      <c r="D1" s="2"/>
      <c r="E1" s="3">
        <v>7.3</v>
      </c>
      <c r="F1" s="2" t="s">
        <v>1</v>
      </c>
    </row>
    <row r="2" spans="1:31" s="1" customFormat="1" ht="19.5" customHeight="1">
      <c r="B2" s="2" t="s">
        <v>2</v>
      </c>
      <c r="C2" s="2"/>
      <c r="D2" s="2"/>
      <c r="E2" s="3">
        <v>7.3</v>
      </c>
      <c r="F2" s="2" t="s">
        <v>3</v>
      </c>
    </row>
    <row r="3" spans="1:31" ht="13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 t="s">
        <v>4</v>
      </c>
      <c r="X3" s="5"/>
      <c r="Y3" s="5"/>
      <c r="Z3" s="5"/>
      <c r="AA3" s="5"/>
    </row>
    <row r="4" spans="1:31" ht="20.25" customHeight="1">
      <c r="A4" s="7"/>
      <c r="B4" s="7"/>
      <c r="C4" s="7"/>
      <c r="D4" s="7"/>
      <c r="E4" s="7"/>
      <c r="F4" s="8"/>
      <c r="G4" s="9" t="s">
        <v>5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1"/>
      <c r="S4" s="9" t="s">
        <v>6</v>
      </c>
      <c r="T4" s="10"/>
      <c r="U4" s="11"/>
      <c r="V4" s="12"/>
      <c r="W4" s="13"/>
      <c r="X4" s="13"/>
      <c r="Y4" s="13"/>
      <c r="Z4" s="13"/>
      <c r="AA4" s="13"/>
    </row>
    <row r="5" spans="1:31" s="20" customFormat="1" ht="20.25" customHeight="1">
      <c r="A5" s="14" t="s">
        <v>7</v>
      </c>
      <c r="B5" s="14"/>
      <c r="C5" s="14"/>
      <c r="D5" s="14"/>
      <c r="E5" s="14"/>
      <c r="F5" s="15"/>
      <c r="G5" s="16" t="s">
        <v>8</v>
      </c>
      <c r="H5" s="16"/>
      <c r="I5" s="17"/>
      <c r="J5" s="16" t="s">
        <v>9</v>
      </c>
      <c r="K5" s="16"/>
      <c r="L5" s="17"/>
      <c r="M5" s="18" t="s">
        <v>10</v>
      </c>
      <c r="N5" s="16"/>
      <c r="O5" s="17"/>
      <c r="P5" s="18" t="s">
        <v>11</v>
      </c>
      <c r="Q5" s="16"/>
      <c r="R5" s="17"/>
      <c r="S5" s="16" t="s">
        <v>8</v>
      </c>
      <c r="T5" s="16"/>
      <c r="U5" s="17"/>
      <c r="V5" s="19"/>
      <c r="W5" s="14" t="s">
        <v>12</v>
      </c>
      <c r="X5" s="14"/>
      <c r="Y5" s="14"/>
      <c r="Z5" s="14"/>
      <c r="AA5" s="14"/>
    </row>
    <row r="6" spans="1:31" s="20" customFormat="1" ht="20.25" customHeight="1">
      <c r="A6" s="14"/>
      <c r="B6" s="14"/>
      <c r="C6" s="14"/>
      <c r="D6" s="14"/>
      <c r="E6" s="14"/>
      <c r="F6" s="15"/>
      <c r="G6" s="21" t="s">
        <v>13</v>
      </c>
      <c r="H6" s="22"/>
      <c r="I6" s="23"/>
      <c r="J6" s="21" t="s">
        <v>14</v>
      </c>
      <c r="K6" s="22"/>
      <c r="L6" s="23"/>
      <c r="M6" s="21" t="s">
        <v>15</v>
      </c>
      <c r="N6" s="22"/>
      <c r="O6" s="23"/>
      <c r="P6" s="21" t="s">
        <v>16</v>
      </c>
      <c r="Q6" s="22"/>
      <c r="R6" s="23"/>
      <c r="S6" s="21" t="s">
        <v>13</v>
      </c>
      <c r="T6" s="22"/>
      <c r="U6" s="23"/>
      <c r="V6" s="19"/>
      <c r="W6" s="14"/>
      <c r="X6" s="14"/>
      <c r="Y6" s="14"/>
      <c r="Z6" s="14"/>
      <c r="AA6" s="14"/>
    </row>
    <row r="7" spans="1:31" s="20" customFormat="1" ht="20.25" customHeight="1">
      <c r="A7" s="14"/>
      <c r="B7" s="14"/>
      <c r="C7" s="14"/>
      <c r="D7" s="14"/>
      <c r="E7" s="14"/>
      <c r="F7" s="15"/>
      <c r="G7" s="24" t="s">
        <v>17</v>
      </c>
      <c r="H7" s="25" t="s">
        <v>18</v>
      </c>
      <c r="I7" s="26" t="s">
        <v>19</v>
      </c>
      <c r="J7" s="24" t="s">
        <v>17</v>
      </c>
      <c r="K7" s="25" t="s">
        <v>18</v>
      </c>
      <c r="L7" s="26" t="s">
        <v>19</v>
      </c>
      <c r="M7" s="24" t="s">
        <v>17</v>
      </c>
      <c r="N7" s="25" t="s">
        <v>18</v>
      </c>
      <c r="O7" s="26" t="s">
        <v>19</v>
      </c>
      <c r="P7" s="24" t="s">
        <v>17</v>
      </c>
      <c r="Q7" s="25" t="s">
        <v>18</v>
      </c>
      <c r="R7" s="26" t="s">
        <v>19</v>
      </c>
      <c r="S7" s="25" t="s">
        <v>17</v>
      </c>
      <c r="T7" s="25" t="s">
        <v>18</v>
      </c>
      <c r="U7" s="26" t="s">
        <v>19</v>
      </c>
      <c r="V7" s="27"/>
      <c r="W7" s="14"/>
      <c r="X7" s="14"/>
      <c r="Y7" s="14"/>
      <c r="Z7" s="14"/>
      <c r="AA7" s="14"/>
    </row>
    <row r="8" spans="1:31" s="20" customFormat="1" ht="20.25" customHeight="1">
      <c r="A8" s="28"/>
      <c r="B8" s="28"/>
      <c r="C8" s="28"/>
      <c r="D8" s="28"/>
      <c r="E8" s="28"/>
      <c r="F8" s="29"/>
      <c r="G8" s="30" t="s">
        <v>20</v>
      </c>
      <c r="H8" s="31" t="s">
        <v>21</v>
      </c>
      <c r="I8" s="32" t="s">
        <v>22</v>
      </c>
      <c r="J8" s="30" t="s">
        <v>20</v>
      </c>
      <c r="K8" s="31" t="s">
        <v>21</v>
      </c>
      <c r="L8" s="32" t="s">
        <v>22</v>
      </c>
      <c r="M8" s="30" t="s">
        <v>20</v>
      </c>
      <c r="N8" s="31" t="s">
        <v>21</v>
      </c>
      <c r="O8" s="32" t="s">
        <v>22</v>
      </c>
      <c r="P8" s="30" t="s">
        <v>20</v>
      </c>
      <c r="Q8" s="31" t="s">
        <v>21</v>
      </c>
      <c r="R8" s="32" t="s">
        <v>22</v>
      </c>
      <c r="S8" s="31" t="s">
        <v>20</v>
      </c>
      <c r="T8" s="31" t="s">
        <v>21</v>
      </c>
      <c r="U8" s="32" t="s">
        <v>22</v>
      </c>
      <c r="V8" s="33"/>
      <c r="W8" s="28"/>
      <c r="X8" s="28"/>
      <c r="Y8" s="28"/>
      <c r="Z8" s="28"/>
      <c r="AA8" s="28"/>
    </row>
    <row r="9" spans="1:31" s="42" customFormat="1" ht="24" customHeight="1">
      <c r="A9" s="34" t="s">
        <v>23</v>
      </c>
      <c r="B9" s="34"/>
      <c r="C9" s="34"/>
      <c r="D9" s="34"/>
      <c r="E9" s="34"/>
      <c r="F9" s="35"/>
      <c r="G9" s="36">
        <f>854168/1000</f>
        <v>854.16800000000001</v>
      </c>
      <c r="H9" s="37">
        <f>406017/1000</f>
        <v>406.017</v>
      </c>
      <c r="I9" s="38">
        <f>4481515/1000</f>
        <v>4481.5150000000003</v>
      </c>
      <c r="J9" s="36">
        <f>855282/1000</f>
        <v>855.28200000000004</v>
      </c>
      <c r="K9" s="37">
        <f>406445/1000</f>
        <v>406.44499999999999</v>
      </c>
      <c r="L9" s="38">
        <f>448837/1000</f>
        <v>448.83699999999999</v>
      </c>
      <c r="M9" s="39">
        <f>SUM(M10,M15)</f>
        <v>856.38099999999997</v>
      </c>
      <c r="N9" s="37">
        <f>406949/1000</f>
        <v>406.94900000000001</v>
      </c>
      <c r="O9" s="39">
        <f>449432/1000</f>
        <v>449.43200000000002</v>
      </c>
      <c r="P9" s="36">
        <f>857054/1000</f>
        <v>857.05399999999997</v>
      </c>
      <c r="Q9" s="37">
        <v>407.21</v>
      </c>
      <c r="R9" s="38">
        <v>449.85</v>
      </c>
      <c r="S9" s="38">
        <f>SUM(T9:U9)</f>
        <v>857.92000000000007</v>
      </c>
      <c r="T9" s="38">
        <f>SUM(T10,T15)</f>
        <v>407.55000000000007</v>
      </c>
      <c r="U9" s="38">
        <f>SUM(U10,U15)</f>
        <v>450.37</v>
      </c>
      <c r="V9" s="40"/>
      <c r="W9" s="41" t="s">
        <v>20</v>
      </c>
      <c r="X9" s="41"/>
      <c r="Y9" s="41"/>
      <c r="Z9" s="41"/>
      <c r="AA9" s="41"/>
      <c r="AC9" s="43"/>
      <c r="AE9" s="43"/>
    </row>
    <row r="10" spans="1:31" s="42" customFormat="1" ht="24" customHeight="1">
      <c r="A10" s="42" t="s">
        <v>24</v>
      </c>
      <c r="G10" s="36">
        <f>523411/1000</f>
        <v>523.41099999999994</v>
      </c>
      <c r="H10" s="37">
        <f>287964/1000</f>
        <v>287.964</v>
      </c>
      <c r="I10" s="38">
        <f>235448/1000</f>
        <v>235.44800000000001</v>
      </c>
      <c r="J10" s="36">
        <f>537776/1000</f>
        <v>537.77599999999995</v>
      </c>
      <c r="K10" s="37">
        <f>299482/1000</f>
        <v>299.48200000000003</v>
      </c>
      <c r="L10" s="38">
        <f>238294/1000</f>
        <v>238.29400000000001</v>
      </c>
      <c r="M10" s="39">
        <f>552962/1000</f>
        <v>552.96199999999999</v>
      </c>
      <c r="N10" s="37">
        <f>297515/1000</f>
        <v>297.51499999999999</v>
      </c>
      <c r="O10" s="39">
        <f>255447/1000</f>
        <v>255.447</v>
      </c>
      <c r="P10" s="36">
        <f>514276/1000</f>
        <v>514.27599999999995</v>
      </c>
      <c r="Q10" s="37">
        <v>290.12</v>
      </c>
      <c r="R10" s="38">
        <v>224.15</v>
      </c>
      <c r="S10" s="38">
        <f>SUM(T10:U10)</f>
        <v>515.93000000000006</v>
      </c>
      <c r="T10" s="44">
        <f>SUM(T11,T14)</f>
        <v>282.46000000000004</v>
      </c>
      <c r="U10" s="44">
        <f>SUM(U11,U14)</f>
        <v>233.47</v>
      </c>
      <c r="V10" s="40"/>
      <c r="W10" s="40" t="s">
        <v>25</v>
      </c>
      <c r="X10" s="40"/>
      <c r="Y10" s="40"/>
      <c r="Z10" s="40"/>
      <c r="AA10" s="40"/>
      <c r="AE10" s="43"/>
    </row>
    <row r="11" spans="1:31" s="49" customFormat="1" ht="24" customHeight="1">
      <c r="A11" s="20"/>
      <c r="B11" s="20" t="s">
        <v>26</v>
      </c>
      <c r="C11" s="20"/>
      <c r="D11" s="20"/>
      <c r="E11" s="20"/>
      <c r="F11" s="20"/>
      <c r="G11" s="45">
        <f>515782/1000</f>
        <v>515.78200000000004</v>
      </c>
      <c r="H11" s="46">
        <f>282093/1000</f>
        <v>282.09300000000002</v>
      </c>
      <c r="I11" s="44">
        <f>233689/1000</f>
        <v>233.68899999999999</v>
      </c>
      <c r="J11" s="45">
        <f>522430/1000</f>
        <v>522.42999999999995</v>
      </c>
      <c r="K11" s="46">
        <f>288697/1000</f>
        <v>288.697</v>
      </c>
      <c r="L11" s="44">
        <f>233733/1000</f>
        <v>233.733</v>
      </c>
      <c r="M11" s="47">
        <f>552962/1000</f>
        <v>552.96199999999999</v>
      </c>
      <c r="N11" s="46">
        <f>297515/1000</f>
        <v>297.51499999999999</v>
      </c>
      <c r="O11" s="47">
        <f>255447/1000</f>
        <v>255.447</v>
      </c>
      <c r="P11" s="45">
        <v>507.32</v>
      </c>
      <c r="Q11" s="46">
        <v>284.77999999999997</v>
      </c>
      <c r="R11" s="44">
        <v>222.55</v>
      </c>
      <c r="S11" s="44">
        <f>SUM(T11:U11)</f>
        <v>501.4</v>
      </c>
      <c r="T11" s="44">
        <v>272.92</v>
      </c>
      <c r="U11" s="44">
        <v>228.48</v>
      </c>
      <c r="V11" s="48"/>
      <c r="W11" s="48"/>
      <c r="X11" s="48" t="s">
        <v>27</v>
      </c>
      <c r="Y11" s="48"/>
      <c r="Z11" s="48"/>
      <c r="AA11" s="48"/>
    </row>
    <row r="12" spans="1:31" s="20" customFormat="1" ht="24" customHeight="1">
      <c r="C12" s="20" t="s">
        <v>28</v>
      </c>
      <c r="G12" s="45">
        <f>512240/1000</f>
        <v>512.24</v>
      </c>
      <c r="H12" s="46">
        <f>279398/1000</f>
        <v>279.39800000000002</v>
      </c>
      <c r="I12" s="44">
        <f>232842/1000</f>
        <v>232.84200000000001</v>
      </c>
      <c r="J12" s="45">
        <f>517890/1000</f>
        <v>517.89</v>
      </c>
      <c r="K12" s="46">
        <f>285344/1000</f>
        <v>285.34399999999999</v>
      </c>
      <c r="L12" s="44">
        <f>232545/1000</f>
        <v>232.54499999999999</v>
      </c>
      <c r="M12" s="47">
        <f>548432/1000</f>
        <v>548.43200000000002</v>
      </c>
      <c r="N12" s="46">
        <f>294895/1000</f>
        <v>294.89499999999998</v>
      </c>
      <c r="O12" s="47">
        <f>253537/1000</f>
        <v>253.53700000000001</v>
      </c>
      <c r="P12" s="45">
        <v>502.93</v>
      </c>
      <c r="Q12" s="46">
        <v>282.14999999999998</v>
      </c>
      <c r="R12" s="44">
        <v>220.79</v>
      </c>
      <c r="S12" s="44">
        <f t="shared" ref="S12:S14" si="0">SUM(T12:U12)</f>
        <v>497.55999999999995</v>
      </c>
      <c r="T12" s="44">
        <v>270.27</v>
      </c>
      <c r="U12" s="44">
        <v>227.29</v>
      </c>
      <c r="V12" s="48"/>
      <c r="W12" s="48"/>
      <c r="X12" s="48"/>
      <c r="Y12" s="48" t="s">
        <v>29</v>
      </c>
      <c r="Z12" s="48"/>
      <c r="AA12" s="48"/>
    </row>
    <row r="13" spans="1:31" s="20" customFormat="1" ht="24" customHeight="1">
      <c r="C13" s="20" t="s">
        <v>30</v>
      </c>
      <c r="G13" s="45">
        <f>3542/1000</f>
        <v>3.5419999999999998</v>
      </c>
      <c r="H13" s="46">
        <f>2695/1000</f>
        <v>2.6949999999999998</v>
      </c>
      <c r="I13" s="44">
        <f>847/1000</f>
        <v>0.84699999999999998</v>
      </c>
      <c r="J13" s="45">
        <f>4541/1000</f>
        <v>4.5410000000000004</v>
      </c>
      <c r="K13" s="46">
        <f>3353/1000</f>
        <v>3.3530000000000002</v>
      </c>
      <c r="L13" s="44">
        <f>1188/1000</f>
        <v>1.1879999999999999</v>
      </c>
      <c r="M13" s="47">
        <f>4530/1000</f>
        <v>4.53</v>
      </c>
      <c r="N13" s="46">
        <f>2621/1000</f>
        <v>2.621</v>
      </c>
      <c r="O13" s="47">
        <f>1910/1000</f>
        <v>1.91</v>
      </c>
      <c r="P13" s="45">
        <v>4.3899999999999997</v>
      </c>
      <c r="Q13" s="46">
        <v>2.63</v>
      </c>
      <c r="R13" s="44">
        <v>1.76</v>
      </c>
      <c r="S13" s="44">
        <f t="shared" si="0"/>
        <v>3.84</v>
      </c>
      <c r="T13" s="44">
        <v>2.65</v>
      </c>
      <c r="U13" s="44">
        <v>1.19</v>
      </c>
      <c r="V13" s="48"/>
      <c r="W13" s="48"/>
      <c r="X13" s="48"/>
      <c r="Y13" s="48" t="s">
        <v>31</v>
      </c>
      <c r="Z13" s="48"/>
      <c r="AA13" s="48"/>
    </row>
    <row r="14" spans="1:31" s="20" customFormat="1" ht="24" customHeight="1">
      <c r="B14" s="20" t="s">
        <v>32</v>
      </c>
      <c r="G14" s="45">
        <f>7629/1000</f>
        <v>7.6289999999999996</v>
      </c>
      <c r="H14" s="46">
        <f>5870/1000</f>
        <v>5.87</v>
      </c>
      <c r="I14" s="44">
        <f>1759/1000</f>
        <v>1.7589999999999999</v>
      </c>
      <c r="J14" s="45">
        <f>15346/1000</f>
        <v>15.346</v>
      </c>
      <c r="K14" s="46">
        <f>10785/1000</f>
        <v>10.785</v>
      </c>
      <c r="L14" s="44">
        <f>4561/1000</f>
        <v>4.5609999999999999</v>
      </c>
      <c r="M14" s="47" t="s">
        <v>33</v>
      </c>
      <c r="N14" s="46" t="s">
        <v>33</v>
      </c>
      <c r="O14" s="47" t="s">
        <v>33</v>
      </c>
      <c r="P14" s="45">
        <v>6.96</v>
      </c>
      <c r="Q14" s="46">
        <v>5.35</v>
      </c>
      <c r="R14" s="44">
        <v>1.6</v>
      </c>
      <c r="S14" s="44">
        <f t="shared" si="0"/>
        <v>14.53</v>
      </c>
      <c r="T14" s="44">
        <v>9.5399999999999991</v>
      </c>
      <c r="U14" s="44">
        <v>4.99</v>
      </c>
      <c r="V14" s="48"/>
      <c r="W14" s="48"/>
      <c r="X14" s="48" t="s">
        <v>34</v>
      </c>
      <c r="Y14" s="48"/>
      <c r="Z14" s="48"/>
      <c r="AA14" s="48"/>
    </row>
    <row r="15" spans="1:31" s="50" customFormat="1" ht="24" customHeight="1">
      <c r="A15" s="42" t="s">
        <v>35</v>
      </c>
      <c r="B15" s="42"/>
      <c r="C15" s="42"/>
      <c r="D15" s="42"/>
      <c r="E15" s="42"/>
      <c r="F15" s="42"/>
      <c r="G15" s="36">
        <f>330757/1000</f>
        <v>330.75700000000001</v>
      </c>
      <c r="H15" s="37">
        <f>118053/1000</f>
        <v>118.053</v>
      </c>
      <c r="I15" s="38">
        <f>212703/1000</f>
        <v>212.703</v>
      </c>
      <c r="J15" s="36">
        <f>317506/1000</f>
        <v>317.50599999999997</v>
      </c>
      <c r="K15" s="37">
        <f>106963/1000</f>
        <v>106.96299999999999</v>
      </c>
      <c r="L15" s="38">
        <f>210543/1000</f>
        <v>210.54300000000001</v>
      </c>
      <c r="M15" s="39">
        <f>303419/1000</f>
        <v>303.41899999999998</v>
      </c>
      <c r="N15" s="37">
        <f>109434/1000</f>
        <v>109.434</v>
      </c>
      <c r="O15" s="39">
        <f>193985/1000</f>
        <v>193.98500000000001</v>
      </c>
      <c r="P15" s="36">
        <v>342.78</v>
      </c>
      <c r="Q15" s="37">
        <v>117.08</v>
      </c>
      <c r="R15" s="38">
        <v>225.7</v>
      </c>
      <c r="S15" s="38">
        <f>SUM(T15:U15)</f>
        <v>341.99</v>
      </c>
      <c r="T15" s="38">
        <f>SUM(T16:T20)</f>
        <v>125.09</v>
      </c>
      <c r="U15" s="38">
        <f>SUM(U16:U20)</f>
        <v>216.9</v>
      </c>
      <c r="V15" s="40"/>
      <c r="W15" s="40" t="s">
        <v>36</v>
      </c>
      <c r="X15" s="40"/>
      <c r="Y15" s="40"/>
      <c r="Z15" s="40"/>
      <c r="AA15" s="40"/>
    </row>
    <row r="16" spans="1:31" s="20" customFormat="1" ht="24" customHeight="1">
      <c r="B16" s="20" t="s">
        <v>37</v>
      </c>
      <c r="G16" s="45">
        <f>88649/1000</f>
        <v>88.649000000000001</v>
      </c>
      <c r="H16" s="46">
        <f>3762/1000</f>
        <v>3.762</v>
      </c>
      <c r="I16" s="44">
        <f>84886/1000</f>
        <v>84.885999999999996</v>
      </c>
      <c r="J16" s="45">
        <f>93706/1000</f>
        <v>93.706000000000003</v>
      </c>
      <c r="K16" s="46">
        <f>1945/1000</f>
        <v>1.9450000000000001</v>
      </c>
      <c r="L16" s="44">
        <f>91761/1000</f>
        <v>91.760999999999996</v>
      </c>
      <c r="M16" s="47">
        <f>67353/1000</f>
        <v>67.352999999999994</v>
      </c>
      <c r="N16" s="46">
        <f>3554/1000</f>
        <v>3.5539999999999998</v>
      </c>
      <c r="O16" s="47">
        <f>63798/1000</f>
        <v>63.798000000000002</v>
      </c>
      <c r="P16" s="45">
        <v>92.64</v>
      </c>
      <c r="Q16" s="46">
        <v>2.08</v>
      </c>
      <c r="R16" s="44">
        <v>90.56</v>
      </c>
      <c r="S16" s="44">
        <f>SUM(T16:U16)</f>
        <v>85.39</v>
      </c>
      <c r="T16" s="44">
        <v>6.64</v>
      </c>
      <c r="U16" s="44">
        <v>78.75</v>
      </c>
      <c r="V16" s="48"/>
      <c r="W16" s="48"/>
      <c r="X16" s="48" t="s">
        <v>38</v>
      </c>
      <c r="Y16" s="48"/>
      <c r="Z16" s="48"/>
      <c r="AA16" s="48"/>
    </row>
    <row r="17" spans="1:27" s="20" customFormat="1" ht="24" customHeight="1">
      <c r="B17" s="20" t="s">
        <v>39</v>
      </c>
      <c r="G17" s="45">
        <f>82925/1000</f>
        <v>82.924999999999997</v>
      </c>
      <c r="H17" s="46">
        <f>36681/1000</f>
        <v>36.680999999999997</v>
      </c>
      <c r="I17" s="44">
        <f>46244/1000</f>
        <v>46.244</v>
      </c>
      <c r="J17" s="45">
        <f>73538/1000</f>
        <v>73.537999999999997</v>
      </c>
      <c r="K17" s="46">
        <f>33612/1000</f>
        <v>33.612000000000002</v>
      </c>
      <c r="L17" s="44">
        <f>39926/1000</f>
        <v>39.926000000000002</v>
      </c>
      <c r="M17" s="47">
        <f>83585/1000</f>
        <v>83.584999999999994</v>
      </c>
      <c r="N17" s="46">
        <f>36782/1000</f>
        <v>36.781999999999996</v>
      </c>
      <c r="O17" s="47">
        <f>46803/1000</f>
        <v>46.802999999999997</v>
      </c>
      <c r="P17" s="45">
        <v>84.07</v>
      </c>
      <c r="Q17" s="46">
        <v>37.159999999999997</v>
      </c>
      <c r="R17" s="44">
        <v>46.91</v>
      </c>
      <c r="S17" s="44">
        <f>SUM(T17:U17)</f>
        <v>87.32</v>
      </c>
      <c r="T17" s="44">
        <v>39.82</v>
      </c>
      <c r="U17" s="44">
        <v>47.5</v>
      </c>
      <c r="V17" s="48"/>
      <c r="W17" s="48"/>
      <c r="X17" s="48" t="s">
        <v>40</v>
      </c>
      <c r="Y17" s="48"/>
      <c r="Z17" s="48"/>
      <c r="AA17" s="48"/>
    </row>
    <row r="18" spans="1:27" s="20" customFormat="1" ht="24" customHeight="1">
      <c r="B18" s="20" t="s">
        <v>41</v>
      </c>
      <c r="G18" s="45"/>
      <c r="H18" s="46"/>
      <c r="I18" s="44"/>
      <c r="J18" s="45"/>
      <c r="K18" s="46"/>
      <c r="L18" s="44"/>
      <c r="M18" s="47"/>
      <c r="N18" s="46"/>
      <c r="O18" s="47"/>
      <c r="P18" s="45"/>
      <c r="Q18" s="46"/>
      <c r="R18" s="44"/>
      <c r="S18" s="44"/>
      <c r="T18" s="44"/>
      <c r="U18" s="44"/>
      <c r="V18" s="48"/>
      <c r="W18" s="48"/>
      <c r="X18" s="48" t="s">
        <v>42</v>
      </c>
      <c r="Y18" s="48"/>
      <c r="Z18" s="48"/>
      <c r="AA18" s="48"/>
    </row>
    <row r="19" spans="1:27" s="20" customFormat="1" ht="24" customHeight="1">
      <c r="C19" s="20" t="s">
        <v>43</v>
      </c>
      <c r="G19" s="45" t="s">
        <v>33</v>
      </c>
      <c r="H19" s="46" t="s">
        <v>33</v>
      </c>
      <c r="I19" s="44" t="s">
        <v>33</v>
      </c>
      <c r="J19" s="45" t="s">
        <v>33</v>
      </c>
      <c r="K19" s="46" t="s">
        <v>33</v>
      </c>
      <c r="L19" s="44" t="s">
        <v>33</v>
      </c>
      <c r="M19" s="47" t="s">
        <v>33</v>
      </c>
      <c r="N19" s="46" t="s">
        <v>33</v>
      </c>
      <c r="O19" s="47" t="s">
        <v>33</v>
      </c>
      <c r="P19" s="45" t="s">
        <v>33</v>
      </c>
      <c r="Q19" s="46" t="s">
        <v>33</v>
      </c>
      <c r="R19" s="44" t="s">
        <v>33</v>
      </c>
      <c r="S19" s="44" t="s">
        <v>33</v>
      </c>
      <c r="T19" s="44" t="s">
        <v>33</v>
      </c>
      <c r="U19" s="44" t="s">
        <v>33</v>
      </c>
      <c r="V19" s="48"/>
      <c r="W19" s="48"/>
      <c r="X19" s="48"/>
      <c r="Y19" s="48"/>
      <c r="Z19" s="48" t="s">
        <v>44</v>
      </c>
      <c r="AA19" s="48"/>
    </row>
    <row r="20" spans="1:27" s="20" customFormat="1" ht="24" customHeight="1">
      <c r="B20" s="20" t="s">
        <v>45</v>
      </c>
      <c r="G20" s="45">
        <f>159183/1000</f>
        <v>159.18299999999999</v>
      </c>
      <c r="H20" s="46">
        <f>77610/1000</f>
        <v>77.61</v>
      </c>
      <c r="I20" s="44">
        <f>81573/1000</f>
        <v>81.572999999999993</v>
      </c>
      <c r="J20" s="45">
        <f>150262/1000</f>
        <v>150.262</v>
      </c>
      <c r="K20" s="46">
        <f>71406/1000</f>
        <v>71.406000000000006</v>
      </c>
      <c r="L20" s="44">
        <f>78856/1000</f>
        <v>78.855999999999995</v>
      </c>
      <c r="M20" s="47">
        <f>152481/1000</f>
        <v>152.48099999999999</v>
      </c>
      <c r="N20" s="46">
        <f>69097/1000</f>
        <v>69.096999999999994</v>
      </c>
      <c r="O20" s="47">
        <f>83384/1000</f>
        <v>83.384</v>
      </c>
      <c r="P20" s="45">
        <v>166.07</v>
      </c>
      <c r="Q20" s="46">
        <v>77.84</v>
      </c>
      <c r="R20" s="44">
        <v>88.23</v>
      </c>
      <c r="S20" s="44">
        <f>SUM(T20:U20)</f>
        <v>169.28</v>
      </c>
      <c r="T20" s="44">
        <v>78.63</v>
      </c>
      <c r="U20" s="44">
        <v>90.65</v>
      </c>
      <c r="V20" s="48"/>
      <c r="W20" s="48"/>
      <c r="X20" s="48" t="s">
        <v>46</v>
      </c>
      <c r="Y20" s="48"/>
      <c r="Z20" s="48"/>
      <c r="AA20" s="48"/>
    </row>
    <row r="21" spans="1:27" ht="6" customHeight="1">
      <c r="A21" s="4"/>
      <c r="B21" s="4"/>
      <c r="C21" s="4"/>
      <c r="D21" s="4"/>
      <c r="E21" s="4"/>
      <c r="F21" s="4"/>
      <c r="G21" s="51"/>
      <c r="H21" s="52"/>
      <c r="I21" s="53"/>
      <c r="J21" s="51"/>
      <c r="K21" s="52"/>
      <c r="L21" s="53"/>
      <c r="M21" s="54"/>
      <c r="N21" s="52"/>
      <c r="O21" s="54"/>
      <c r="P21" s="51"/>
      <c r="Q21" s="52"/>
      <c r="R21" s="53"/>
      <c r="S21" s="53"/>
      <c r="T21" s="53"/>
      <c r="U21" s="53"/>
      <c r="V21" s="55"/>
      <c r="W21" s="55"/>
      <c r="X21" s="55"/>
      <c r="Y21" s="55"/>
      <c r="Z21" s="55"/>
      <c r="AA21" s="55"/>
    </row>
    <row r="22" spans="1:27" ht="6" customHeight="1"/>
    <row r="23" spans="1:27" s="56" customFormat="1" ht="18.75" customHeight="1">
      <c r="D23" s="57" t="s">
        <v>47</v>
      </c>
      <c r="E23" s="56" t="s">
        <v>48</v>
      </c>
    </row>
    <row r="24" spans="1:27" s="56" customFormat="1" ht="18.75" customHeight="1">
      <c r="D24" s="57" t="s">
        <v>49</v>
      </c>
      <c r="E24" s="56" t="s">
        <v>50</v>
      </c>
    </row>
    <row r="25" spans="1:27" s="20" customFormat="1" ht="17.25" customHeight="1"/>
    <row r="26" spans="1:27" s="20" customFormat="1" ht="15.75" customHeight="1"/>
    <row r="27" spans="1:27" s="20" customFormat="1" ht="17.25" customHeight="1"/>
    <row r="28" spans="1:27" s="20" customFormat="1" ht="15.75" customHeight="1"/>
  </sheetData>
  <mergeCells count="17">
    <mergeCell ref="W9:AA9"/>
    <mergeCell ref="G6:I6"/>
    <mergeCell ref="J6:L6"/>
    <mergeCell ref="M6:O6"/>
    <mergeCell ref="P6:R6"/>
    <mergeCell ref="S6:U6"/>
    <mergeCell ref="A9:F9"/>
    <mergeCell ref="W3:AA3"/>
    <mergeCell ref="G4:R4"/>
    <mergeCell ref="S4:U4"/>
    <mergeCell ref="A5:F8"/>
    <mergeCell ref="G5:I5"/>
    <mergeCell ref="J5:L5"/>
    <mergeCell ref="M5:O5"/>
    <mergeCell ref="P5:R5"/>
    <mergeCell ref="S5:U5"/>
    <mergeCell ref="W5:AA8"/>
  </mergeCells>
  <pageMargins left="0.55118110236220474" right="0.11811023622047245" top="0.78740157480314965" bottom="0.59055118110236227" header="0.51181102362204722" footer="0.51181102362204722"/>
  <pageSetup paperSize="9" scale="95" orientation="landscape" horizont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T-7.3</vt:lpstr>
      <vt:lpstr>'T-7.3'!Print_Area</vt:lpstr>
    </vt:vector>
  </TitlesOfParts>
  <Company>surin123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2017-09-21T01:36:37Z</dcterms:created>
  <dcterms:modified xsi:type="dcterms:W3CDTF">2017-09-21T01:36:42Z</dcterms:modified>
</cp:coreProperties>
</file>