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ปริ๊นสมุดสถิติ 2560\แก้ไข มีเลขหน้า\บทที่7\"/>
    </mc:Choice>
  </mc:AlternateContent>
  <bookViews>
    <workbookView xWindow="240" yWindow="675" windowWidth="17715" windowHeight="10485"/>
  </bookViews>
  <sheets>
    <sheet name="T3" sheetId="1" r:id="rId1"/>
    <sheet name="Sheet1" sheetId="2" r:id="rId2"/>
  </sheets>
  <definedNames>
    <definedName name="_xlnm.Print_Area" localSheetId="0">'T3'!$A$1:$AC$24</definedName>
  </definedNames>
  <calcPr calcId="162913"/>
</workbook>
</file>

<file path=xl/calcChain.xml><?xml version="1.0" encoding="utf-8"?>
<calcChain xmlns="http://schemas.openxmlformats.org/spreadsheetml/2006/main">
  <c r="T10" i="1" l="1"/>
  <c r="I11" i="2"/>
  <c r="I10" i="2" s="1"/>
  <c r="J11" i="2"/>
  <c r="J10" i="2" s="1"/>
  <c r="P12" i="2"/>
  <c r="T12" i="2"/>
  <c r="G13" i="2"/>
  <c r="Q13" i="2"/>
  <c r="R13" i="2"/>
  <c r="S14" i="2"/>
  <c r="T14" i="2"/>
  <c r="H16" i="2"/>
  <c r="H15" i="2" s="1"/>
  <c r="L17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N20" i="2"/>
  <c r="U20" i="2"/>
  <c r="G9" i="1"/>
  <c r="M9" i="2" l="1"/>
  <c r="T20" i="1"/>
  <c r="T20" i="2" s="1"/>
  <c r="S20" i="1"/>
  <c r="S20" i="2" s="1"/>
  <c r="R20" i="1"/>
  <c r="R20" i="2" s="1"/>
  <c r="Q20" i="1"/>
  <c r="Q20" i="2" s="1"/>
  <c r="P20" i="1"/>
  <c r="P20" i="2" s="1"/>
  <c r="O20" i="1"/>
  <c r="O20" i="2" s="1"/>
  <c r="M20" i="1"/>
  <c r="M20" i="2" s="1"/>
  <c r="L20" i="1"/>
  <c r="L20" i="2" s="1"/>
  <c r="K20" i="1"/>
  <c r="K20" i="2" s="1"/>
  <c r="J20" i="1"/>
  <c r="J20" i="2" s="1"/>
  <c r="J15" i="2" s="1"/>
  <c r="J9" i="2" s="1"/>
  <c r="I20" i="1"/>
  <c r="I20" i="2" s="1"/>
  <c r="H20" i="1"/>
  <c r="G20" i="1"/>
  <c r="U17" i="1"/>
  <c r="U17" i="2" s="1"/>
  <c r="T17" i="1"/>
  <c r="T17" i="2" s="1"/>
  <c r="S17" i="1"/>
  <c r="S17" i="2" s="1"/>
  <c r="R17" i="1"/>
  <c r="R17" i="2" s="1"/>
  <c r="Q17" i="1"/>
  <c r="Q17" i="2" s="1"/>
  <c r="P17" i="1"/>
  <c r="P17" i="2" s="1"/>
  <c r="O17" i="1"/>
  <c r="O17" i="2" s="1"/>
  <c r="N17" i="1"/>
  <c r="N17" i="2" s="1"/>
  <c r="M17" i="1"/>
  <c r="M17" i="2" s="1"/>
  <c r="K17" i="1"/>
  <c r="K17" i="2" s="1"/>
  <c r="J17" i="1"/>
  <c r="I17" i="1"/>
  <c r="I17" i="2" s="1"/>
  <c r="I15" i="2" s="1"/>
  <c r="I9" i="2" s="1"/>
  <c r="H17" i="1"/>
  <c r="G17" i="1"/>
  <c r="U16" i="1"/>
  <c r="U16" i="2" s="1"/>
  <c r="U15" i="2" s="1"/>
  <c r="T16" i="1"/>
  <c r="T16" i="2" s="1"/>
  <c r="S16" i="1"/>
  <c r="S16" i="2" s="1"/>
  <c r="R16" i="1"/>
  <c r="R16" i="2" s="1"/>
  <c r="Q16" i="1"/>
  <c r="Q16" i="2" s="1"/>
  <c r="P16" i="1"/>
  <c r="P16" i="2" s="1"/>
  <c r="P15" i="2" s="1"/>
  <c r="O16" i="1"/>
  <c r="O16" i="2" s="1"/>
  <c r="O15" i="2" s="1"/>
  <c r="N16" i="1"/>
  <c r="N16" i="2" s="1"/>
  <c r="N15" i="2" s="1"/>
  <c r="M16" i="1"/>
  <c r="M16" i="2" s="1"/>
  <c r="M15" i="2" s="1"/>
  <c r="L16" i="1"/>
  <c r="L16" i="2" s="1"/>
  <c r="K16" i="1"/>
  <c r="K16" i="2" s="1"/>
  <c r="J16" i="1"/>
  <c r="I16" i="1"/>
  <c r="G16" i="1"/>
  <c r="G16" i="2" s="1"/>
  <c r="G15" i="2" s="1"/>
  <c r="U15" i="1"/>
  <c r="T15" i="1"/>
  <c r="S15" i="1"/>
  <c r="R15" i="1"/>
  <c r="P15" i="1"/>
  <c r="O15" i="1"/>
  <c r="N15" i="1"/>
  <c r="M15" i="1"/>
  <c r="L15" i="1"/>
  <c r="K15" i="1"/>
  <c r="J15" i="1"/>
  <c r="I15" i="1"/>
  <c r="H15" i="1"/>
  <c r="G15" i="1"/>
  <c r="L14" i="1"/>
  <c r="L14" i="2" s="1"/>
  <c r="K14" i="1"/>
  <c r="K14" i="2" s="1"/>
  <c r="J14" i="1"/>
  <c r="I14" i="1"/>
  <c r="G14" i="1"/>
  <c r="G14" i="2" s="1"/>
  <c r="U13" i="1"/>
  <c r="U13" i="2" s="1"/>
  <c r="T13" i="1"/>
  <c r="T13" i="2" s="1"/>
  <c r="T11" i="2" s="1"/>
  <c r="T10" i="2" s="1"/>
  <c r="S13" i="1"/>
  <c r="S13" i="2" s="1"/>
  <c r="P13" i="1"/>
  <c r="P13" i="2" s="1"/>
  <c r="P11" i="2" s="1"/>
  <c r="P10" i="2" s="1"/>
  <c r="P9" i="2" s="1"/>
  <c r="O13" i="1"/>
  <c r="O13" i="2" s="1"/>
  <c r="N13" i="1"/>
  <c r="N13" i="2" s="1"/>
  <c r="M13" i="1"/>
  <c r="M13" i="2" s="1"/>
  <c r="L13" i="1"/>
  <c r="L13" i="2" s="1"/>
  <c r="K13" i="1"/>
  <c r="K13" i="2" s="1"/>
  <c r="J13" i="1"/>
  <c r="I13" i="1"/>
  <c r="H13" i="1"/>
  <c r="U12" i="1"/>
  <c r="U12" i="2" s="1"/>
  <c r="U11" i="2" s="1"/>
  <c r="U10" i="2" s="1"/>
  <c r="U9" i="2" s="1"/>
  <c r="S12" i="1"/>
  <c r="S12" i="2" s="1"/>
  <c r="S11" i="2" s="1"/>
  <c r="S10" i="2" s="1"/>
  <c r="R12" i="1"/>
  <c r="R12" i="2" s="1"/>
  <c r="R11" i="2" s="1"/>
  <c r="R10" i="2" s="1"/>
  <c r="Q12" i="1"/>
  <c r="Q12" i="2" s="1"/>
  <c r="Q11" i="2" s="1"/>
  <c r="Q10" i="2" s="1"/>
  <c r="O12" i="1"/>
  <c r="O12" i="2" s="1"/>
  <c r="N12" i="1"/>
  <c r="N12" i="2" s="1"/>
  <c r="M12" i="1"/>
  <c r="M12" i="2" s="1"/>
  <c r="M11" i="2" s="1"/>
  <c r="M10" i="2" s="1"/>
  <c r="L12" i="1"/>
  <c r="L12" i="2" s="1"/>
  <c r="L11" i="2" s="1"/>
  <c r="L10" i="2" s="1"/>
  <c r="K12" i="1"/>
  <c r="K12" i="2" s="1"/>
  <c r="K11" i="2" s="1"/>
  <c r="K10" i="2" s="1"/>
  <c r="J12" i="1"/>
  <c r="I12" i="1"/>
  <c r="H12" i="1"/>
  <c r="H12" i="2" s="1"/>
  <c r="H11" i="2" s="1"/>
  <c r="H10" i="2" s="1"/>
  <c r="H9" i="2" s="1"/>
  <c r="G12" i="1"/>
  <c r="G12" i="2" s="1"/>
  <c r="G11" i="2" s="1"/>
  <c r="G10" i="2" s="1"/>
  <c r="U11" i="1"/>
  <c r="S11" i="1"/>
  <c r="Q11" i="1"/>
  <c r="O11" i="1"/>
  <c r="N11" i="1"/>
  <c r="M11" i="1"/>
  <c r="L11" i="1"/>
  <c r="K11" i="1"/>
  <c r="J11" i="1"/>
  <c r="I11" i="1"/>
  <c r="H11" i="1"/>
  <c r="G11" i="1"/>
  <c r="U10" i="1"/>
  <c r="S10" i="1"/>
  <c r="Q10" i="1"/>
  <c r="O10" i="1"/>
  <c r="N10" i="1"/>
  <c r="M10" i="1"/>
  <c r="L10" i="1"/>
  <c r="K10" i="1"/>
  <c r="J10" i="1"/>
  <c r="I10" i="1"/>
  <c r="H10" i="1"/>
  <c r="G10" i="1"/>
  <c r="U9" i="1"/>
  <c r="T9" i="1"/>
  <c r="S9" i="1"/>
  <c r="R9" i="1"/>
  <c r="O9" i="1"/>
  <c r="N9" i="1"/>
  <c r="M9" i="1"/>
  <c r="L9" i="1"/>
  <c r="K9" i="1"/>
  <c r="J9" i="1"/>
  <c r="I9" i="1"/>
  <c r="H9" i="1"/>
  <c r="S9" i="2" l="1"/>
  <c r="K9" i="2"/>
  <c r="Q15" i="2"/>
  <c r="Q9" i="2" s="1"/>
  <c r="R15" i="2"/>
  <c r="R9" i="2" s="1"/>
  <c r="N11" i="2"/>
  <c r="N10" i="2" s="1"/>
  <c r="N9" i="2" s="1"/>
  <c r="K15" i="2"/>
  <c r="S15" i="2"/>
  <c r="G9" i="2"/>
  <c r="O11" i="2"/>
  <c r="O10" i="2" s="1"/>
  <c r="O9" i="2" s="1"/>
  <c r="L15" i="2"/>
  <c r="T15" i="2"/>
  <c r="T9" i="2" s="1"/>
  <c r="L9" i="2"/>
</calcChain>
</file>

<file path=xl/sharedStrings.xml><?xml version="1.0" encoding="utf-8"?>
<sst xmlns="http://schemas.openxmlformats.org/spreadsheetml/2006/main" count="174" uniqueCount="52">
  <si>
    <t>ตาราง</t>
  </si>
  <si>
    <t>Table</t>
  </si>
  <si>
    <t>2559 (2016)</t>
  </si>
  <si>
    <t>สถานภาพแรงงาน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</si>
  <si>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</si>
  <si>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</si>
  <si>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</si>
  <si>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</si>
  <si>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>Labour force status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</si>
  <si>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</si>
  <si>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</si>
  <si>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</si>
  <si>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</si>
  <si>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</si>
  <si>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</si>
  <si>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</si>
  <si>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</si>
  <si>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</si>
  <si>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</si>
  <si>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</si>
  <si>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กำลังแรงงานรวม</t>
  </si>
  <si>
    <t>Total  labour  force</t>
  </si>
  <si>
    <t>1. กำลังแรงงานปัจจุบัน</t>
  </si>
  <si>
    <t>1.  Current  labour force</t>
  </si>
  <si>
    <t>1.1  ผู้มีงานทำ</t>
  </si>
  <si>
    <t>1.1.  Employed</t>
  </si>
  <si>
    <t>1.2  ผู้ว่างงาน</t>
  </si>
  <si>
    <t>1.2  Unemployed</t>
  </si>
  <si>
    <t>2.  กำลังแรงงานที่รอฤดูกาล</t>
  </si>
  <si>
    <t>-</t>
  </si>
  <si>
    <t>2. Seasonally inactive labour force</t>
  </si>
  <si>
    <t>ผู้ไม่อยู่ในกำลังแรงงาน</t>
  </si>
  <si>
    <t>Persons not in labour force</t>
  </si>
  <si>
    <t>1. ทำงานบ้าน</t>
  </si>
  <si>
    <t>1. Household work</t>
  </si>
  <si>
    <t>2. เรียนหนังสือ</t>
  </si>
  <si>
    <t>2. Studies</t>
  </si>
  <si>
    <t>ที่มา:</t>
  </si>
  <si>
    <t>Source:</t>
  </si>
  <si>
    <t xml:space="preserve">ประชากรอายุ 15 ปีขึ้นไป จำแนกตามเพศ และสถานภาพแรงงาน เป็นรายไตรมาส พ.ศ. 2559 - 2560 </t>
  </si>
  <si>
    <t>Population Aged 15 Years and Over by Sex, Labour Force Status and Quarterly: 2016 - 2017</t>
  </si>
  <si>
    <t>2560 (2017)</t>
  </si>
  <si>
    <t>Labour Force Survey: 2016-2017, Provincial level,  National Statistical Office</t>
  </si>
  <si>
    <t>4. อื่นๆ</t>
  </si>
  <si>
    <t>3. ยังเด็ก ชรา/</t>
  </si>
  <si>
    <t>ไม่สามารถทำงานได้</t>
  </si>
  <si>
    <t>3. Too young/old/</t>
  </si>
  <si>
    <t>incapable of work</t>
  </si>
  <si>
    <t>4. Others</t>
  </si>
  <si>
    <t>(หน่วยเป็นพัน  In thousands)</t>
  </si>
  <si>
    <t>สำรวจภาวะการทำงานของประชากร พ.ศ. 2559-2560 ระดับจังหวัด  สำนักงานสถิติแห่งชาติ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</si>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</sst>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#,##0.0"/>
  </numFmts>
  <fonts count="26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3"/>
      <name val="TH SarabunPSK"/>
      <family val="2"/>
    </font>
    <font>
      <sz val="10"/>
      <color rgb="FF555555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7">
    <xf numFmtId="0" fontId="0" fillId="0" borderId="0"/>
    <xf numFmtId="0" fontId="1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5" applyNumberFormat="0" applyAlignment="0" applyProtection="0"/>
    <xf numFmtId="0" fontId="11" fillId="21" borderId="16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17" applyNumberFormat="0" applyFill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5" applyNumberFormat="0" applyAlignment="0" applyProtection="0"/>
    <xf numFmtId="0" fontId="18" fillId="0" borderId="20" applyNumberFormat="0" applyFill="0" applyAlignment="0" applyProtection="0"/>
    <xf numFmtId="0" fontId="19" fillId="22" borderId="0" applyNumberFormat="0" applyBorder="0" applyAlignment="0" applyProtection="0"/>
    <xf numFmtId="0" fontId="1" fillId="23" borderId="21" applyNumberFormat="0" applyFont="0" applyAlignment="0" applyProtection="0"/>
    <xf numFmtId="0" fontId="20" fillId="20" borderId="22" applyNumberFormat="0" applyAlignment="0" applyProtection="0"/>
    <xf numFmtId="0" fontId="21" fillId="0" borderId="0" applyNumberFormat="0" applyFill="0" applyBorder="0" applyAlignment="0" applyProtection="0"/>
    <xf numFmtId="0" fontId="22" fillId="0" borderId="23" applyNumberFormat="0" applyFill="0" applyAlignment="0" applyProtection="0"/>
    <xf numFmtId="0" fontId="23" fillId="0" borderId="0" applyNumberFormat="0" applyFill="0" applyBorder="0" applyAlignment="0" applyProtection="0"/>
  </cellStyleXfs>
  <cellXfs count="68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/>
    <xf numFmtId="0" fontId="6" fillId="0" borderId="0" xfId="1" applyFont="1"/>
    <xf numFmtId="0" fontId="5" fillId="0" borderId="0" xfId="1" applyFont="1" applyAlignment="1">
      <alignment vertical="center"/>
    </xf>
    <xf numFmtId="0" fontId="24" fillId="0" borderId="1" xfId="1" applyFont="1" applyBorder="1"/>
    <xf numFmtId="0" fontId="24" fillId="0" borderId="2" xfId="1" applyFont="1" applyBorder="1"/>
    <xf numFmtId="0" fontId="24" fillId="0" borderId="3" xfId="1" applyFont="1" applyBorder="1"/>
    <xf numFmtId="0" fontId="24" fillId="0" borderId="2" xfId="1" applyFont="1" applyBorder="1" applyAlignment="1">
      <alignment horizontal="center"/>
    </xf>
    <xf numFmtId="0" fontId="24" fillId="0" borderId="2" xfId="1" applyFont="1" applyBorder="1" applyAlignment="1">
      <alignment horizontal="right"/>
    </xf>
    <xf numFmtId="0" fontId="24" fillId="0" borderId="0" xfId="1" applyFont="1" applyBorder="1" applyAlignment="1">
      <alignment horizontal="center" vertical="center"/>
    </xf>
    <xf numFmtId="0" fontId="24" fillId="0" borderId="11" xfId="1" applyFont="1" applyBorder="1" applyAlignment="1">
      <alignment horizontal="center"/>
    </xf>
    <xf numFmtId="0" fontId="24" fillId="0" borderId="12" xfId="1" applyFont="1" applyBorder="1" applyAlignment="1">
      <alignment horizontal="center"/>
    </xf>
    <xf numFmtId="0" fontId="24" fillId="0" borderId="7" xfId="1" applyFont="1" applyBorder="1" applyAlignment="1">
      <alignment horizontal="center"/>
    </xf>
    <xf numFmtId="0" fontId="24" fillId="0" borderId="0" xfId="1" applyFont="1" applyBorder="1" applyAlignment="1">
      <alignment horizontal="center"/>
    </xf>
    <xf numFmtId="0" fontId="24" fillId="0" borderId="9" xfId="1" applyFont="1" applyBorder="1" applyAlignment="1">
      <alignment horizontal="center"/>
    </xf>
    <xf numFmtId="0" fontId="24" fillId="0" borderId="13" xfId="1" applyFont="1" applyBorder="1" applyAlignment="1">
      <alignment horizontal="center"/>
    </xf>
    <xf numFmtId="0" fontId="24" fillId="0" borderId="10" xfId="1" applyFont="1" applyBorder="1" applyAlignment="1">
      <alignment horizontal="center"/>
    </xf>
    <xf numFmtId="0" fontId="24" fillId="0" borderId="1" xfId="1" applyFont="1" applyBorder="1" applyAlignment="1">
      <alignment horizontal="center"/>
    </xf>
    <xf numFmtId="187" fontId="2" fillId="0" borderId="12" xfId="1" applyNumberFormat="1" applyFont="1" applyBorder="1" applyAlignment="1">
      <alignment horizontal="right" shrinkToFit="1"/>
    </xf>
    <xf numFmtId="187" fontId="2" fillId="0" borderId="12" xfId="1" applyNumberFormat="1" applyFont="1" applyBorder="1"/>
    <xf numFmtId="187" fontId="2" fillId="0" borderId="0" xfId="1" applyNumberFormat="1" applyFont="1"/>
    <xf numFmtId="0" fontId="2" fillId="0" borderId="0" xfId="1" applyFont="1" applyBorder="1"/>
    <xf numFmtId="187" fontId="2" fillId="0" borderId="14" xfId="1" applyNumberFormat="1" applyFont="1" applyBorder="1" applyAlignment="1">
      <alignment horizontal="right" shrinkToFit="1"/>
    </xf>
    <xf numFmtId="187" fontId="2" fillId="0" borderId="14" xfId="1" applyNumberFormat="1" applyFont="1" applyBorder="1"/>
    <xf numFmtId="0" fontId="24" fillId="0" borderId="0" xfId="1" applyFont="1"/>
    <xf numFmtId="187" fontId="24" fillId="0" borderId="14" xfId="1" applyNumberFormat="1" applyFont="1" applyBorder="1" applyAlignment="1">
      <alignment horizontal="right" shrinkToFit="1"/>
    </xf>
    <xf numFmtId="187" fontId="24" fillId="0" borderId="7" xfId="1" applyNumberFormat="1" applyFont="1" applyBorder="1" applyAlignment="1">
      <alignment horizontal="right" shrinkToFit="1"/>
    </xf>
    <xf numFmtId="187" fontId="24" fillId="0" borderId="11" xfId="1" applyNumberFormat="1" applyFont="1" applyBorder="1" applyAlignment="1">
      <alignment horizontal="right" shrinkToFit="1"/>
    </xf>
    <xf numFmtId="187" fontId="24" fillId="0" borderId="0" xfId="1" applyNumberFormat="1" applyFont="1" applyAlignment="1">
      <alignment horizontal="right" shrinkToFit="1"/>
    </xf>
    <xf numFmtId="187" fontId="24" fillId="0" borderId="14" xfId="1" applyNumberFormat="1" applyFont="1" applyBorder="1"/>
    <xf numFmtId="187" fontId="24" fillId="0" borderId="0" xfId="1" applyNumberFormat="1" applyFont="1"/>
    <xf numFmtId="0" fontId="24" fillId="0" borderId="0" xfId="1" applyFont="1" applyBorder="1"/>
    <xf numFmtId="187" fontId="24" fillId="0" borderId="7" xfId="1" quotePrefix="1" applyNumberFormat="1" applyFont="1" applyBorder="1" applyAlignment="1">
      <alignment horizontal="right" shrinkToFit="1"/>
    </xf>
    <xf numFmtId="187" fontId="24" fillId="0" borderId="14" xfId="1" quotePrefix="1" applyNumberFormat="1" applyFont="1" applyBorder="1" applyAlignment="1">
      <alignment horizontal="right" shrinkToFit="1"/>
    </xf>
    <xf numFmtId="187" fontId="24" fillId="0" borderId="0" xfId="1" quotePrefix="1" applyNumberFormat="1" applyFont="1" applyAlignment="1">
      <alignment horizontal="right" shrinkToFit="1"/>
    </xf>
    <xf numFmtId="187" fontId="24" fillId="0" borderId="14" xfId="1" quotePrefix="1" applyNumberFormat="1" applyFont="1" applyBorder="1" applyAlignment="1">
      <alignment horizontal="right"/>
    </xf>
    <xf numFmtId="187" fontId="2" fillId="0" borderId="7" xfId="1" applyNumberFormat="1" applyFont="1" applyBorder="1" applyAlignment="1">
      <alignment horizontal="right" shrinkToFit="1"/>
    </xf>
    <xf numFmtId="187" fontId="2" fillId="0" borderId="11" xfId="1" applyNumberFormat="1" applyFont="1" applyBorder="1" applyAlignment="1">
      <alignment horizontal="right" shrinkToFit="1"/>
    </xf>
    <xf numFmtId="187" fontId="2" fillId="0" borderId="0" xfId="1" applyNumberFormat="1" applyFont="1" applyAlignment="1">
      <alignment horizontal="right" shrinkToFit="1"/>
    </xf>
    <xf numFmtId="0" fontId="24" fillId="0" borderId="9" xfId="1" applyFont="1" applyBorder="1"/>
    <xf numFmtId="0" fontId="24" fillId="0" borderId="13" xfId="1" applyFont="1" applyBorder="1"/>
    <xf numFmtId="0" fontId="24" fillId="0" borderId="10" xfId="1" applyFont="1" applyBorder="1"/>
    <xf numFmtId="0" fontId="24" fillId="0" borderId="0" xfId="1" applyFont="1" applyAlignment="1">
      <alignment vertical="center"/>
    </xf>
    <xf numFmtId="0" fontId="24" fillId="0" borderId="0" xfId="1" applyFont="1" applyAlignment="1">
      <alignment horizontal="right" vertical="center"/>
    </xf>
    <xf numFmtId="187" fontId="25" fillId="0" borderId="0" xfId="0" applyNumberFormat="1" applyFont="1"/>
    <xf numFmtId="187" fontId="2" fillId="24" borderId="12" xfId="1" applyNumberFormat="1" applyFont="1" applyFill="1" applyBorder="1" applyAlignment="1">
      <alignment horizontal="right" shrinkToFit="1"/>
    </xf>
    <xf numFmtId="187" fontId="25" fillId="25" borderId="0" xfId="0" applyNumberFormat="1" applyFont="1" applyFill="1"/>
    <xf numFmtId="187" fontId="25" fillId="26" borderId="0" xfId="0" applyNumberFormat="1" applyFont="1" applyFill="1"/>
    <xf numFmtId="0" fontId="24" fillId="0" borderId="1" xfId="1" applyFont="1" applyBorder="1" applyAlignment="1">
      <alignment horizontal="right" vertical="center"/>
    </xf>
    <xf numFmtId="0" fontId="24" fillId="0" borderId="4" xfId="1" applyFont="1" applyBorder="1" applyAlignment="1">
      <alignment horizontal="center"/>
    </xf>
    <xf numFmtId="0" fontId="24" fillId="0" borderId="5" xfId="1" applyFont="1" applyBorder="1" applyAlignment="1">
      <alignment horizontal="center"/>
    </xf>
    <xf numFmtId="0" fontId="24" fillId="0" borderId="6" xfId="1" applyFont="1" applyBorder="1" applyAlignment="1">
      <alignment horizontal="center"/>
    </xf>
    <xf numFmtId="0" fontId="24" fillId="0" borderId="2" xfId="1" applyFont="1" applyBorder="1" applyAlignment="1">
      <alignment horizontal="center" vertical="center"/>
    </xf>
    <xf numFmtId="0" fontId="24" fillId="0" borderId="3" xfId="1" applyFont="1" applyBorder="1" applyAlignment="1">
      <alignment horizontal="center" vertical="center"/>
    </xf>
    <xf numFmtId="0" fontId="24" fillId="0" borderId="0" xfId="1" applyFont="1" applyBorder="1" applyAlignment="1">
      <alignment horizontal="center" vertical="center" shrinkToFit="1"/>
    </xf>
    <xf numFmtId="0" fontId="24" fillId="0" borderId="1" xfId="1" applyFont="1" applyBorder="1" applyAlignment="1">
      <alignment horizontal="center" vertical="center" shrinkToFit="1"/>
    </xf>
    <xf numFmtId="0" fontId="24" fillId="0" borderId="9" xfId="1" applyFont="1" applyBorder="1" applyAlignment="1">
      <alignment horizontal="center" vertical="center"/>
    </xf>
    <xf numFmtId="0" fontId="24" fillId="0" borderId="1" xfId="1" applyFont="1" applyBorder="1" applyAlignment="1">
      <alignment horizontal="center" vertical="center"/>
    </xf>
    <xf numFmtId="0" fontId="24" fillId="0" borderId="10" xfId="1" applyFont="1" applyBorder="1" applyAlignment="1">
      <alignment horizontal="center" vertical="center"/>
    </xf>
    <xf numFmtId="0" fontId="24" fillId="0" borderId="8" xfId="1" applyFont="1" applyBorder="1" applyAlignment="1">
      <alignment horizontal="center" vertical="center"/>
    </xf>
    <xf numFmtId="0" fontId="2" fillId="0" borderId="0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4" fillId="0" borderId="7" xfId="1" applyFont="1" applyBorder="1" applyAlignment="1">
      <alignment horizontal="center" vertical="center" shrinkToFit="1"/>
    </xf>
    <xf numFmtId="0" fontId="24" fillId="0" borderId="10" xfId="1" applyFont="1" applyBorder="1" applyAlignment="1">
      <alignment horizontal="center" vertical="center" shrinkToFit="1"/>
    </xf>
  </cellXfs>
  <cellStyles count="47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 2" xfId="29"/>
    <cellStyle name="Comma 2 2" xfId="30"/>
    <cellStyle name="Comma 2 3" xfId="31"/>
    <cellStyle name="Comma 2 4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Input" xfId="39"/>
    <cellStyle name="Linked Cell" xfId="40"/>
    <cellStyle name="Neutral" xfId="41"/>
    <cellStyle name="Normal 2" xfId="1"/>
    <cellStyle name="Note" xfId="42"/>
    <cellStyle name="Output" xfId="43"/>
    <cellStyle name="Title" xfId="44"/>
    <cellStyle name="Total" xfId="45"/>
    <cellStyle name="Warning Text" xfId="46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746794</xdr:colOff>
      <xdr:row>0</xdr:row>
      <xdr:rowOff>112373</xdr:rowOff>
    </xdr:from>
    <xdr:to>
      <xdr:col>28</xdr:col>
      <xdr:colOff>265650</xdr:colOff>
      <xdr:row>23</xdr:row>
      <xdr:rowOff>174286</xdr:rowOff>
    </xdr:to>
    <xdr:grpSp>
      <xdr:nvGrpSpPr>
        <xdr:cNvPr id="6" name="Group 249"/>
        <xdr:cNvGrpSpPr>
          <a:grpSpLocks/>
        </xdr:cNvGrpSpPr>
      </xdr:nvGrpSpPr>
      <xdr:grpSpPr bwMode="auto">
        <a:xfrm>
          <a:off x="10338469" y="112373"/>
          <a:ext cx="461831" cy="6386513"/>
          <a:chOff x="991" y="8"/>
          <a:chExt cx="59" cy="682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1" y="38"/>
            <a:ext cx="29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1" y="8"/>
            <a:ext cx="57" cy="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1" y="364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showGridLines="0" tabSelected="1" view="pageBreakPreview" topLeftCell="J10" zoomScaleNormal="100" zoomScaleSheetLayoutView="100" workbookViewId="0">
      <selection activeCell="R20" sqref="R20"/>
    </sheetView>
  </sheetViews>
  <sheetFormatPr defaultColWidth="9" defaultRowHeight="18.75" x14ac:dyDescent="0.3"/>
  <cols>
    <col min="1" max="2" width="1.375" style="4" customWidth="1"/>
    <col min="3" max="3" width="2.25" style="4" customWidth="1"/>
    <col min="4" max="4" width="1.375" style="4" customWidth="1"/>
    <col min="5" max="5" width="6.875" style="4" customWidth="1"/>
    <col min="6" max="6" width="8.625" style="4" customWidth="1"/>
    <col min="7" max="21" width="6" style="4" customWidth="1"/>
    <col min="22" max="22" width="0.875" style="4" customWidth="1"/>
    <col min="23" max="25" width="1.375" style="4" customWidth="1"/>
    <col min="26" max="26" width="9" style="4"/>
    <col min="27" max="27" width="10.375" style="4" customWidth="1"/>
    <col min="28" max="28" width="2" style="4" customWidth="1"/>
    <col min="29" max="29" width="4" style="4" customWidth="1"/>
    <col min="30" max="16384" width="9" style="4"/>
  </cols>
  <sheetData>
    <row r="1" spans="1:27" s="1" customFormat="1" ht="23.25" customHeight="1" x14ac:dyDescent="0.3">
      <c r="B1" s="2" t="s">
        <v>0</v>
      </c>
      <c r="C1" s="2"/>
      <c r="D1" s="2"/>
      <c r="E1" s="3">
        <v>7.3</v>
      </c>
      <c r="F1" s="2" t="s">
        <v>39</v>
      </c>
      <c r="G1" s="2"/>
      <c r="H1" s="2"/>
      <c r="I1" s="2"/>
      <c r="J1" s="2"/>
      <c r="K1" s="2"/>
      <c r="L1" s="2"/>
      <c r="M1" s="2"/>
    </row>
    <row r="2" spans="1:27" s="1" customFormat="1" ht="19.5" customHeight="1" x14ac:dyDescent="0.3">
      <c r="B2" s="2" t="s">
        <v>1</v>
      </c>
      <c r="C2" s="2"/>
      <c r="D2" s="2"/>
      <c r="E2" s="3">
        <v>7.3</v>
      </c>
      <c r="F2" s="2" t="s">
        <v>40</v>
      </c>
      <c r="G2" s="2"/>
      <c r="H2" s="2"/>
      <c r="I2" s="2"/>
      <c r="J2" s="2"/>
      <c r="K2" s="2"/>
      <c r="L2" s="2"/>
      <c r="M2" s="2"/>
    </row>
    <row r="3" spans="1:27" ht="13.5" customHeigh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52" t="s">
        <v>49</v>
      </c>
      <c r="X3" s="52"/>
      <c r="Y3" s="52"/>
      <c r="Z3" s="52"/>
      <c r="AA3" s="52"/>
    </row>
    <row r="4" spans="1:27" ht="20.25" customHeight="1" x14ac:dyDescent="0.3">
      <c r="A4" s="9"/>
      <c r="B4" s="9"/>
      <c r="C4" s="9"/>
      <c r="D4" s="9"/>
      <c r="E4" s="9"/>
      <c r="F4" s="10"/>
      <c r="G4" s="53" t="s">
        <v>2</v>
      </c>
      <c r="H4" s="54"/>
      <c r="I4" s="54"/>
      <c r="J4" s="54"/>
      <c r="K4" s="54"/>
      <c r="L4" s="54"/>
      <c r="M4" s="54"/>
      <c r="N4" s="54"/>
      <c r="O4" s="54"/>
      <c r="P4" s="54"/>
      <c r="Q4" s="54"/>
      <c r="R4" s="55"/>
      <c r="S4" s="53" t="s">
        <v>41</v>
      </c>
      <c r="T4" s="54"/>
      <c r="U4" s="55"/>
      <c r="V4" s="11"/>
      <c r="W4" s="12"/>
      <c r="X4" s="12"/>
      <c r="Y4" s="12"/>
      <c r="Z4" s="12"/>
      <c r="AA4" s="12"/>
    </row>
    <row r="5" spans="1:27" s="5" customFormat="1" ht="20.25" customHeight="1" x14ac:dyDescent="0.25">
      <c r="A5" s="58" t="s">
        <v>3</v>
      </c>
      <c r="B5" s="58"/>
      <c r="C5" s="58"/>
      <c r="D5" s="58"/>
      <c r="E5" s="58"/>
      <c r="F5" s="66"/>
      <c r="G5" s="56" t="s">
        <v>4</v>
      </c>
      <c r="H5" s="56"/>
      <c r="I5" s="57"/>
      <c r="J5" s="56" t="s">
        <v>5</v>
      </c>
      <c r="K5" s="56"/>
      <c r="L5" s="57"/>
      <c r="M5" s="63" t="s">
        <v>6</v>
      </c>
      <c r="N5" s="56"/>
      <c r="O5" s="57"/>
      <c r="P5" s="63" t="s">
        <v>7</v>
      </c>
      <c r="Q5" s="56"/>
      <c r="R5" s="57"/>
      <c r="S5" s="56" t="s">
        <v>4</v>
      </c>
      <c r="T5" s="56"/>
      <c r="U5" s="57"/>
      <c r="V5" s="13"/>
      <c r="W5" s="58" t="s">
        <v>8</v>
      </c>
      <c r="X5" s="58"/>
      <c r="Y5" s="58"/>
      <c r="Z5" s="58"/>
      <c r="AA5" s="58"/>
    </row>
    <row r="6" spans="1:27" s="5" customFormat="1" ht="20.25" customHeight="1" x14ac:dyDescent="0.25">
      <c r="A6" s="58"/>
      <c r="B6" s="58"/>
      <c r="C6" s="58"/>
      <c r="D6" s="58"/>
      <c r="E6" s="58"/>
      <c r="F6" s="66"/>
      <c r="G6" s="60" t="s">
        <v>9</v>
      </c>
      <c r="H6" s="61"/>
      <c r="I6" s="62"/>
      <c r="J6" s="60" t="s">
        <v>10</v>
      </c>
      <c r="K6" s="61"/>
      <c r="L6" s="62"/>
      <c r="M6" s="60" t="s">
        <v>11</v>
      </c>
      <c r="N6" s="61"/>
      <c r="O6" s="62"/>
      <c r="P6" s="60" t="s">
        <v>12</v>
      </c>
      <c r="Q6" s="61"/>
      <c r="R6" s="62"/>
      <c r="S6" s="60" t="s">
        <v>9</v>
      </c>
      <c r="T6" s="61"/>
      <c r="U6" s="62"/>
      <c r="V6" s="13"/>
      <c r="W6" s="58"/>
      <c r="X6" s="58"/>
      <c r="Y6" s="58"/>
      <c r="Z6" s="58"/>
      <c r="AA6" s="58"/>
    </row>
    <row r="7" spans="1:27" s="5" customFormat="1" ht="20.25" customHeight="1" x14ac:dyDescent="0.3">
      <c r="A7" s="58"/>
      <c r="B7" s="58"/>
      <c r="C7" s="58"/>
      <c r="D7" s="58"/>
      <c r="E7" s="58"/>
      <c r="F7" s="66"/>
      <c r="G7" s="14" t="s">
        <v>13</v>
      </c>
      <c r="H7" s="15" t="s">
        <v>14</v>
      </c>
      <c r="I7" s="16" t="s">
        <v>15</v>
      </c>
      <c r="J7" s="14" t="s">
        <v>13</v>
      </c>
      <c r="K7" s="15" t="s">
        <v>14</v>
      </c>
      <c r="L7" s="16" t="s">
        <v>15</v>
      </c>
      <c r="M7" s="14" t="s">
        <v>13</v>
      </c>
      <c r="N7" s="15" t="s">
        <v>14</v>
      </c>
      <c r="O7" s="16" t="s">
        <v>15</v>
      </c>
      <c r="P7" s="14" t="s">
        <v>13</v>
      </c>
      <c r="Q7" s="15" t="s">
        <v>14</v>
      </c>
      <c r="R7" s="16" t="s">
        <v>15</v>
      </c>
      <c r="S7" s="15" t="s">
        <v>13</v>
      </c>
      <c r="T7" s="15" t="s">
        <v>14</v>
      </c>
      <c r="U7" s="16" t="s">
        <v>15</v>
      </c>
      <c r="V7" s="17"/>
      <c r="W7" s="58"/>
      <c r="X7" s="58"/>
      <c r="Y7" s="58"/>
      <c r="Z7" s="58"/>
      <c r="AA7" s="58"/>
    </row>
    <row r="8" spans="1:27" s="5" customFormat="1" ht="20.25" customHeight="1" x14ac:dyDescent="0.3">
      <c r="A8" s="59"/>
      <c r="B8" s="59"/>
      <c r="C8" s="59"/>
      <c r="D8" s="59"/>
      <c r="E8" s="59"/>
      <c r="F8" s="67"/>
      <c r="G8" s="18" t="s">
        <v>16</v>
      </c>
      <c r="H8" s="19" t="s">
        <v>17</v>
      </c>
      <c r="I8" s="20" t="s">
        <v>18</v>
      </c>
      <c r="J8" s="18" t="s">
        <v>16</v>
      </c>
      <c r="K8" s="19" t="s">
        <v>17</v>
      </c>
      <c r="L8" s="20" t="s">
        <v>18</v>
      </c>
      <c r="M8" s="18" t="s">
        <v>16</v>
      </c>
      <c r="N8" s="19" t="s">
        <v>17</v>
      </c>
      <c r="O8" s="20" t="s">
        <v>18</v>
      </c>
      <c r="P8" s="18" t="s">
        <v>16</v>
      </c>
      <c r="Q8" s="19" t="s">
        <v>17</v>
      </c>
      <c r="R8" s="20" t="s">
        <v>18</v>
      </c>
      <c r="S8" s="19" t="s">
        <v>16</v>
      </c>
      <c r="T8" s="19" t="s">
        <v>17</v>
      </c>
      <c r="U8" s="20" t="s">
        <v>18</v>
      </c>
      <c r="V8" s="21"/>
      <c r="W8" s="59"/>
      <c r="X8" s="59"/>
      <c r="Y8" s="59"/>
      <c r="Z8" s="59"/>
      <c r="AA8" s="59"/>
    </row>
    <row r="9" spans="1:27" s="6" customFormat="1" ht="25.5" customHeight="1" x14ac:dyDescent="0.3">
      <c r="A9" s="64" t="s">
        <v>19</v>
      </c>
      <c r="B9" s="64"/>
      <c r="C9" s="64"/>
      <c r="D9" s="64"/>
      <c r="E9" s="64"/>
      <c r="F9" s="65"/>
      <c r="G9" s="22">
        <f>740313/1000</f>
        <v>740.31299999999999</v>
      </c>
      <c r="H9" s="22">
        <f>354337/1000</f>
        <v>354.33699999999999</v>
      </c>
      <c r="I9" s="22">
        <f>385976/1000</f>
        <v>385.976</v>
      </c>
      <c r="J9" s="22">
        <f>740561/1000</f>
        <v>740.56100000000004</v>
      </c>
      <c r="K9" s="22">
        <f>354392/1000</f>
        <v>354.392</v>
      </c>
      <c r="L9" s="22">
        <f>386169/1000</f>
        <v>386.16899999999998</v>
      </c>
      <c r="M9" s="22">
        <f>740664/1000</f>
        <v>740.66399999999999</v>
      </c>
      <c r="N9" s="22">
        <f>354379/1000</f>
        <v>354.37900000000002</v>
      </c>
      <c r="O9" s="22">
        <f>386285/1000</f>
        <v>386.28500000000003</v>
      </c>
      <c r="P9" s="22">
        <v>750.1</v>
      </c>
      <c r="Q9" s="22">
        <v>354.2</v>
      </c>
      <c r="R9" s="22">
        <f>386364/1000</f>
        <v>386.36399999999998</v>
      </c>
      <c r="S9" s="23">
        <f>740708/1000</f>
        <v>740.70799999999997</v>
      </c>
      <c r="T9" s="24">
        <f>354240/1000</f>
        <v>354.24</v>
      </c>
      <c r="U9" s="23">
        <f>386468/1000</f>
        <v>386.46800000000002</v>
      </c>
      <c r="V9" s="25"/>
      <c r="W9" s="64" t="s">
        <v>16</v>
      </c>
      <c r="X9" s="64"/>
      <c r="Y9" s="64"/>
      <c r="Z9" s="64"/>
      <c r="AA9" s="64"/>
    </row>
    <row r="10" spans="1:27" s="6" customFormat="1" ht="25.5" customHeight="1" x14ac:dyDescent="0.3">
      <c r="A10" s="1" t="s">
        <v>20</v>
      </c>
      <c r="B10" s="1"/>
      <c r="C10" s="1"/>
      <c r="D10" s="1"/>
      <c r="E10" s="1"/>
      <c r="F10" s="1"/>
      <c r="G10" s="26">
        <f>506101/1000</f>
        <v>506.101</v>
      </c>
      <c r="H10" s="26">
        <f>266994/1000</f>
        <v>266.99400000000003</v>
      </c>
      <c r="I10" s="26">
        <f>239107/1000</f>
        <v>239.107</v>
      </c>
      <c r="J10" s="26">
        <f>487492/1000</f>
        <v>487.49200000000002</v>
      </c>
      <c r="K10" s="26">
        <f>268211/1000</f>
        <v>268.21100000000001</v>
      </c>
      <c r="L10" s="26">
        <f>219281/1000</f>
        <v>219.28100000000001</v>
      </c>
      <c r="M10" s="26">
        <f>496765/1000</f>
        <v>496.76499999999999</v>
      </c>
      <c r="N10" s="26">
        <f>267797/1000</f>
        <v>267.79700000000003</v>
      </c>
      <c r="O10" s="26">
        <f>228969/1000</f>
        <v>228.96899999999999</v>
      </c>
      <c r="P10" s="26">
        <v>497.5</v>
      </c>
      <c r="Q10" s="26">
        <f>266516/1000</f>
        <v>266.51600000000002</v>
      </c>
      <c r="R10" s="26">
        <v>231</v>
      </c>
      <c r="S10" s="27">
        <f>490711/1000</f>
        <v>490.71100000000001</v>
      </c>
      <c r="T10" s="24">
        <f>257221/1000</f>
        <v>257.221</v>
      </c>
      <c r="U10" s="27">
        <f>233490/1000</f>
        <v>233.49</v>
      </c>
      <c r="V10" s="25"/>
      <c r="W10" s="25" t="s">
        <v>21</v>
      </c>
      <c r="X10" s="25"/>
      <c r="Y10" s="25"/>
      <c r="Z10" s="25"/>
      <c r="AA10" s="25"/>
    </row>
    <row r="11" spans="1:27" s="5" customFormat="1" ht="25.5" customHeight="1" x14ac:dyDescent="0.3">
      <c r="A11" s="28"/>
      <c r="B11" s="28" t="s">
        <v>22</v>
      </c>
      <c r="C11" s="28"/>
      <c r="D11" s="28"/>
      <c r="E11" s="28"/>
      <c r="F11" s="28"/>
      <c r="G11" s="29">
        <f>505983/1000</f>
        <v>505.983</v>
      </c>
      <c r="H11" s="30">
        <f>266994/1000</f>
        <v>266.99400000000003</v>
      </c>
      <c r="I11" s="30">
        <f>238989/1000</f>
        <v>238.989</v>
      </c>
      <c r="J11" s="31">
        <f>486097/1000</f>
        <v>486.09699999999998</v>
      </c>
      <c r="K11" s="29">
        <f>267615/1000</f>
        <v>267.61500000000001</v>
      </c>
      <c r="L11" s="30">
        <f>218482/1000</f>
        <v>218.482</v>
      </c>
      <c r="M11" s="32">
        <f>496765/1000</f>
        <v>496.76499999999999</v>
      </c>
      <c r="N11" s="29">
        <f>267797/1000</f>
        <v>267.79700000000003</v>
      </c>
      <c r="O11" s="32">
        <f>228969/1000</f>
        <v>228.96899999999999</v>
      </c>
      <c r="P11" s="31">
        <v>506.9</v>
      </c>
      <c r="Q11" s="29">
        <f>266516/1000</f>
        <v>266.51600000000002</v>
      </c>
      <c r="R11" s="30">
        <v>231</v>
      </c>
      <c r="S11" s="33">
        <f>490622/1000</f>
        <v>490.62200000000001</v>
      </c>
      <c r="T11" s="34">
        <v>257.10000000000002</v>
      </c>
      <c r="U11" s="33">
        <f>233490/1000</f>
        <v>233.49</v>
      </c>
      <c r="V11" s="35"/>
      <c r="W11" s="35"/>
      <c r="X11" s="35" t="s">
        <v>23</v>
      </c>
      <c r="Y11" s="35"/>
      <c r="Z11" s="35"/>
      <c r="AA11" s="35"/>
    </row>
    <row r="12" spans="1:27" s="5" customFormat="1" ht="25.5" customHeight="1" x14ac:dyDescent="0.3">
      <c r="A12" s="28"/>
      <c r="B12" s="28"/>
      <c r="C12" s="28" t="s">
        <v>24</v>
      </c>
      <c r="D12" s="28"/>
      <c r="E12" s="28"/>
      <c r="F12" s="28"/>
      <c r="G12" s="29">
        <f>501237/1000</f>
        <v>501.23700000000002</v>
      </c>
      <c r="H12" s="30">
        <f>263642/1000</f>
        <v>263.642</v>
      </c>
      <c r="I12" s="30">
        <f>237595/1000</f>
        <v>237.595</v>
      </c>
      <c r="J12" s="31">
        <f>480475/1000</f>
        <v>480.47500000000002</v>
      </c>
      <c r="K12" s="29">
        <f>264182/1000</f>
        <v>264.18200000000002</v>
      </c>
      <c r="L12" s="30">
        <f>216293/1000</f>
        <v>216.29300000000001</v>
      </c>
      <c r="M12" s="32">
        <f>493378/1000</f>
        <v>493.37799999999999</v>
      </c>
      <c r="N12" s="29">
        <f>266088/1000</f>
        <v>266.08800000000002</v>
      </c>
      <c r="O12" s="32">
        <f>227290/1000</f>
        <v>227.29</v>
      </c>
      <c r="P12" s="31">
        <v>497.5</v>
      </c>
      <c r="Q12" s="29">
        <f>259064/1000</f>
        <v>259.06400000000002</v>
      </c>
      <c r="R12" s="30">
        <f>229013/1000</f>
        <v>229.01300000000001</v>
      </c>
      <c r="S12" s="33">
        <f>487330/1000</f>
        <v>487.33</v>
      </c>
      <c r="T12" s="34">
        <v>255.5</v>
      </c>
      <c r="U12" s="33">
        <f>231752/1000</f>
        <v>231.75200000000001</v>
      </c>
      <c r="V12" s="35"/>
      <c r="W12" s="35"/>
      <c r="X12" s="35"/>
      <c r="Y12" s="35" t="s">
        <v>25</v>
      </c>
      <c r="Z12" s="35"/>
      <c r="AA12" s="35"/>
    </row>
    <row r="13" spans="1:27" s="5" customFormat="1" ht="25.5" customHeight="1" x14ac:dyDescent="0.3">
      <c r="A13" s="28"/>
      <c r="B13" s="28"/>
      <c r="C13" s="28" t="s">
        <v>26</v>
      </c>
      <c r="D13" s="28"/>
      <c r="E13" s="28"/>
      <c r="F13" s="28"/>
      <c r="G13" s="29">
        <v>4.8</v>
      </c>
      <c r="H13" s="30">
        <f>3352/1000</f>
        <v>3.3519999999999999</v>
      </c>
      <c r="I13" s="30">
        <f>1394/1000</f>
        <v>1.3939999999999999</v>
      </c>
      <c r="J13" s="31">
        <f>5622/1000</f>
        <v>5.6219999999999999</v>
      </c>
      <c r="K13" s="29">
        <f>3433/1000</f>
        <v>3.4329999999999998</v>
      </c>
      <c r="L13" s="36">
        <f>2189/1000</f>
        <v>2.1890000000000001</v>
      </c>
      <c r="M13" s="32">
        <f>3387/1000</f>
        <v>3.387</v>
      </c>
      <c r="N13" s="29">
        <f>1708/1000</f>
        <v>1.708</v>
      </c>
      <c r="O13" s="32">
        <f>1679/1000</f>
        <v>1.679</v>
      </c>
      <c r="P13" s="31">
        <f>9362/1000</f>
        <v>9.3620000000000001</v>
      </c>
      <c r="Q13" s="29">
        <v>7.4</v>
      </c>
      <c r="R13" s="36">
        <v>2</v>
      </c>
      <c r="S13" s="33">
        <f>3292/1000</f>
        <v>3.2919999999999998</v>
      </c>
      <c r="T13" s="34">
        <f>1553/1000</f>
        <v>1.5529999999999999</v>
      </c>
      <c r="U13" s="33">
        <f>1739/1000</f>
        <v>1.7390000000000001</v>
      </c>
      <c r="V13" s="35"/>
      <c r="W13" s="35"/>
      <c r="X13" s="35"/>
      <c r="Y13" s="35" t="s">
        <v>27</v>
      </c>
      <c r="Z13" s="35"/>
      <c r="AA13" s="35"/>
    </row>
    <row r="14" spans="1:27" s="5" customFormat="1" ht="25.5" customHeight="1" x14ac:dyDescent="0.3">
      <c r="A14" s="28"/>
      <c r="B14" s="28" t="s">
        <v>28</v>
      </c>
      <c r="C14" s="28"/>
      <c r="D14" s="28"/>
      <c r="E14" s="28"/>
      <c r="F14" s="28"/>
      <c r="G14" s="37">
        <f>118/1000</f>
        <v>0.11799999999999999</v>
      </c>
      <c r="H14" s="36" t="s">
        <v>29</v>
      </c>
      <c r="I14" s="36">
        <f>118/1000</f>
        <v>0.11799999999999999</v>
      </c>
      <c r="J14" s="31">
        <f>1395/1000</f>
        <v>1.395</v>
      </c>
      <c r="K14" s="29">
        <f>597/1000</f>
        <v>0.59699999999999998</v>
      </c>
      <c r="L14" s="36">
        <f>799/1000</f>
        <v>0.79900000000000004</v>
      </c>
      <c r="M14" s="38" t="s">
        <v>29</v>
      </c>
      <c r="N14" s="37" t="s">
        <v>29</v>
      </c>
      <c r="O14" s="38" t="s">
        <v>29</v>
      </c>
      <c r="P14" s="37" t="s">
        <v>29</v>
      </c>
      <c r="Q14" s="38" t="s">
        <v>29</v>
      </c>
      <c r="R14" s="37" t="s">
        <v>29</v>
      </c>
      <c r="S14" s="33">
        <v>0.9</v>
      </c>
      <c r="T14" s="34">
        <v>0.9</v>
      </c>
      <c r="U14" s="39" t="s">
        <v>29</v>
      </c>
      <c r="V14" s="35"/>
      <c r="W14" s="35"/>
      <c r="X14" s="35" t="s">
        <v>30</v>
      </c>
      <c r="Y14" s="35"/>
      <c r="Z14" s="35"/>
      <c r="AA14" s="35"/>
    </row>
    <row r="15" spans="1:27" s="6" customFormat="1" ht="25.5" customHeight="1" x14ac:dyDescent="0.3">
      <c r="A15" s="1" t="s">
        <v>31</v>
      </c>
      <c r="B15" s="1"/>
      <c r="C15" s="1"/>
      <c r="D15" s="1"/>
      <c r="E15" s="1"/>
      <c r="F15" s="1"/>
      <c r="G15" s="26">
        <f>234212/1000</f>
        <v>234.21199999999999</v>
      </c>
      <c r="H15" s="40">
        <f>87343/1000</f>
        <v>87.343000000000004</v>
      </c>
      <c r="I15" s="40">
        <f>146869/1000</f>
        <v>146.869</v>
      </c>
      <c r="J15" s="41">
        <f>253069/1000</f>
        <v>253.06899999999999</v>
      </c>
      <c r="K15" s="26">
        <f>86181/1000</f>
        <v>86.180999999999997</v>
      </c>
      <c r="L15" s="40">
        <f>166888/1000</f>
        <v>166.88800000000001</v>
      </c>
      <c r="M15" s="40">
        <f>243899/1000</f>
        <v>243.899</v>
      </c>
      <c r="N15" s="26">
        <f>86582/1000</f>
        <v>86.581999999999994</v>
      </c>
      <c r="O15" s="42">
        <f>157316/1000</f>
        <v>157.316</v>
      </c>
      <c r="P15" s="37">
        <f>243220/1000</f>
        <v>243.22</v>
      </c>
      <c r="Q15" s="38">
        <v>87.7</v>
      </c>
      <c r="R15" s="37">
        <f>155440/1000</f>
        <v>155.44</v>
      </c>
      <c r="S15" s="27">
        <f>249997/1000</f>
        <v>249.99700000000001</v>
      </c>
      <c r="T15" s="24">
        <f>97019/1000</f>
        <v>97.019000000000005</v>
      </c>
      <c r="U15" s="27">
        <f>152978/1000</f>
        <v>152.97800000000001</v>
      </c>
      <c r="V15" s="25"/>
      <c r="W15" s="25" t="s">
        <v>32</v>
      </c>
      <c r="X15" s="25"/>
      <c r="Y15" s="25"/>
      <c r="Z15" s="25"/>
      <c r="AA15" s="25"/>
    </row>
    <row r="16" spans="1:27" s="5" customFormat="1" ht="25.5" customHeight="1" x14ac:dyDescent="0.3">
      <c r="A16" s="28"/>
      <c r="B16" s="28" t="s">
        <v>33</v>
      </c>
      <c r="C16" s="28"/>
      <c r="D16" s="28"/>
      <c r="E16" s="28"/>
      <c r="F16" s="28"/>
      <c r="G16" s="29">
        <f>57946/1000</f>
        <v>57.945999999999998</v>
      </c>
      <c r="H16" s="30">
        <v>5.0999999999999996</v>
      </c>
      <c r="I16" s="30">
        <f>52751/1000</f>
        <v>52.750999999999998</v>
      </c>
      <c r="J16" s="31">
        <f>76755/1000</f>
        <v>76.754999999999995</v>
      </c>
      <c r="K16" s="29">
        <f>4459/1000</f>
        <v>4.4589999999999996</v>
      </c>
      <c r="L16" s="30">
        <f>72295/1000</f>
        <v>72.295000000000002</v>
      </c>
      <c r="M16" s="32">
        <f>70836/1000</f>
        <v>70.835999999999999</v>
      </c>
      <c r="N16" s="29">
        <f>6591/1000</f>
        <v>6.5910000000000002</v>
      </c>
      <c r="O16" s="32">
        <f>64245/1000</f>
        <v>64.245000000000005</v>
      </c>
      <c r="P16" s="31">
        <f>72450/1000</f>
        <v>72.45</v>
      </c>
      <c r="Q16" s="29">
        <f>6939/1000</f>
        <v>6.9390000000000001</v>
      </c>
      <c r="R16" s="30">
        <f>65510/1000</f>
        <v>65.510000000000005</v>
      </c>
      <c r="S16" s="33">
        <f>52620/1000</f>
        <v>52.62</v>
      </c>
      <c r="T16" s="34">
        <f>2582/1000</f>
        <v>2.5819999999999999</v>
      </c>
      <c r="U16" s="33">
        <f>50038/1000</f>
        <v>50.037999999999997</v>
      </c>
      <c r="V16" s="35"/>
      <c r="W16" s="35"/>
      <c r="X16" s="35" t="s">
        <v>34</v>
      </c>
      <c r="Y16" s="35"/>
      <c r="Z16" s="35"/>
      <c r="AA16" s="35"/>
    </row>
    <row r="17" spans="1:27" s="5" customFormat="1" ht="25.5" customHeight="1" x14ac:dyDescent="0.3">
      <c r="A17" s="28"/>
      <c r="B17" s="28" t="s">
        <v>35</v>
      </c>
      <c r="C17" s="28"/>
      <c r="D17" s="28"/>
      <c r="E17" s="28"/>
      <c r="F17" s="28"/>
      <c r="G17" s="29">
        <f>82077/1000</f>
        <v>82.076999999999998</v>
      </c>
      <c r="H17" s="30">
        <f>37564/1000</f>
        <v>37.564</v>
      </c>
      <c r="I17" s="30">
        <f>44513/1000</f>
        <v>44.512999999999998</v>
      </c>
      <c r="J17" s="31">
        <f>72975/1000</f>
        <v>72.974999999999994</v>
      </c>
      <c r="K17" s="29">
        <f>31530/1000</f>
        <v>31.53</v>
      </c>
      <c r="L17" s="30">
        <v>41.5</v>
      </c>
      <c r="M17" s="32">
        <f>77295/1000</f>
        <v>77.295000000000002</v>
      </c>
      <c r="N17" s="29">
        <f>32942/1000</f>
        <v>32.942</v>
      </c>
      <c r="O17" s="32">
        <f>44353/1000</f>
        <v>44.353000000000002</v>
      </c>
      <c r="P17" s="31">
        <f>73530/1000</f>
        <v>73.53</v>
      </c>
      <c r="Q17" s="29">
        <f>33833/1000</f>
        <v>33.832999999999998</v>
      </c>
      <c r="R17" s="30">
        <f>39697/1000</f>
        <v>39.697000000000003</v>
      </c>
      <c r="S17" s="33">
        <f>87001/1000</f>
        <v>87.001000000000005</v>
      </c>
      <c r="T17" s="34">
        <f>39797/1000</f>
        <v>39.796999999999997</v>
      </c>
      <c r="U17" s="33">
        <f>47205/1000</f>
        <v>47.204999999999998</v>
      </c>
      <c r="V17" s="35"/>
      <c r="W17" s="35"/>
      <c r="X17" s="35" t="s">
        <v>36</v>
      </c>
      <c r="Y17" s="35"/>
      <c r="Z17" s="35"/>
      <c r="AA17" s="35"/>
    </row>
    <row r="18" spans="1:27" s="5" customFormat="1" ht="25.5" customHeight="1" x14ac:dyDescent="0.3">
      <c r="A18" s="28"/>
      <c r="B18" s="28" t="s">
        <v>44</v>
      </c>
      <c r="C18" s="28"/>
      <c r="D18" s="28"/>
      <c r="E18" s="28"/>
      <c r="F18" s="28"/>
      <c r="G18" s="37"/>
      <c r="H18" s="30"/>
      <c r="I18" s="30"/>
      <c r="J18" s="31"/>
      <c r="K18" s="29"/>
      <c r="L18" s="30"/>
      <c r="M18" s="32"/>
      <c r="N18" s="29"/>
      <c r="O18" s="32"/>
      <c r="P18" s="31"/>
      <c r="Q18" s="29"/>
      <c r="R18" s="30"/>
      <c r="S18" s="33"/>
      <c r="T18" s="34"/>
      <c r="U18" s="33"/>
      <c r="V18" s="35"/>
      <c r="W18" s="35"/>
      <c r="X18" s="35" t="s">
        <v>46</v>
      </c>
      <c r="Y18" s="35"/>
      <c r="Z18" s="35"/>
      <c r="AA18" s="35"/>
    </row>
    <row r="19" spans="1:27" s="5" customFormat="1" ht="25.5" customHeight="1" x14ac:dyDescent="0.3">
      <c r="A19" s="28"/>
      <c r="B19" s="28"/>
      <c r="C19" s="28" t="s">
        <v>45</v>
      </c>
      <c r="D19" s="28"/>
      <c r="E19" s="28"/>
      <c r="F19" s="28"/>
      <c r="G19" s="37" t="s">
        <v>29</v>
      </c>
      <c r="H19" s="37" t="s">
        <v>29</v>
      </c>
      <c r="I19" s="37" t="s">
        <v>29</v>
      </c>
      <c r="J19" s="37" t="s">
        <v>29</v>
      </c>
      <c r="K19" s="37" t="s">
        <v>29</v>
      </c>
      <c r="L19" s="37" t="s">
        <v>29</v>
      </c>
      <c r="M19" s="37" t="s">
        <v>29</v>
      </c>
      <c r="N19" s="37" t="s">
        <v>29</v>
      </c>
      <c r="O19" s="37" t="s">
        <v>29</v>
      </c>
      <c r="P19" s="37" t="s">
        <v>29</v>
      </c>
      <c r="Q19" s="37" t="s">
        <v>29</v>
      </c>
      <c r="R19" s="37" t="s">
        <v>29</v>
      </c>
      <c r="S19" s="37" t="s">
        <v>29</v>
      </c>
      <c r="T19" s="37" t="s">
        <v>29</v>
      </c>
      <c r="U19" s="37" t="s">
        <v>29</v>
      </c>
      <c r="V19" s="35"/>
      <c r="W19" s="35"/>
      <c r="X19" s="35"/>
      <c r="Y19" s="35" t="s">
        <v>47</v>
      </c>
      <c r="Z19" s="35"/>
      <c r="AA19" s="35"/>
    </row>
    <row r="20" spans="1:27" s="5" customFormat="1" ht="25.5" customHeight="1" x14ac:dyDescent="0.3">
      <c r="A20" s="28"/>
      <c r="B20" s="28" t="s">
        <v>43</v>
      </c>
      <c r="C20" s="28"/>
      <c r="D20" s="28"/>
      <c r="E20" s="28"/>
      <c r="F20" s="28"/>
      <c r="G20" s="29">
        <f>94189/1000</f>
        <v>94.188999999999993</v>
      </c>
      <c r="H20" s="30">
        <f>44584/1000</f>
        <v>44.584000000000003</v>
      </c>
      <c r="I20" s="30">
        <f>49605/1000</f>
        <v>49.604999999999997</v>
      </c>
      <c r="J20" s="31">
        <f>103340/1000</f>
        <v>103.34</v>
      </c>
      <c r="K20" s="29">
        <f>50191/1000</f>
        <v>50.191000000000003</v>
      </c>
      <c r="L20" s="30">
        <f>53149/1000</f>
        <v>53.149000000000001</v>
      </c>
      <c r="M20" s="32">
        <f>95768/1000</f>
        <v>95.768000000000001</v>
      </c>
      <c r="N20" s="29">
        <v>47.1</v>
      </c>
      <c r="O20" s="32">
        <f>48718/1000</f>
        <v>48.718000000000004</v>
      </c>
      <c r="P20" s="31">
        <f>97240/1000</f>
        <v>97.24</v>
      </c>
      <c r="Q20" s="29">
        <f>47008/1000</f>
        <v>47.008000000000003</v>
      </c>
      <c r="R20" s="30">
        <f>50233/1000</f>
        <v>50.232999999999997</v>
      </c>
      <c r="S20" s="33">
        <f>110376/1000</f>
        <v>110.376</v>
      </c>
      <c r="T20" s="34">
        <f>54640/1000</f>
        <v>54.64</v>
      </c>
      <c r="U20" s="33">
        <v>55.8</v>
      </c>
      <c r="V20" s="35"/>
      <c r="W20" s="35"/>
      <c r="X20" s="35" t="s">
        <v>48</v>
      </c>
      <c r="Y20" s="35"/>
      <c r="Z20" s="35"/>
      <c r="AA20" s="35"/>
    </row>
    <row r="21" spans="1:27" ht="6" customHeight="1" x14ac:dyDescent="0.3">
      <c r="A21" s="8"/>
      <c r="B21" s="8"/>
      <c r="C21" s="8"/>
      <c r="D21" s="8"/>
      <c r="E21" s="8"/>
      <c r="F21" s="8"/>
      <c r="G21" s="43"/>
      <c r="H21" s="44"/>
      <c r="I21" s="45"/>
      <c r="J21" s="43"/>
      <c r="K21" s="44"/>
      <c r="L21" s="45"/>
      <c r="M21" s="8"/>
      <c r="N21" s="44"/>
      <c r="O21" s="8"/>
      <c r="P21" s="43"/>
      <c r="Q21" s="44"/>
      <c r="R21" s="45"/>
      <c r="S21" s="44"/>
      <c r="T21" s="8"/>
      <c r="U21" s="44"/>
      <c r="V21" s="8"/>
      <c r="W21" s="8"/>
      <c r="X21" s="8"/>
      <c r="Y21" s="8"/>
      <c r="Z21" s="8"/>
      <c r="AA21" s="8"/>
    </row>
    <row r="22" spans="1:27" ht="9.9499999999999993" customHeight="1" x14ac:dyDescent="0.3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</row>
    <row r="23" spans="1:27" s="7" customFormat="1" ht="18.75" customHeight="1" x14ac:dyDescent="0.2">
      <c r="A23" s="46"/>
      <c r="B23" s="46"/>
      <c r="C23" s="46"/>
      <c r="D23" s="47" t="s">
        <v>37</v>
      </c>
      <c r="E23" s="46" t="s">
        <v>50</v>
      </c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</row>
    <row r="24" spans="1:27" s="7" customFormat="1" ht="18.75" customHeight="1" x14ac:dyDescent="0.2">
      <c r="A24" s="46"/>
      <c r="B24" s="46"/>
      <c r="C24" s="46"/>
      <c r="D24" s="47" t="s">
        <v>38</v>
      </c>
      <c r="E24" s="46" t="s">
        <v>42</v>
      </c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</row>
    <row r="25" spans="1:27" s="5" customFormat="1" ht="15.75" customHeight="1" x14ac:dyDescent="0.25"/>
  </sheetData>
  <mergeCells count="17">
    <mergeCell ref="W9:AA9"/>
    <mergeCell ref="A9:F9"/>
    <mergeCell ref="A5:F8"/>
    <mergeCell ref="G5:I5"/>
    <mergeCell ref="J5:L5"/>
    <mergeCell ref="M5:O5"/>
    <mergeCell ref="G6:I6"/>
    <mergeCell ref="W3:AA3"/>
    <mergeCell ref="G4:R4"/>
    <mergeCell ref="S4:U4"/>
    <mergeCell ref="S5:U5"/>
    <mergeCell ref="W5:AA8"/>
    <mergeCell ref="S6:U6"/>
    <mergeCell ref="P5:R5"/>
    <mergeCell ref="J6:L6"/>
    <mergeCell ref="M6:O6"/>
    <mergeCell ref="P6:R6"/>
  </mergeCells>
  <pageMargins left="0.52" right="0.11811023622047245" top="1.01" bottom="0.59055118110236227" header="0.51181102362204722" footer="0.51181102362204722"/>
  <pageSetup paperSize="9" scale="9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workbookViewId="0">
      <selection activeCell="G12" sqref="G12"/>
    </sheetView>
  </sheetViews>
  <sheetFormatPr defaultRowHeight="14.25" x14ac:dyDescent="0.2"/>
  <sheetData>
    <row r="1" spans="1:27" ht="18.75" x14ac:dyDescent="0.3">
      <c r="A1" s="1"/>
      <c r="B1" s="2" t="s">
        <v>0</v>
      </c>
      <c r="C1" s="2"/>
      <c r="D1" s="2"/>
      <c r="E1" s="3">
        <v>7.3</v>
      </c>
      <c r="F1" s="2" t="s">
        <v>39</v>
      </c>
      <c r="G1" s="2"/>
      <c r="H1" s="2"/>
      <c r="I1" s="2"/>
      <c r="J1" s="2"/>
      <c r="K1" s="2"/>
      <c r="L1" s="2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8.75" x14ac:dyDescent="0.3">
      <c r="A2" s="1"/>
      <c r="B2" s="2" t="s">
        <v>1</v>
      </c>
      <c r="C2" s="2"/>
      <c r="D2" s="2"/>
      <c r="E2" s="3">
        <v>7.3</v>
      </c>
      <c r="F2" s="2" t="s">
        <v>40</v>
      </c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7.25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52" t="s">
        <v>49</v>
      </c>
      <c r="X3" s="52"/>
      <c r="Y3" s="52"/>
      <c r="Z3" s="52"/>
      <c r="AA3" s="52"/>
    </row>
    <row r="4" spans="1:27" ht="17.25" x14ac:dyDescent="0.3">
      <c r="A4" s="9"/>
      <c r="B4" s="9"/>
      <c r="C4" s="9"/>
      <c r="D4" s="9"/>
      <c r="E4" s="9"/>
      <c r="F4" s="10"/>
      <c r="G4" s="53" t="s">
        <v>2</v>
      </c>
      <c r="H4" s="54"/>
      <c r="I4" s="54"/>
      <c r="J4" s="54"/>
      <c r="K4" s="54"/>
      <c r="L4" s="54"/>
      <c r="M4" s="54"/>
      <c r="N4" s="54"/>
      <c r="O4" s="54"/>
      <c r="P4" s="54"/>
      <c r="Q4" s="54"/>
      <c r="R4" s="55"/>
      <c r="S4" s="53" t="s">
        <v>41</v>
      </c>
      <c r="T4" s="54"/>
      <c r="U4" s="55"/>
      <c r="V4" s="11"/>
      <c r="W4" s="12"/>
      <c r="X4" s="12"/>
      <c r="Y4" s="12"/>
      <c r="Z4" s="12"/>
      <c r="AA4" s="12"/>
    </row>
    <row r="5" spans="1:27" ht="17.25" x14ac:dyDescent="0.2">
      <c r="A5" s="58" t="s">
        <v>3</v>
      </c>
      <c r="B5" s="58"/>
      <c r="C5" s="58"/>
      <c r="D5" s="58"/>
      <c r="E5" s="58"/>
      <c r="F5" s="66"/>
      <c r="G5" s="56" t="s">
        <v>4</v>
      </c>
      <c r="H5" s="56"/>
      <c r="I5" s="57"/>
      <c r="J5" s="56" t="s">
        <v>5</v>
      </c>
      <c r="K5" s="56"/>
      <c r="L5" s="57"/>
      <c r="M5" s="63" t="s">
        <v>6</v>
      </c>
      <c r="N5" s="56"/>
      <c r="O5" s="57"/>
      <c r="P5" s="63" t="s">
        <v>7</v>
      </c>
      <c r="Q5" s="56"/>
      <c r="R5" s="57"/>
      <c r="S5" s="56" t="s">
        <v>4</v>
      </c>
      <c r="T5" s="56"/>
      <c r="U5" s="57"/>
      <c r="V5" s="13"/>
      <c r="W5" s="58" t="s">
        <v>8</v>
      </c>
      <c r="X5" s="58"/>
      <c r="Y5" s="58"/>
      <c r="Z5" s="58"/>
      <c r="AA5" s="58"/>
    </row>
    <row r="6" spans="1:27" ht="17.25" x14ac:dyDescent="0.2">
      <c r="A6" s="58"/>
      <c r="B6" s="58"/>
      <c r="C6" s="58"/>
      <c r="D6" s="58"/>
      <c r="E6" s="58"/>
      <c r="F6" s="66"/>
      <c r="G6" s="60" t="s">
        <v>9</v>
      </c>
      <c r="H6" s="61"/>
      <c r="I6" s="62"/>
      <c r="J6" s="60" t="s">
        <v>10</v>
      </c>
      <c r="K6" s="61"/>
      <c r="L6" s="62"/>
      <c r="M6" s="60" t="s">
        <v>11</v>
      </c>
      <c r="N6" s="61"/>
      <c r="O6" s="62"/>
      <c r="P6" s="60" t="s">
        <v>12</v>
      </c>
      <c r="Q6" s="61"/>
      <c r="R6" s="62"/>
      <c r="S6" s="60" t="s">
        <v>9</v>
      </c>
      <c r="T6" s="61"/>
      <c r="U6" s="62"/>
      <c r="V6" s="13"/>
      <c r="W6" s="58"/>
      <c r="X6" s="58"/>
      <c r="Y6" s="58"/>
      <c r="Z6" s="58"/>
      <c r="AA6" s="58"/>
    </row>
    <row r="7" spans="1:27" ht="17.25" x14ac:dyDescent="0.3">
      <c r="A7" s="58"/>
      <c r="B7" s="58"/>
      <c r="C7" s="58"/>
      <c r="D7" s="58"/>
      <c r="E7" s="58"/>
      <c r="F7" s="66"/>
      <c r="G7" s="14" t="s">
        <v>13</v>
      </c>
      <c r="H7" s="15" t="s">
        <v>14</v>
      </c>
      <c r="I7" s="16" t="s">
        <v>15</v>
      </c>
      <c r="J7" s="14" t="s">
        <v>13</v>
      </c>
      <c r="K7" s="15" t="s">
        <v>14</v>
      </c>
      <c r="L7" s="16" t="s">
        <v>15</v>
      </c>
      <c r="M7" s="14" t="s">
        <v>13</v>
      </c>
      <c r="N7" s="15" t="s">
        <v>14</v>
      </c>
      <c r="O7" s="16" t="s">
        <v>15</v>
      </c>
      <c r="P7" s="14" t="s">
        <v>13</v>
      </c>
      <c r="Q7" s="15" t="s">
        <v>14</v>
      </c>
      <c r="R7" s="16" t="s">
        <v>15</v>
      </c>
      <c r="S7" s="15" t="s">
        <v>13</v>
      </c>
      <c r="T7" s="15" t="s">
        <v>14</v>
      </c>
      <c r="U7" s="16" t="s">
        <v>15</v>
      </c>
      <c r="V7" s="17"/>
      <c r="W7" s="58"/>
      <c r="X7" s="58"/>
      <c r="Y7" s="58"/>
      <c r="Z7" s="58"/>
      <c r="AA7" s="58"/>
    </row>
    <row r="8" spans="1:27" ht="17.25" x14ac:dyDescent="0.3">
      <c r="A8" s="59"/>
      <c r="B8" s="59"/>
      <c r="C8" s="59"/>
      <c r="D8" s="59"/>
      <c r="E8" s="59"/>
      <c r="F8" s="67"/>
      <c r="G8" s="18" t="s">
        <v>16</v>
      </c>
      <c r="H8" s="19" t="s">
        <v>17</v>
      </c>
      <c r="I8" s="20" t="s">
        <v>18</v>
      </c>
      <c r="J8" s="18" t="s">
        <v>16</v>
      </c>
      <c r="K8" s="19" t="s">
        <v>17</v>
      </c>
      <c r="L8" s="20" t="s">
        <v>18</v>
      </c>
      <c r="M8" s="18" t="s">
        <v>16</v>
      </c>
      <c r="N8" s="19" t="s">
        <v>17</v>
      </c>
      <c r="O8" s="20" t="s">
        <v>18</v>
      </c>
      <c r="P8" s="18" t="s">
        <v>16</v>
      </c>
      <c r="Q8" s="19" t="s">
        <v>17</v>
      </c>
      <c r="R8" s="20" t="s">
        <v>18</v>
      </c>
      <c r="S8" s="19" t="s">
        <v>16</v>
      </c>
      <c r="T8" s="19" t="s">
        <v>17</v>
      </c>
      <c r="U8" s="20" t="s">
        <v>18</v>
      </c>
      <c r="V8" s="21"/>
      <c r="W8" s="59"/>
      <c r="X8" s="59"/>
      <c r="Y8" s="59"/>
      <c r="Z8" s="59"/>
      <c r="AA8" s="59"/>
    </row>
    <row r="9" spans="1:27" ht="17.25" x14ac:dyDescent="0.3">
      <c r="A9" s="64" t="s">
        <v>19</v>
      </c>
      <c r="B9" s="64"/>
      <c r="C9" s="64"/>
      <c r="D9" s="64"/>
      <c r="E9" s="64"/>
      <c r="F9" s="65"/>
      <c r="G9" s="49">
        <f>SUM(G10+G15)</f>
        <v>740.30000000000007</v>
      </c>
      <c r="H9" s="49">
        <f t="shared" ref="H9:U9" si="0">SUM(H10+H15)</f>
        <v>354.3</v>
      </c>
      <c r="I9" s="49">
        <f t="shared" si="0"/>
        <v>386</v>
      </c>
      <c r="J9" s="49">
        <f t="shared" si="0"/>
        <v>740.6</v>
      </c>
      <c r="K9" s="49">
        <f t="shared" si="0"/>
        <v>354</v>
      </c>
      <c r="L9" s="49">
        <f>SUM(L10+L15)</f>
        <v>385.8</v>
      </c>
      <c r="M9" s="49">
        <f t="shared" si="0"/>
        <v>740.3</v>
      </c>
      <c r="N9" s="49">
        <f t="shared" si="0"/>
        <v>354.2</v>
      </c>
      <c r="O9" s="49">
        <f t="shared" si="0"/>
        <v>386</v>
      </c>
      <c r="P9" s="49">
        <f t="shared" si="0"/>
        <v>749.90000000000009</v>
      </c>
      <c r="Q9" s="49">
        <f t="shared" si="0"/>
        <v>354.09999999999997</v>
      </c>
      <c r="R9" s="49">
        <f t="shared" si="0"/>
        <v>386.3</v>
      </c>
      <c r="S9" s="49">
        <f t="shared" si="0"/>
        <v>741.3</v>
      </c>
      <c r="T9" s="49">
        <f t="shared" si="0"/>
        <v>354.7</v>
      </c>
      <c r="U9" s="49">
        <f t="shared" si="0"/>
        <v>386.4</v>
      </c>
      <c r="V9" s="25"/>
      <c r="W9" s="64" t="s">
        <v>16</v>
      </c>
      <c r="X9" s="64"/>
      <c r="Y9" s="64"/>
      <c r="Z9" s="64"/>
      <c r="AA9" s="64"/>
    </row>
    <row r="10" spans="1:27" ht="17.25" x14ac:dyDescent="0.3">
      <c r="A10" s="1" t="s">
        <v>20</v>
      </c>
      <c r="B10" s="1"/>
      <c r="C10" s="1"/>
      <c r="D10" s="1"/>
      <c r="E10" s="1"/>
      <c r="F10" s="1"/>
      <c r="G10" s="51">
        <f>SUM(G11+G14)</f>
        <v>506.10000000000008</v>
      </c>
      <c r="H10" s="51">
        <f>SUM(H11+H14)</f>
        <v>267</v>
      </c>
      <c r="I10" s="51">
        <f t="shared" ref="I10:U10" si="1">SUM(I11+I14)</f>
        <v>239.1</v>
      </c>
      <c r="J10" s="51">
        <f t="shared" si="1"/>
        <v>487.5</v>
      </c>
      <c r="K10" s="51">
        <f t="shared" si="1"/>
        <v>268</v>
      </c>
      <c r="L10" s="51">
        <f t="shared" si="1"/>
        <v>219</v>
      </c>
      <c r="M10" s="51">
        <f t="shared" si="1"/>
        <v>496.6</v>
      </c>
      <c r="N10" s="51">
        <f t="shared" si="1"/>
        <v>267.7</v>
      </c>
      <c r="O10" s="51">
        <f t="shared" si="1"/>
        <v>228.8</v>
      </c>
      <c r="P10" s="51">
        <f t="shared" si="1"/>
        <v>506.8</v>
      </c>
      <c r="Q10" s="51">
        <f t="shared" si="1"/>
        <v>266.39999999999998</v>
      </c>
      <c r="R10" s="51">
        <f t="shared" si="1"/>
        <v>231</v>
      </c>
      <c r="S10" s="51">
        <f t="shared" si="1"/>
        <v>491.4</v>
      </c>
      <c r="T10" s="51">
        <f t="shared" si="1"/>
        <v>257.89999999999998</v>
      </c>
      <c r="U10" s="51">
        <f t="shared" si="1"/>
        <v>233.4</v>
      </c>
      <c r="V10" s="25"/>
      <c r="W10" s="25" t="s">
        <v>21</v>
      </c>
      <c r="X10" s="25"/>
      <c r="Y10" s="25"/>
      <c r="Z10" s="25"/>
      <c r="AA10" s="25"/>
    </row>
    <row r="11" spans="1:27" ht="17.25" x14ac:dyDescent="0.3">
      <c r="A11" s="28"/>
      <c r="B11" s="28" t="s">
        <v>22</v>
      </c>
      <c r="C11" s="28"/>
      <c r="D11" s="28"/>
      <c r="E11" s="28"/>
      <c r="F11" s="28"/>
      <c r="G11" s="50">
        <f>SUM(G12:G13)</f>
        <v>506.00000000000006</v>
      </c>
      <c r="H11" s="50">
        <f t="shared" ref="H11:U11" si="2">SUM(H12:H13)</f>
        <v>267</v>
      </c>
      <c r="I11" s="50">
        <f t="shared" si="2"/>
        <v>239</v>
      </c>
      <c r="J11" s="50">
        <f t="shared" si="2"/>
        <v>486.1</v>
      </c>
      <c r="K11" s="50">
        <f t="shared" si="2"/>
        <v>267.5</v>
      </c>
      <c r="L11" s="50">
        <f t="shared" si="2"/>
        <v>218.3</v>
      </c>
      <c r="M11" s="50">
        <f t="shared" si="2"/>
        <v>496.6</v>
      </c>
      <c r="N11" s="50">
        <f t="shared" si="2"/>
        <v>267.7</v>
      </c>
      <c r="O11" s="50">
        <f t="shared" si="2"/>
        <v>228.8</v>
      </c>
      <c r="P11" s="50">
        <f t="shared" si="2"/>
        <v>506.8</v>
      </c>
      <c r="Q11" s="50">
        <f t="shared" si="2"/>
        <v>266.39999999999998</v>
      </c>
      <c r="R11" s="50">
        <f t="shared" si="2"/>
        <v>231</v>
      </c>
      <c r="S11" s="50">
        <f t="shared" si="2"/>
        <v>490.5</v>
      </c>
      <c r="T11" s="50">
        <f t="shared" si="2"/>
        <v>257</v>
      </c>
      <c r="U11" s="50">
        <f t="shared" si="2"/>
        <v>233.4</v>
      </c>
      <c r="V11" s="35"/>
      <c r="W11" s="35"/>
      <c r="X11" s="35" t="s">
        <v>23</v>
      </c>
      <c r="Y11" s="35"/>
      <c r="Z11" s="35"/>
      <c r="AA11" s="35"/>
    </row>
    <row r="12" spans="1:27" ht="17.25" x14ac:dyDescent="0.3">
      <c r="A12" s="28"/>
      <c r="B12" s="28"/>
      <c r="C12" s="28" t="s">
        <v>24</v>
      </c>
      <c r="D12" s="28"/>
      <c r="E12" s="28"/>
      <c r="F12" s="28"/>
      <c r="G12" s="48">
        <f>FLOOR('T3'!G12,0.1)</f>
        <v>501.20000000000005</v>
      </c>
      <c r="H12" s="48">
        <f>FLOOR('T3'!H12,0.1)</f>
        <v>263.60000000000002</v>
      </c>
      <c r="I12" s="48">
        <v>237.6</v>
      </c>
      <c r="J12" s="48">
        <v>480.5</v>
      </c>
      <c r="K12" s="48">
        <f>FLOOR('T3'!K12,0.1)</f>
        <v>264.10000000000002</v>
      </c>
      <c r="L12" s="48">
        <f>FLOOR('T3'!L12,0.1)</f>
        <v>216.20000000000002</v>
      </c>
      <c r="M12" s="48">
        <f>FLOOR('T3'!M12,0.1)</f>
        <v>493.3</v>
      </c>
      <c r="N12" s="48">
        <f>FLOOR('T3'!N12,0.1)</f>
        <v>266</v>
      </c>
      <c r="O12" s="48">
        <f>FLOOR('T3'!O12,0.1)</f>
        <v>227.20000000000002</v>
      </c>
      <c r="P12" s="48">
        <f>FLOOR('T3'!P12,0.1)</f>
        <v>497.5</v>
      </c>
      <c r="Q12" s="48">
        <f>FLOOR('T3'!Q12,0.1)</f>
        <v>259</v>
      </c>
      <c r="R12" s="48">
        <f>FLOOR('T3'!R12,0.1)</f>
        <v>229</v>
      </c>
      <c r="S12" s="48">
        <f>FLOOR('T3'!S12,0.1)</f>
        <v>487.3</v>
      </c>
      <c r="T12" s="48">
        <f>FLOOR('T3'!T12,0.1)</f>
        <v>255.5</v>
      </c>
      <c r="U12" s="48">
        <f>FLOOR('T3'!U12,0.1)</f>
        <v>231.70000000000002</v>
      </c>
      <c r="V12" s="35"/>
      <c r="W12" s="35"/>
      <c r="X12" s="35"/>
      <c r="Y12" s="35" t="s">
        <v>25</v>
      </c>
      <c r="Z12" s="35"/>
      <c r="AA12" s="35"/>
    </row>
    <row r="13" spans="1:27" ht="17.25" x14ac:dyDescent="0.3">
      <c r="A13" s="28"/>
      <c r="B13" s="28"/>
      <c r="C13" s="28" t="s">
        <v>26</v>
      </c>
      <c r="D13" s="28"/>
      <c r="E13" s="28"/>
      <c r="F13" s="28"/>
      <c r="G13" s="48">
        <f>FLOOR('T3'!G13,0.1)</f>
        <v>4.8000000000000007</v>
      </c>
      <c r="H13" s="48">
        <v>3.4</v>
      </c>
      <c r="I13" s="48">
        <v>1.4</v>
      </c>
      <c r="J13" s="48">
        <v>5.6</v>
      </c>
      <c r="K13" s="48">
        <f>FLOOR('T3'!K13,0.1)</f>
        <v>3.4000000000000004</v>
      </c>
      <c r="L13" s="48">
        <f>FLOOR('T3'!L13,0.1)</f>
        <v>2.1</v>
      </c>
      <c r="M13" s="48">
        <f>FLOOR('T3'!M13,0.1)</f>
        <v>3.3000000000000003</v>
      </c>
      <c r="N13" s="48">
        <f>FLOOR('T3'!N13,0.1)</f>
        <v>1.7000000000000002</v>
      </c>
      <c r="O13" s="48">
        <f>FLOOR('T3'!O13,0.1)</f>
        <v>1.6</v>
      </c>
      <c r="P13" s="48">
        <f>FLOOR('T3'!P13,0.1)</f>
        <v>9.3000000000000007</v>
      </c>
      <c r="Q13" s="48">
        <f>FLOOR('T3'!Q13,0.1)</f>
        <v>7.4</v>
      </c>
      <c r="R13" s="48">
        <f>FLOOR('T3'!R13,0.1)</f>
        <v>2</v>
      </c>
      <c r="S13" s="48">
        <f>FLOOR('T3'!S13,0.1)</f>
        <v>3.2</v>
      </c>
      <c r="T13" s="48">
        <f>FLOOR('T3'!T13,0.1)</f>
        <v>1.5</v>
      </c>
      <c r="U13" s="48">
        <f>FLOOR('T3'!U13,0.1)</f>
        <v>1.7000000000000002</v>
      </c>
      <c r="V13" s="35"/>
      <c r="W13" s="35"/>
      <c r="X13" s="35"/>
      <c r="Y13" s="35" t="s">
        <v>27</v>
      </c>
      <c r="Z13" s="35"/>
      <c r="AA13" s="35"/>
    </row>
    <row r="14" spans="1:27" ht="17.25" x14ac:dyDescent="0.3">
      <c r="A14" s="28"/>
      <c r="B14" s="28" t="s">
        <v>28</v>
      </c>
      <c r="C14" s="28"/>
      <c r="D14" s="28"/>
      <c r="E14" s="28"/>
      <c r="F14" s="28"/>
      <c r="G14" s="48">
        <f>FLOOR('T3'!G14,0.1)</f>
        <v>0.1</v>
      </c>
      <c r="H14" s="48"/>
      <c r="I14" s="48">
        <v>0.1</v>
      </c>
      <c r="J14" s="48">
        <v>1.4</v>
      </c>
      <c r="K14" s="48">
        <f>FLOOR('T3'!K14,0.1)</f>
        <v>0.5</v>
      </c>
      <c r="L14" s="48">
        <f>FLOOR('T3'!L14,0.1)</f>
        <v>0.70000000000000007</v>
      </c>
      <c r="M14" s="48"/>
      <c r="N14" s="48"/>
      <c r="O14" s="48"/>
      <c r="P14" s="48"/>
      <c r="Q14" s="48"/>
      <c r="R14" s="48"/>
      <c r="S14" s="48">
        <f>FLOOR('T3'!S14,0.1)</f>
        <v>0.9</v>
      </c>
      <c r="T14" s="48">
        <f>FLOOR('T3'!T14,0.1)</f>
        <v>0.9</v>
      </c>
      <c r="U14" s="48"/>
      <c r="V14" s="35"/>
      <c r="W14" s="35"/>
      <c r="X14" s="35" t="s">
        <v>30</v>
      </c>
      <c r="Y14" s="35"/>
      <c r="Z14" s="35"/>
      <c r="AA14" s="35"/>
    </row>
    <row r="15" spans="1:27" ht="17.25" x14ac:dyDescent="0.3">
      <c r="A15" s="1" t="s">
        <v>31</v>
      </c>
      <c r="B15" s="1"/>
      <c r="C15" s="1"/>
      <c r="D15" s="1"/>
      <c r="E15" s="1"/>
      <c r="F15" s="1"/>
      <c r="G15" s="50">
        <f>SUM(G16:G20)</f>
        <v>234.2</v>
      </c>
      <c r="H15" s="50">
        <f t="shared" ref="H15:U15" si="3">SUM(H16:H20)</f>
        <v>87.300000000000011</v>
      </c>
      <c r="I15" s="50">
        <f t="shared" si="3"/>
        <v>146.9</v>
      </c>
      <c r="J15" s="50">
        <f t="shared" si="3"/>
        <v>253.10000000000002</v>
      </c>
      <c r="K15" s="50">
        <f t="shared" si="3"/>
        <v>86</v>
      </c>
      <c r="L15" s="50">
        <f t="shared" si="3"/>
        <v>166.8</v>
      </c>
      <c r="M15" s="50">
        <f t="shared" si="3"/>
        <v>243.7</v>
      </c>
      <c r="N15" s="50">
        <f t="shared" si="3"/>
        <v>86.5</v>
      </c>
      <c r="O15" s="50">
        <f t="shared" si="3"/>
        <v>157.19999999999999</v>
      </c>
      <c r="P15" s="50">
        <f t="shared" si="3"/>
        <v>243.10000000000002</v>
      </c>
      <c r="Q15" s="50">
        <f t="shared" si="3"/>
        <v>87.7</v>
      </c>
      <c r="R15" s="50">
        <f t="shared" si="3"/>
        <v>155.30000000000001</v>
      </c>
      <c r="S15" s="50">
        <f t="shared" si="3"/>
        <v>249.9</v>
      </c>
      <c r="T15" s="50">
        <f t="shared" si="3"/>
        <v>96.800000000000011</v>
      </c>
      <c r="U15" s="50">
        <f t="shared" si="3"/>
        <v>153</v>
      </c>
      <c r="V15" s="25"/>
      <c r="W15" s="25" t="s">
        <v>32</v>
      </c>
      <c r="X15" s="25"/>
      <c r="Y15" s="25"/>
      <c r="Z15" s="25"/>
      <c r="AA15" s="25"/>
    </row>
    <row r="16" spans="1:27" ht="17.25" x14ac:dyDescent="0.3">
      <c r="A16" s="28"/>
      <c r="B16" s="28" t="s">
        <v>33</v>
      </c>
      <c r="C16" s="28"/>
      <c r="D16" s="28"/>
      <c r="E16" s="28"/>
      <c r="F16" s="28"/>
      <c r="G16" s="48">
        <f>FLOOR('T3'!G16,0.1)</f>
        <v>57.900000000000006</v>
      </c>
      <c r="H16" s="48">
        <f>FLOOR('T3'!H16,0.1)</f>
        <v>5.1000000000000005</v>
      </c>
      <c r="I16" s="48">
        <v>52.8</v>
      </c>
      <c r="J16" s="48">
        <v>76.8</v>
      </c>
      <c r="K16" s="48">
        <f>FLOOR('T3'!K16,0.1)</f>
        <v>4.4000000000000004</v>
      </c>
      <c r="L16" s="48">
        <f>FLOOR('T3'!L16,0.1)</f>
        <v>72.2</v>
      </c>
      <c r="M16" s="48">
        <f>FLOOR('T3'!M16,0.1)</f>
        <v>70.8</v>
      </c>
      <c r="N16" s="48">
        <f>FLOOR('T3'!N16,0.1)</f>
        <v>6.5</v>
      </c>
      <c r="O16" s="48">
        <f>FLOOR('T3'!O16,0.1)</f>
        <v>64.2</v>
      </c>
      <c r="P16" s="48">
        <f>FLOOR('T3'!P16,0.1)</f>
        <v>72.400000000000006</v>
      </c>
      <c r="Q16" s="48">
        <f>FLOOR('T3'!Q16,0.1)</f>
        <v>6.9</v>
      </c>
      <c r="R16" s="48">
        <f>FLOOR('T3'!R16,0.1)</f>
        <v>65.5</v>
      </c>
      <c r="S16" s="48">
        <f>FLOOR('T3'!S16,0.1)</f>
        <v>52.6</v>
      </c>
      <c r="T16" s="48">
        <f>FLOOR('T3'!T16,0.1)</f>
        <v>2.5</v>
      </c>
      <c r="U16" s="48">
        <f>FLOOR('T3'!U16,0.1)</f>
        <v>50</v>
      </c>
      <c r="V16" s="35"/>
      <c r="W16" s="35"/>
      <c r="X16" s="35" t="s">
        <v>34</v>
      </c>
      <c r="Y16" s="35"/>
      <c r="Z16" s="35"/>
      <c r="AA16" s="35"/>
    </row>
    <row r="17" spans="1:27" ht="17.25" x14ac:dyDescent="0.3">
      <c r="A17" s="28"/>
      <c r="B17" s="28" t="s">
        <v>35</v>
      </c>
      <c r="C17" s="28"/>
      <c r="D17" s="28"/>
      <c r="E17" s="28"/>
      <c r="F17" s="28"/>
      <c r="G17" s="48">
        <v>82.1</v>
      </c>
      <c r="H17" s="48">
        <v>37.6</v>
      </c>
      <c r="I17" s="48">
        <f>FLOOR('T3'!I17,0.1)</f>
        <v>44.5</v>
      </c>
      <c r="J17" s="48">
        <v>73</v>
      </c>
      <c r="K17" s="48">
        <f>FLOOR('T3'!K17,0.1)</f>
        <v>31.5</v>
      </c>
      <c r="L17" s="48">
        <f>FLOOR('T3'!L17,0.1)</f>
        <v>41.5</v>
      </c>
      <c r="M17" s="48">
        <f>FLOOR('T3'!M17,0.1)</f>
        <v>77.2</v>
      </c>
      <c r="N17" s="48">
        <f>FLOOR('T3'!N17,0.1)</f>
        <v>32.9</v>
      </c>
      <c r="O17" s="48">
        <f>FLOOR('T3'!O17,0.1)</f>
        <v>44.300000000000004</v>
      </c>
      <c r="P17" s="48">
        <f>FLOOR('T3'!P17,0.1)</f>
        <v>73.5</v>
      </c>
      <c r="Q17" s="48">
        <f>FLOOR('T3'!Q17,0.1)</f>
        <v>33.800000000000004</v>
      </c>
      <c r="R17" s="48">
        <f>FLOOR('T3'!R17,0.1)</f>
        <v>39.6</v>
      </c>
      <c r="S17" s="48">
        <f>FLOOR('T3'!S17,0.1)</f>
        <v>87</v>
      </c>
      <c r="T17" s="48">
        <f>FLOOR('T3'!T17,0.1)</f>
        <v>39.700000000000003</v>
      </c>
      <c r="U17" s="48">
        <f>FLOOR('T3'!U17,0.1)</f>
        <v>47.2</v>
      </c>
      <c r="V17" s="35"/>
      <c r="W17" s="35"/>
      <c r="X17" s="35" t="s">
        <v>36</v>
      </c>
      <c r="Y17" s="35"/>
      <c r="Z17" s="35"/>
      <c r="AA17" s="35"/>
    </row>
    <row r="18" spans="1:27" ht="17.25" x14ac:dyDescent="0.3">
      <c r="A18" s="28"/>
      <c r="B18" s="28" t="s">
        <v>44</v>
      </c>
      <c r="C18" s="28"/>
      <c r="D18" s="28"/>
      <c r="E18" s="28"/>
      <c r="F18" s="28"/>
      <c r="G18" s="48">
        <f>FLOOR('T3'!G18,0.1)</f>
        <v>0</v>
      </c>
      <c r="H18" s="48">
        <f>FLOOR('T3'!H18,0.1)</f>
        <v>0</v>
      </c>
      <c r="I18" s="48">
        <f>FLOOR('T3'!I18,0.1)</f>
        <v>0</v>
      </c>
      <c r="J18" s="48">
        <f>FLOOR('T3'!J18,0.1)</f>
        <v>0</v>
      </c>
      <c r="K18" s="48">
        <f>FLOOR('T3'!K18,0.1)</f>
        <v>0</v>
      </c>
      <c r="L18" s="48">
        <f>FLOOR('T3'!L18,0.1)</f>
        <v>0</v>
      </c>
      <c r="M18" s="48">
        <f>FLOOR('T3'!M18,0.1)</f>
        <v>0</v>
      </c>
      <c r="N18" s="48">
        <f>FLOOR('T3'!N18,0.1)</f>
        <v>0</v>
      </c>
      <c r="O18" s="48">
        <f>FLOOR('T3'!O18,0.1)</f>
        <v>0</v>
      </c>
      <c r="P18" s="48">
        <f>FLOOR('T3'!P18,0.1)</f>
        <v>0</v>
      </c>
      <c r="Q18" s="48">
        <f>FLOOR('T3'!Q18,0.1)</f>
        <v>0</v>
      </c>
      <c r="R18" s="48">
        <f>FLOOR('T3'!R18,0.1)</f>
        <v>0</v>
      </c>
      <c r="S18" s="48">
        <f>FLOOR('T3'!S18,0.1)</f>
        <v>0</v>
      </c>
      <c r="T18" s="48">
        <f>FLOOR('T3'!T18,0.1)</f>
        <v>0</v>
      </c>
      <c r="U18" s="48">
        <f>FLOOR('T3'!U18,0.1)</f>
        <v>0</v>
      </c>
      <c r="V18" s="35"/>
      <c r="W18" s="35"/>
      <c r="X18" s="35" t="s">
        <v>46</v>
      </c>
      <c r="Y18" s="35"/>
      <c r="Z18" s="35"/>
      <c r="AA18" s="35"/>
    </row>
    <row r="19" spans="1:27" ht="17.25" x14ac:dyDescent="0.3">
      <c r="A19" s="28"/>
      <c r="B19" s="28"/>
      <c r="C19" s="28" t="s">
        <v>45</v>
      </c>
      <c r="D19" s="28"/>
      <c r="E19" s="28"/>
      <c r="F19" s="2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35"/>
      <c r="W19" s="35"/>
      <c r="X19" s="35"/>
      <c r="Y19" s="35" t="s">
        <v>47</v>
      </c>
      <c r="Z19" s="35"/>
      <c r="AA19" s="35"/>
    </row>
    <row r="20" spans="1:27" ht="17.25" x14ac:dyDescent="0.3">
      <c r="A20" s="28"/>
      <c r="B20" s="28" t="s">
        <v>43</v>
      </c>
      <c r="C20" s="28"/>
      <c r="D20" s="28"/>
      <c r="E20" s="28"/>
      <c r="F20" s="28"/>
      <c r="G20" s="48">
        <v>94.2</v>
      </c>
      <c r="H20" s="48">
        <v>44.6</v>
      </c>
      <c r="I20" s="48">
        <f>FLOOR('T3'!I20,0.1)</f>
        <v>49.6</v>
      </c>
      <c r="J20" s="48">
        <f>FLOOR('T3'!J20,0.1)</f>
        <v>103.30000000000001</v>
      </c>
      <c r="K20" s="48">
        <f>FLOOR('T3'!K20,0.1)</f>
        <v>50.1</v>
      </c>
      <c r="L20" s="48">
        <f>FLOOR('T3'!L20,0.1)</f>
        <v>53.1</v>
      </c>
      <c r="M20" s="48">
        <f>FLOOR('T3'!M20,0.1)</f>
        <v>95.7</v>
      </c>
      <c r="N20" s="48">
        <f>FLOOR('T3'!N20,0.1)</f>
        <v>47.1</v>
      </c>
      <c r="O20" s="48">
        <f>FLOOR('T3'!O20,0.1)</f>
        <v>48.7</v>
      </c>
      <c r="P20" s="48">
        <f>FLOOR('T3'!P20,0.1)</f>
        <v>97.2</v>
      </c>
      <c r="Q20" s="48">
        <f>FLOOR('T3'!Q20,0.1)</f>
        <v>47</v>
      </c>
      <c r="R20" s="48">
        <f>FLOOR('T3'!R20,0.1)</f>
        <v>50.2</v>
      </c>
      <c r="S20" s="48">
        <f>FLOOR('T3'!S20,0.1)</f>
        <v>110.30000000000001</v>
      </c>
      <c r="T20" s="48">
        <f>FLOOR('T3'!T20,0.1)</f>
        <v>54.6</v>
      </c>
      <c r="U20" s="48">
        <f>FLOOR('T3'!U20,0.1)</f>
        <v>55.800000000000004</v>
      </c>
      <c r="V20" s="35"/>
      <c r="W20" s="35"/>
      <c r="X20" s="35" t="s">
        <v>48</v>
      </c>
      <c r="Y20" s="35"/>
      <c r="Z20" s="35"/>
      <c r="AA20" s="35"/>
    </row>
    <row r="21" spans="1:27" x14ac:dyDescent="0.2">
      <c r="H21" t="s">
        <v>51</v>
      </c>
    </row>
  </sheetData>
  <mergeCells count="17">
    <mergeCell ref="A9:F9"/>
    <mergeCell ref="W3:AA3"/>
    <mergeCell ref="G4:R4"/>
    <mergeCell ref="S4:U4"/>
    <mergeCell ref="A5:F8"/>
    <mergeCell ref="G5:I5"/>
    <mergeCell ref="J5:L5"/>
    <mergeCell ref="M5:O5"/>
    <mergeCell ref="P5:R5"/>
    <mergeCell ref="S5:U5"/>
    <mergeCell ref="W5:AA8"/>
    <mergeCell ref="W9:AA9"/>
    <mergeCell ref="G6:I6"/>
    <mergeCell ref="J6:L6"/>
    <mergeCell ref="M6:O6"/>
    <mergeCell ref="P6:R6"/>
    <mergeCell ref="S6:U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T3</vt:lpstr>
      <vt:lpstr>Sheet1</vt:lpstr>
      <vt:lpstr>'T3'!Print_Area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2017-06-17T09:08:13Z</cp:lastPrinted>
  <dcterms:created xsi:type="dcterms:W3CDTF">2016-10-05T07:08:59Z</dcterms:created>
  <dcterms:modified xsi:type="dcterms:W3CDTF">2017-09-12T04:23:30Z</dcterms:modified>
</cp:coreProperties>
</file>