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vice Distributions\Desktop\แยก\"/>
    </mc:Choice>
  </mc:AlternateContent>
  <bookViews>
    <workbookView xWindow="0" yWindow="0" windowWidth="19200" windowHeight="11220"/>
  </bookViews>
  <sheets>
    <sheet name="T-2.3" sheetId="1" r:id="rId1"/>
  </sheets>
  <definedNames>
    <definedName name="_xlnm.Print_Area" localSheetId="0">'T-2.3'!$A$1:$AB$33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3" i="1" l="1"/>
  <c r="V23" i="1"/>
  <c r="U23" i="1"/>
  <c r="T23" i="1"/>
  <c r="S23" i="1"/>
  <c r="R23" i="1"/>
  <c r="Q23" i="1"/>
  <c r="P23" i="1"/>
  <c r="O23" i="1"/>
  <c r="N23" i="1"/>
  <c r="L23" i="1" s="1"/>
  <c r="M23" i="1"/>
  <c r="K23" i="1"/>
  <c r="J23" i="1"/>
  <c r="I23" i="1" s="1"/>
  <c r="H23" i="1"/>
  <c r="G23" i="1"/>
  <c r="F23" i="1"/>
  <c r="W21" i="1"/>
  <c r="V21" i="1"/>
  <c r="U21" i="1"/>
  <c r="T21" i="1"/>
  <c r="S21" i="1"/>
  <c r="R21" i="1" s="1"/>
  <c r="Q21" i="1"/>
  <c r="P21" i="1"/>
  <c r="O21" i="1" s="1"/>
  <c r="N21" i="1"/>
  <c r="M21" i="1"/>
  <c r="L21" i="1"/>
  <c r="K21" i="1"/>
  <c r="J21" i="1"/>
  <c r="I21" i="1"/>
  <c r="H21" i="1"/>
  <c r="F21" i="1" s="1"/>
  <c r="G21" i="1"/>
  <c r="W19" i="1"/>
  <c r="V19" i="1"/>
  <c r="U19" i="1"/>
  <c r="T19" i="1"/>
  <c r="S19" i="1"/>
  <c r="R19" i="1"/>
  <c r="Q19" i="1"/>
  <c r="P19" i="1"/>
  <c r="O19" i="1"/>
  <c r="N19" i="1"/>
  <c r="L19" i="1" s="1"/>
  <c r="M19" i="1"/>
  <c r="K19" i="1"/>
  <c r="J19" i="1"/>
  <c r="I19" i="1" s="1"/>
  <c r="H19" i="1"/>
  <c r="G19" i="1"/>
  <c r="F19" i="1"/>
  <c r="W17" i="1"/>
  <c r="V17" i="1"/>
  <c r="U17" i="1"/>
  <c r="T17" i="1"/>
  <c r="R17" i="1" s="1"/>
  <c r="S17" i="1"/>
  <c r="Q17" i="1"/>
  <c r="P17" i="1"/>
  <c r="O17" i="1" s="1"/>
  <c r="N17" i="1"/>
  <c r="M17" i="1"/>
  <c r="L17" i="1"/>
  <c r="K17" i="1"/>
  <c r="J17" i="1"/>
  <c r="I17" i="1"/>
  <c r="H17" i="1"/>
  <c r="F17" i="1" s="1"/>
  <c r="G17" i="1"/>
  <c r="W16" i="1"/>
  <c r="V16" i="1"/>
  <c r="U16" i="1"/>
  <c r="T16" i="1"/>
  <c r="S16" i="1"/>
  <c r="R16" i="1"/>
  <c r="Q16" i="1"/>
  <c r="P16" i="1"/>
  <c r="O16" i="1"/>
  <c r="N16" i="1"/>
  <c r="M16" i="1"/>
  <c r="L16" i="1" s="1"/>
  <c r="K16" i="1"/>
  <c r="J16" i="1"/>
  <c r="I16" i="1" s="1"/>
  <c r="H16" i="1"/>
  <c r="G16" i="1"/>
  <c r="F16" i="1"/>
  <c r="W14" i="1"/>
  <c r="V14" i="1"/>
  <c r="U14" i="1"/>
  <c r="T14" i="1"/>
  <c r="S14" i="1"/>
  <c r="R14" i="1" s="1"/>
  <c r="Q14" i="1"/>
  <c r="P14" i="1"/>
  <c r="O14" i="1" s="1"/>
  <c r="N14" i="1"/>
  <c r="M14" i="1"/>
  <c r="L14" i="1"/>
  <c r="K14" i="1"/>
  <c r="J14" i="1"/>
  <c r="I14" i="1"/>
  <c r="H14" i="1"/>
  <c r="G14" i="1"/>
  <c r="F14" i="1" s="1"/>
  <c r="W13" i="1"/>
  <c r="V13" i="1"/>
  <c r="U13" i="1"/>
  <c r="T13" i="1"/>
  <c r="S13" i="1"/>
  <c r="R13" i="1"/>
  <c r="Q13" i="1"/>
  <c r="P13" i="1"/>
  <c r="O13" i="1"/>
  <c r="N13" i="1"/>
  <c r="M13" i="1"/>
  <c r="L13" i="1" s="1"/>
  <c r="K13" i="1"/>
  <c r="J13" i="1"/>
  <c r="I13" i="1" s="1"/>
  <c r="H13" i="1"/>
  <c r="G13" i="1"/>
  <c r="F13" i="1"/>
  <c r="W11" i="1"/>
  <c r="V11" i="1"/>
  <c r="U11" i="1"/>
  <c r="T11" i="1"/>
  <c r="S11" i="1"/>
  <c r="R11" i="1" s="1"/>
  <c r="Q11" i="1"/>
  <c r="P11" i="1"/>
  <c r="O11" i="1" s="1"/>
  <c r="N11" i="1"/>
  <c r="M11" i="1"/>
  <c r="L11" i="1"/>
  <c r="K11" i="1"/>
  <c r="J11" i="1"/>
  <c r="I11" i="1"/>
  <c r="H11" i="1"/>
  <c r="G11" i="1"/>
  <c r="F11" i="1" s="1"/>
  <c r="W10" i="1"/>
  <c r="V10" i="1"/>
  <c r="U10" i="1"/>
  <c r="T10" i="1"/>
  <c r="S10" i="1"/>
  <c r="S9" i="1" s="1"/>
  <c r="R9" i="1" s="1"/>
  <c r="R10" i="1"/>
  <c r="Q10" i="1"/>
  <c r="P10" i="1"/>
  <c r="O10" i="1"/>
  <c r="N10" i="1"/>
  <c r="N9" i="1" s="1"/>
  <c r="L9" i="1" s="1"/>
  <c r="M10" i="1"/>
  <c r="L10" i="1" s="1"/>
  <c r="K10" i="1"/>
  <c r="K9" i="1" s="1"/>
  <c r="J10" i="1"/>
  <c r="I10" i="1" s="1"/>
  <c r="H10" i="1"/>
  <c r="G10" i="1"/>
  <c r="G9" i="1" s="1"/>
  <c r="F9" i="1" s="1"/>
  <c r="F10" i="1"/>
  <c r="W9" i="1"/>
  <c r="V9" i="1"/>
  <c r="U9" i="1"/>
  <c r="T9" i="1"/>
  <c r="Q9" i="1"/>
  <c r="P9" i="1"/>
  <c r="O9" i="1" s="1"/>
  <c r="M9" i="1"/>
  <c r="H9" i="1"/>
  <c r="J9" i="1" l="1"/>
  <c r="I9" i="1" s="1"/>
</calcChain>
</file>

<file path=xl/sharedStrings.xml><?xml version="1.0" encoding="utf-8"?>
<sst xmlns="http://schemas.openxmlformats.org/spreadsheetml/2006/main" count="104" uniqueCount="52">
  <si>
    <t>ตาราง  2.3  ประชากรอายุ 15 ปีขึ้นไปที่มีงานทำ จำแนกตามอาชีพ และเพศ เป็นรายไตรมาส พ.ศ. 2559 - 2560</t>
  </si>
  <si>
    <t>Table  2.3  Employed Persons Aged 15 Years and Over by Occupation, Sex and Quarterly : 2016 - 2017</t>
  </si>
  <si>
    <t>(หน่วยเป็นพัน  In thousands)</t>
  </si>
  <si>
    <t>อาชีพ</t>
  </si>
  <si>
    <t>2559 (2016)</t>
  </si>
  <si>
    <t>2560 (2017)</t>
  </si>
  <si>
    <t>Occupation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</si>
  <si>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</si>
  <si>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</si>
  <si>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</si>
  <si>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</si>
  <si>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</si>
  <si>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</si>
  <si>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</si>
  <si>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</si>
  <si>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</si>
  <si>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</si>
  <si>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</si>
  <si>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</si>
  <si>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</si>
  <si>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</si>
  <si>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</si>
  <si>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ผู้บัญญัติกฏหมาย ข้าราชการระดับอาวุโส และผู้จัดการ</t>
  </si>
  <si>
    <t>Legislators, senior officials and managers</t>
  </si>
  <si>
    <t>ผู้ประกอบวิชาชีพด้านต่าง ๆ</t>
  </si>
  <si>
    <t>Professionals</t>
  </si>
  <si>
    <t>ผู้ประกอบวิชาชีพด้านเทคนิคสาขาต่างๆ</t>
  </si>
  <si>
    <t>Technicians and associate professionals</t>
  </si>
  <si>
    <t>และอาชีพที่เกี่ยวข้อง</t>
  </si>
  <si>
    <t>เสมียน</t>
  </si>
  <si>
    <t>Clerks</t>
  </si>
  <si>
    <t xml:space="preserve">พนักงานบริการและพนักงานในร้านค้า </t>
  </si>
  <si>
    <t>Service workers and shop and market</t>
  </si>
  <si>
    <t xml:space="preserve"> และตลาด</t>
  </si>
  <si>
    <t>sales workers</t>
  </si>
  <si>
    <t>ผู้ปฏิบัติงานที่มีฝีมือในด้านการเกษตร และการประมง</t>
  </si>
  <si>
    <t>Skilled agricultural and fishery workers</t>
  </si>
  <si>
    <t>ผู้ปฏิบัติงานด้านความสามารถทางฝีมือ</t>
  </si>
  <si>
    <t>Craft and related trades workers</t>
  </si>
  <si>
    <t>และธุรกิจการค้าที่เกี่ยวข้อง</t>
  </si>
  <si>
    <t>ผู้ปฏิบัติการโรงงานและเครื่องจักร</t>
  </si>
  <si>
    <t xml:space="preserve">Plant and machine operators and </t>
  </si>
  <si>
    <t>และผู้ปฏิบัติงานด้านการประกอบ</t>
  </si>
  <si>
    <t>assemblers</t>
  </si>
  <si>
    <t>อาชีพขั้นพื้นฐานต่างๆ ในด้านการขาย</t>
  </si>
  <si>
    <t>Elementary occupations</t>
  </si>
  <si>
    <t>และการให้บริการ</t>
  </si>
  <si>
    <t>คนงานซึ่งมิได้จำแนกไว้ในหมวดอื่น</t>
  </si>
  <si>
    <t>-</t>
  </si>
  <si>
    <t>Workers not classifiable by occupation</t>
  </si>
  <si>
    <t xml:space="preserve">    ที่มา : สำรวจภาวะการทำงานของประชากร พ.ศ. 2559 - 2560 ระดับจังหวัด  สำนักงานสถิติแห่งชาติ</t>
  </si>
  <si>
    <t>Source : Labour Force Survey : 2016 - 2017, Provincial level,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</si>
</sst>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.0_-;\-* #,##0.0_-;_-* &quot;-&quot;??_-;_-@_-"/>
    <numFmt numFmtId="188" formatCode="#,##0.0"/>
  </numFmts>
  <fonts count="9" x14ac:knownFonts="1">
    <font>
      <sz val="14"/>
      <name val="Cordia New"/>
      <charset val="222"/>
    </font>
    <font>
      <b/>
      <sz val="17"/>
      <name val="TH SarabunPSK"/>
      <family val="2"/>
    </font>
    <font>
      <b/>
      <sz val="16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b/>
      <sz val="13"/>
      <name val="Cordia New"/>
      <family val="2"/>
    </font>
    <font>
      <sz val="15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87" fontId="3" fillId="0" borderId="6" xfId="1" applyNumberFormat="1" applyFont="1" applyBorder="1" applyAlignment="1">
      <alignment horizontal="right"/>
    </xf>
    <xf numFmtId="187" fontId="3" fillId="0" borderId="0" xfId="1" applyNumberFormat="1" applyFont="1" applyBorder="1" applyAlignment="1">
      <alignment horizontal="right"/>
    </xf>
    <xf numFmtId="187" fontId="3" fillId="0" borderId="12" xfId="1" applyNumberFormat="1" applyFont="1" applyBorder="1" applyAlignment="1">
      <alignment horizontal="right"/>
    </xf>
    <xf numFmtId="187" fontId="3" fillId="0" borderId="2" xfId="1" applyNumberFormat="1" applyFont="1" applyBorder="1" applyAlignment="1">
      <alignment horizontal="right"/>
    </xf>
    <xf numFmtId="188" fontId="3" fillId="0" borderId="12" xfId="0" applyNumberFormat="1" applyFont="1" applyBorder="1" applyAlignment="1">
      <alignment horizontal="right"/>
    </xf>
    <xf numFmtId="188" fontId="5" fillId="0" borderId="12" xfId="0" applyNumberFormat="1" applyFont="1" applyBorder="1" applyAlignment="1">
      <alignment horizontal="right"/>
    </xf>
    <xf numFmtId="187" fontId="6" fillId="0" borderId="0" xfId="1" applyNumberFormat="1" applyFont="1" applyBorder="1" applyAlignment="1"/>
    <xf numFmtId="0" fontId="3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6" xfId="0" applyFont="1" applyBorder="1"/>
    <xf numFmtId="187" fontId="5" fillId="0" borderId="6" xfId="1" applyNumberFormat="1" applyFont="1" applyBorder="1" applyAlignment="1">
      <alignment horizontal="right"/>
    </xf>
    <xf numFmtId="187" fontId="5" fillId="0" borderId="0" xfId="1" applyNumberFormat="1" applyFont="1" applyBorder="1" applyAlignment="1">
      <alignment horizontal="right"/>
    </xf>
    <xf numFmtId="187" fontId="5" fillId="0" borderId="14" xfId="1" applyNumberFormat="1" applyFont="1" applyBorder="1" applyAlignment="1">
      <alignment horizontal="right"/>
    </xf>
    <xf numFmtId="188" fontId="5" fillId="0" borderId="14" xfId="0" applyNumberFormat="1" applyFont="1" applyBorder="1" applyAlignment="1">
      <alignment horizontal="right"/>
    </xf>
    <xf numFmtId="187" fontId="5" fillId="0" borderId="0" xfId="1" applyNumberFormat="1" applyFont="1" applyBorder="1" applyAlignment="1"/>
    <xf numFmtId="0" fontId="5" fillId="0" borderId="0" xfId="0" applyFont="1"/>
    <xf numFmtId="3" fontId="7" fillId="0" borderId="0" xfId="0" applyNumberFormat="1" applyFont="1" applyAlignment="1"/>
    <xf numFmtId="3" fontId="7" fillId="0" borderId="0" xfId="0" applyNumberFormat="1" applyFont="1" applyBorder="1" applyAlignment="1"/>
    <xf numFmtId="3" fontId="7" fillId="0" borderId="0" xfId="1" applyNumberFormat="1" applyFont="1" applyBorder="1" applyAlignment="1"/>
    <xf numFmtId="0" fontId="5" fillId="0" borderId="14" xfId="0" applyFont="1" applyBorder="1"/>
    <xf numFmtId="188" fontId="5" fillId="0" borderId="14" xfId="1" applyNumberFormat="1" applyFont="1" applyBorder="1" applyAlignment="1">
      <alignment horizontal="right"/>
    </xf>
    <xf numFmtId="188" fontId="5" fillId="0" borderId="14" xfId="1" applyNumberFormat="1" applyFont="1" applyFill="1" applyBorder="1" applyAlignment="1">
      <alignment horizontal="right"/>
    </xf>
    <xf numFmtId="188" fontId="3" fillId="0" borderId="14" xfId="0" applyNumberFormat="1" applyFont="1" applyBorder="1" applyAlignment="1">
      <alignment horizontal="right"/>
    </xf>
    <xf numFmtId="0" fontId="5" fillId="0" borderId="9" xfId="0" applyFont="1" applyBorder="1"/>
    <xf numFmtId="0" fontId="5" fillId="0" borderId="10" xfId="0" applyFont="1" applyBorder="1"/>
    <xf numFmtId="187" fontId="5" fillId="0" borderId="9" xfId="1" applyNumberFormat="1" applyFont="1" applyBorder="1" applyAlignment="1">
      <alignment horizontal="right"/>
    </xf>
    <xf numFmtId="187" fontId="5" fillId="0" borderId="8" xfId="1" applyNumberFormat="1" applyFont="1" applyBorder="1" applyAlignment="1">
      <alignment horizontal="right"/>
    </xf>
    <xf numFmtId="187" fontId="5" fillId="0" borderId="13" xfId="1" applyNumberFormat="1" applyFont="1" applyBorder="1" applyAlignment="1">
      <alignment horizontal="right"/>
    </xf>
    <xf numFmtId="187" fontId="5" fillId="0" borderId="10" xfId="1" applyNumberFormat="1" applyFont="1" applyBorder="1" applyAlignment="1">
      <alignment horizontal="right"/>
    </xf>
    <xf numFmtId="0" fontId="5" fillId="0" borderId="13" xfId="0" applyFont="1" applyBorder="1"/>
    <xf numFmtId="188" fontId="5" fillId="0" borderId="13" xfId="1" applyNumberFormat="1" applyFont="1" applyBorder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8" fillId="0" borderId="0" xfId="0" applyFont="1" applyBorder="1"/>
    <xf numFmtId="0" fontId="8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47625</xdr:colOff>
      <xdr:row>0</xdr:row>
      <xdr:rowOff>0</xdr:rowOff>
    </xdr:from>
    <xdr:to>
      <xdr:col>28</xdr:col>
      <xdr:colOff>19050</xdr:colOff>
      <xdr:row>33</xdr:row>
      <xdr:rowOff>0</xdr:rowOff>
    </xdr:to>
    <xdr:grpSp>
      <xdr:nvGrpSpPr>
        <xdr:cNvPr id="2" name="กลุ่ม 10"/>
        <xdr:cNvGrpSpPr>
          <a:grpSpLocks/>
        </xdr:cNvGrpSpPr>
      </xdr:nvGrpSpPr>
      <xdr:grpSpPr bwMode="auto">
        <a:xfrm>
          <a:off x="13144500" y="0"/>
          <a:ext cx="400050" cy="9155906"/>
          <a:chOff x="12666889" y="10319"/>
          <a:chExt cx="480403" cy="837963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2895652" y="1973892"/>
            <a:ext cx="251640" cy="612324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6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6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6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2666889" y="8122974"/>
            <a:ext cx="411774" cy="2669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21</a:t>
            </a:r>
            <a:endParaRPr lang="th-TH" sz="16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16200000" flipH="1">
            <a:off x="8756319" y="4044157"/>
            <a:ext cx="8104984" cy="37307"/>
          </a:xfrm>
          <a:prstGeom prst="line">
            <a:avLst/>
          </a:prstGeom>
          <a:noFill/>
          <a:ln w="1016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E33"/>
  <sheetViews>
    <sheetView showGridLines="0" tabSelected="1" topLeftCell="A19" zoomScale="80" zoomScaleNormal="80" zoomScaleSheetLayoutView="80" workbookViewId="0">
      <selection activeCell="AD33" sqref="AD33"/>
    </sheetView>
  </sheetViews>
  <sheetFormatPr defaultRowHeight="21.75" x14ac:dyDescent="0.5"/>
  <cols>
    <col min="1" max="1" width="1.140625" style="67" customWidth="1"/>
    <col min="2" max="2" width="2.42578125" style="67" customWidth="1"/>
    <col min="3" max="3" width="3.42578125" style="67" customWidth="1"/>
    <col min="4" max="4" width="4.28515625" style="67" customWidth="1"/>
    <col min="5" max="5" width="28" style="67" customWidth="1"/>
    <col min="6" max="23" width="6.85546875" style="67" customWidth="1"/>
    <col min="24" max="24" width="1.7109375" style="66" customWidth="1"/>
    <col min="25" max="25" width="1.7109375" style="67" customWidth="1"/>
    <col min="26" max="26" width="31.42578125" style="67" customWidth="1"/>
    <col min="27" max="27" width="4" style="67" customWidth="1"/>
    <col min="28" max="28" width="2.42578125" style="67" customWidth="1"/>
    <col min="29" max="16384" width="9.140625" style="67"/>
  </cols>
  <sheetData>
    <row r="1" spans="1:31" s="2" customFormat="1" ht="21" customHeight="1" x14ac:dyDescent="0.6">
      <c r="A1" s="1" t="s">
        <v>0</v>
      </c>
      <c r="B1" s="1"/>
      <c r="D1" s="3"/>
      <c r="X1" s="4"/>
    </row>
    <row r="2" spans="1:31" s="2" customFormat="1" ht="21" customHeight="1" x14ac:dyDescent="0.6">
      <c r="A2" s="1" t="s">
        <v>1</v>
      </c>
      <c r="B2" s="1"/>
      <c r="D2" s="3"/>
      <c r="X2" s="4"/>
    </row>
    <row r="3" spans="1:31" s="6" customFormat="1" ht="21" customHeight="1" x14ac:dyDescent="0.4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Z3" s="7" t="s">
        <v>2</v>
      </c>
    </row>
    <row r="4" spans="1:31" s="6" customFormat="1" ht="21" customHeight="1" x14ac:dyDescent="0.45">
      <c r="A4" s="8" t="s">
        <v>3</v>
      </c>
      <c r="B4" s="8"/>
      <c r="C4" s="8"/>
      <c r="D4" s="8"/>
      <c r="E4" s="9"/>
      <c r="F4" s="10" t="s">
        <v>4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2"/>
      <c r="R4" s="10" t="s">
        <v>5</v>
      </c>
      <c r="S4" s="11"/>
      <c r="T4" s="11"/>
      <c r="U4" s="11"/>
      <c r="V4" s="11"/>
      <c r="W4" s="12"/>
      <c r="X4" s="13"/>
      <c r="Y4" s="8" t="s">
        <v>6</v>
      </c>
      <c r="Z4" s="8"/>
    </row>
    <row r="5" spans="1:31" s="6" customFormat="1" ht="21" customHeight="1" x14ac:dyDescent="0.45">
      <c r="A5" s="14"/>
      <c r="B5" s="14"/>
      <c r="C5" s="14"/>
      <c r="D5" s="14"/>
      <c r="E5" s="15"/>
      <c r="F5" s="16" t="s">
        <v>7</v>
      </c>
      <c r="G5" s="8"/>
      <c r="H5" s="9"/>
      <c r="I5" s="16" t="s">
        <v>8</v>
      </c>
      <c r="J5" s="8"/>
      <c r="K5" s="9"/>
      <c r="L5" s="16" t="s">
        <v>9</v>
      </c>
      <c r="M5" s="8"/>
      <c r="N5" s="9"/>
      <c r="O5" s="16" t="s">
        <v>10</v>
      </c>
      <c r="P5" s="8"/>
      <c r="Q5" s="9"/>
      <c r="R5" s="16" t="s">
        <v>7</v>
      </c>
      <c r="S5" s="8"/>
      <c r="T5" s="9"/>
      <c r="U5" s="16" t="s">
        <v>8</v>
      </c>
      <c r="V5" s="8"/>
      <c r="W5" s="9"/>
      <c r="X5" s="5"/>
      <c r="Y5" s="17"/>
      <c r="Z5" s="17"/>
    </row>
    <row r="6" spans="1:31" s="6" customFormat="1" ht="21" customHeight="1" x14ac:dyDescent="0.45">
      <c r="A6" s="14"/>
      <c r="B6" s="14"/>
      <c r="C6" s="14"/>
      <c r="D6" s="14"/>
      <c r="E6" s="15"/>
      <c r="F6" s="18" t="s">
        <v>11</v>
      </c>
      <c r="G6" s="19"/>
      <c r="H6" s="20"/>
      <c r="I6" s="18" t="s">
        <v>12</v>
      </c>
      <c r="J6" s="19"/>
      <c r="K6" s="20"/>
      <c r="L6" s="18" t="s">
        <v>13</v>
      </c>
      <c r="M6" s="19"/>
      <c r="N6" s="20"/>
      <c r="O6" s="18" t="s">
        <v>14</v>
      </c>
      <c r="P6" s="19"/>
      <c r="Q6" s="20"/>
      <c r="R6" s="18" t="s">
        <v>11</v>
      </c>
      <c r="S6" s="19"/>
      <c r="T6" s="20"/>
      <c r="U6" s="18" t="s">
        <v>12</v>
      </c>
      <c r="V6" s="19"/>
      <c r="W6" s="20"/>
      <c r="X6" s="21"/>
      <c r="Y6" s="17"/>
      <c r="Z6" s="17"/>
    </row>
    <row r="7" spans="1:31" s="6" customFormat="1" ht="21" customHeight="1" x14ac:dyDescent="0.45">
      <c r="A7" s="14"/>
      <c r="B7" s="14"/>
      <c r="C7" s="14"/>
      <c r="D7" s="14"/>
      <c r="E7" s="15"/>
      <c r="F7" s="22" t="s">
        <v>15</v>
      </c>
      <c r="G7" s="23" t="s">
        <v>16</v>
      </c>
      <c r="H7" s="24" t="s">
        <v>17</v>
      </c>
      <c r="I7" s="22" t="s">
        <v>15</v>
      </c>
      <c r="J7" s="23" t="s">
        <v>16</v>
      </c>
      <c r="K7" s="24" t="s">
        <v>17</v>
      </c>
      <c r="L7" s="22" t="s">
        <v>15</v>
      </c>
      <c r="M7" s="23" t="s">
        <v>16</v>
      </c>
      <c r="N7" s="24" t="s">
        <v>17</v>
      </c>
      <c r="O7" s="22" t="s">
        <v>15</v>
      </c>
      <c r="P7" s="23" t="s">
        <v>16</v>
      </c>
      <c r="Q7" s="24" t="s">
        <v>17</v>
      </c>
      <c r="R7" s="22" t="s">
        <v>15</v>
      </c>
      <c r="S7" s="23" t="s">
        <v>16</v>
      </c>
      <c r="T7" s="24" t="s">
        <v>17</v>
      </c>
      <c r="U7" s="22" t="s">
        <v>15</v>
      </c>
      <c r="V7" s="23" t="s">
        <v>16</v>
      </c>
      <c r="W7" s="24" t="s">
        <v>17</v>
      </c>
      <c r="X7" s="25"/>
      <c r="Y7" s="17"/>
      <c r="Z7" s="17"/>
    </row>
    <row r="8" spans="1:31" s="6" customFormat="1" ht="21" customHeight="1" x14ac:dyDescent="0.45">
      <c r="A8" s="19"/>
      <c r="B8" s="19"/>
      <c r="C8" s="19"/>
      <c r="D8" s="19"/>
      <c r="E8" s="20"/>
      <c r="F8" s="26" t="s">
        <v>18</v>
      </c>
      <c r="G8" s="27" t="s">
        <v>19</v>
      </c>
      <c r="H8" s="28" t="s">
        <v>20</v>
      </c>
      <c r="I8" s="26" t="s">
        <v>18</v>
      </c>
      <c r="J8" s="27" t="s">
        <v>19</v>
      </c>
      <c r="K8" s="28" t="s">
        <v>20</v>
      </c>
      <c r="L8" s="26" t="s">
        <v>18</v>
      </c>
      <c r="M8" s="27" t="s">
        <v>19</v>
      </c>
      <c r="N8" s="28" t="s">
        <v>20</v>
      </c>
      <c r="O8" s="26" t="s">
        <v>18</v>
      </c>
      <c r="P8" s="27" t="s">
        <v>19</v>
      </c>
      <c r="Q8" s="28" t="s">
        <v>20</v>
      </c>
      <c r="R8" s="22" t="s">
        <v>18</v>
      </c>
      <c r="S8" s="27" t="s">
        <v>19</v>
      </c>
      <c r="T8" s="28" t="s">
        <v>20</v>
      </c>
      <c r="U8" s="26" t="s">
        <v>18</v>
      </c>
      <c r="V8" s="27" t="s">
        <v>19</v>
      </c>
      <c r="W8" s="28" t="s">
        <v>20</v>
      </c>
      <c r="X8" s="29"/>
      <c r="Y8" s="19"/>
      <c r="Z8" s="19"/>
    </row>
    <row r="9" spans="1:31" s="6" customFormat="1" ht="21" customHeight="1" x14ac:dyDescent="0.45">
      <c r="A9" s="30" t="s">
        <v>21</v>
      </c>
      <c r="B9" s="30"/>
      <c r="C9" s="30"/>
      <c r="D9" s="30"/>
      <c r="E9" s="31"/>
      <c r="F9" s="32">
        <f>SUM(G9:H9)</f>
        <v>279.24099999999999</v>
      </c>
      <c r="G9" s="32">
        <f>SUM(G10:G24)</f>
        <v>156.994</v>
      </c>
      <c r="H9" s="32">
        <f>SUM(H10:H24)</f>
        <v>122.24700000000001</v>
      </c>
      <c r="I9" s="32">
        <f>SUM(J9:K9)</f>
        <v>274.81</v>
      </c>
      <c r="J9" s="32">
        <f>SUM(J10:J24)</f>
        <v>154.226</v>
      </c>
      <c r="K9" s="32">
        <f>SUM(K10:K24)</f>
        <v>120.58400000000002</v>
      </c>
      <c r="L9" s="32">
        <f>SUM(M9:N9)</f>
        <v>274.76</v>
      </c>
      <c r="M9" s="32">
        <f>SUM(M10:M24)</f>
        <v>154.37899999999999</v>
      </c>
      <c r="N9" s="32">
        <f>SUM(N10:N24)</f>
        <v>120.381</v>
      </c>
      <c r="O9" s="32">
        <f>SUM(P9:Q9)</f>
        <v>274.113</v>
      </c>
      <c r="P9" s="32">
        <f>SUM(P10:P24)</f>
        <v>154.61699999999999</v>
      </c>
      <c r="Q9" s="33">
        <f>SUM(Q10:Q24)</f>
        <v>119.496</v>
      </c>
      <c r="R9" s="34">
        <f>SUM(S9:T9)</f>
        <v>272.74900000000002</v>
      </c>
      <c r="S9" s="35">
        <f>SUM(S10:S24)</f>
        <v>150.495</v>
      </c>
      <c r="T9" s="34">
        <f>SUM(T10:T24)</f>
        <v>122.254</v>
      </c>
      <c r="U9" s="36">
        <f>270112.71/1000</f>
        <v>270.11270999999999</v>
      </c>
      <c r="V9" s="37">
        <f>147981.44/1000</f>
        <v>147.98143999999999</v>
      </c>
      <c r="W9" s="37">
        <f>122131.27/1000</f>
        <v>122.13127</v>
      </c>
      <c r="X9" s="38"/>
      <c r="Y9" s="39" t="s">
        <v>18</v>
      </c>
      <c r="Z9" s="39"/>
    </row>
    <row r="10" spans="1:31" s="47" customFormat="1" ht="21" customHeight="1" x14ac:dyDescent="0.55000000000000004">
      <c r="A10" s="40" t="s">
        <v>22</v>
      </c>
      <c r="B10" s="40"/>
      <c r="C10" s="40"/>
      <c r="D10" s="40"/>
      <c r="E10" s="41"/>
      <c r="F10" s="42">
        <f>SUM(G10:H10)</f>
        <v>9.4319999999999986</v>
      </c>
      <c r="G10" s="42">
        <f>5672/1000</f>
        <v>5.6719999999999997</v>
      </c>
      <c r="H10" s="42">
        <f>3760/1000</f>
        <v>3.76</v>
      </c>
      <c r="I10" s="42">
        <f>SUM(J10:K10)</f>
        <v>10.373999999999999</v>
      </c>
      <c r="J10" s="42">
        <f>6451/1000</f>
        <v>6.4509999999999996</v>
      </c>
      <c r="K10" s="42">
        <f>3923/1000</f>
        <v>3.923</v>
      </c>
      <c r="L10" s="42">
        <f>SUM(M10:N10)</f>
        <v>5.5380000000000003</v>
      </c>
      <c r="M10" s="42">
        <f>3603/1000</f>
        <v>3.6030000000000002</v>
      </c>
      <c r="N10" s="42">
        <f>1935/1000</f>
        <v>1.9350000000000001</v>
      </c>
      <c r="O10" s="42">
        <f>SUM(P10:Q10)</f>
        <v>7.9290000000000003</v>
      </c>
      <c r="P10" s="42">
        <f>4878/1000</f>
        <v>4.8780000000000001</v>
      </c>
      <c r="Q10" s="43">
        <f>3051/1000</f>
        <v>3.0510000000000002</v>
      </c>
      <c r="R10" s="44">
        <f>SUM(S10:T10)</f>
        <v>8.7169999999999987</v>
      </c>
      <c r="S10" s="42">
        <f>6691/1000</f>
        <v>6.6909999999999998</v>
      </c>
      <c r="T10" s="44">
        <f>2026/1000</f>
        <v>2.0259999999999998</v>
      </c>
      <c r="U10" s="45">
        <f>7785.6/1000</f>
        <v>7.7856000000000005</v>
      </c>
      <c r="V10" s="45">
        <f>4985.05/1000</f>
        <v>4.9850500000000002</v>
      </c>
      <c r="W10" s="45">
        <f>2800.55/1000</f>
        <v>2.8005500000000003</v>
      </c>
      <c r="X10" s="46"/>
      <c r="Y10" s="47" t="s">
        <v>23</v>
      </c>
      <c r="AC10" s="48"/>
      <c r="AD10" s="49"/>
      <c r="AE10" s="49"/>
    </row>
    <row r="11" spans="1:31" s="47" customFormat="1" ht="21" customHeight="1" x14ac:dyDescent="0.55000000000000004">
      <c r="A11" s="40" t="s">
        <v>24</v>
      </c>
      <c r="B11" s="40"/>
      <c r="C11" s="40"/>
      <c r="D11" s="40"/>
      <c r="E11" s="41"/>
      <c r="F11" s="42">
        <f>SUM(G11:H11)</f>
        <v>7.569</v>
      </c>
      <c r="G11" s="42">
        <f>2909/1000</f>
        <v>2.9089999999999998</v>
      </c>
      <c r="H11" s="42">
        <f>4660/1000</f>
        <v>4.66</v>
      </c>
      <c r="I11" s="42">
        <f>SUM(J11:K11)</f>
        <v>7.6710000000000003</v>
      </c>
      <c r="J11" s="42">
        <f>1937/1000</f>
        <v>1.9370000000000001</v>
      </c>
      <c r="K11" s="42">
        <f>5734/1000</f>
        <v>5.734</v>
      </c>
      <c r="L11" s="42">
        <f>SUM(M11:N11)</f>
        <v>8.016</v>
      </c>
      <c r="M11" s="42">
        <f>2521/1000</f>
        <v>2.5209999999999999</v>
      </c>
      <c r="N11" s="42">
        <f>5495/1000</f>
        <v>5.4950000000000001</v>
      </c>
      <c r="O11" s="42">
        <f>SUM(P11:Q11)</f>
        <v>7.09</v>
      </c>
      <c r="P11" s="42">
        <f>2728/1000</f>
        <v>2.7280000000000002</v>
      </c>
      <c r="Q11" s="43">
        <f>4362/1000</f>
        <v>4.3620000000000001</v>
      </c>
      <c r="R11" s="44">
        <f>SUM(S11:T11)</f>
        <v>9.9830000000000005</v>
      </c>
      <c r="S11" s="42">
        <f>4119/1000</f>
        <v>4.1189999999999998</v>
      </c>
      <c r="T11" s="44">
        <f>5864/1000</f>
        <v>5.8639999999999999</v>
      </c>
      <c r="U11" s="45">
        <f>11704.42/1000</f>
        <v>11.704420000000001</v>
      </c>
      <c r="V11" s="45">
        <f>4495.44/1000</f>
        <v>4.4954399999999994</v>
      </c>
      <c r="W11" s="45">
        <f>7208.98/1000</f>
        <v>7.2089799999999995</v>
      </c>
      <c r="X11" s="46"/>
      <c r="Y11" s="47" t="s">
        <v>25</v>
      </c>
      <c r="AC11" s="49"/>
      <c r="AD11" s="49"/>
      <c r="AE11" s="50"/>
    </row>
    <row r="12" spans="1:31" s="47" customFormat="1" ht="21" customHeight="1" x14ac:dyDescent="0.45">
      <c r="A12" s="40" t="s">
        <v>26</v>
      </c>
      <c r="B12" s="40"/>
      <c r="C12" s="40"/>
      <c r="D12" s="40"/>
      <c r="E12" s="4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U12" s="52"/>
      <c r="V12" s="53"/>
      <c r="W12" s="53"/>
      <c r="X12" s="46"/>
      <c r="Y12" s="47" t="s">
        <v>27</v>
      </c>
    </row>
    <row r="13" spans="1:31" s="47" customFormat="1" ht="21" customHeight="1" x14ac:dyDescent="0.45">
      <c r="A13" s="40"/>
      <c r="B13" s="40" t="s">
        <v>28</v>
      </c>
      <c r="C13" s="40"/>
      <c r="D13" s="40"/>
      <c r="E13" s="41"/>
      <c r="F13" s="42">
        <f>SUM(G13:H13)</f>
        <v>8.702</v>
      </c>
      <c r="G13" s="42">
        <f>3728/1000</f>
        <v>3.7280000000000002</v>
      </c>
      <c r="H13" s="42">
        <f>4974/1000</f>
        <v>4.9740000000000002</v>
      </c>
      <c r="I13" s="42">
        <f>SUM(J13:K13)</f>
        <v>8.4990000000000006</v>
      </c>
      <c r="J13" s="42">
        <f>4681/1000</f>
        <v>4.681</v>
      </c>
      <c r="K13" s="42">
        <f>3818/1000</f>
        <v>3.8180000000000001</v>
      </c>
      <c r="L13" s="42">
        <f>SUM(M13:N13)</f>
        <v>7.6899999999999995</v>
      </c>
      <c r="M13" s="42">
        <f>4434/1000</f>
        <v>4.4340000000000002</v>
      </c>
      <c r="N13" s="42">
        <f>3256/1000</f>
        <v>3.2559999999999998</v>
      </c>
      <c r="O13" s="42">
        <f>SUM(P13:Q13)</f>
        <v>7.9059999999999997</v>
      </c>
      <c r="P13" s="42">
        <f>3819/1000</f>
        <v>3.819</v>
      </c>
      <c r="Q13" s="43">
        <f>4087/1000</f>
        <v>4.0869999999999997</v>
      </c>
      <c r="R13" s="44">
        <f>SUM(S13:T13)</f>
        <v>8.254999999999999</v>
      </c>
      <c r="S13" s="42">
        <f>2814/1000</f>
        <v>2.8140000000000001</v>
      </c>
      <c r="T13" s="44">
        <f>5441/1000</f>
        <v>5.4409999999999998</v>
      </c>
      <c r="U13" s="45">
        <f>8047.11/1000</f>
        <v>8.04711</v>
      </c>
      <c r="V13" s="45">
        <f>2558.39/1000</f>
        <v>2.5583899999999997</v>
      </c>
      <c r="W13" s="45">
        <f>5488.72/1000</f>
        <v>5.4887199999999998</v>
      </c>
      <c r="X13" s="46"/>
    </row>
    <row r="14" spans="1:31" s="47" customFormat="1" ht="21" customHeight="1" x14ac:dyDescent="0.45">
      <c r="A14" s="40" t="s">
        <v>29</v>
      </c>
      <c r="B14" s="40"/>
      <c r="C14" s="40"/>
      <c r="D14" s="40"/>
      <c r="E14" s="41"/>
      <c r="F14" s="42">
        <f>SUM(G14:H14)</f>
        <v>8.1150000000000002</v>
      </c>
      <c r="G14" s="42">
        <f>2606/1000</f>
        <v>2.6059999999999999</v>
      </c>
      <c r="H14" s="42">
        <f>5509/1000</f>
        <v>5.5090000000000003</v>
      </c>
      <c r="I14" s="42">
        <f>SUM(J14:K14)</f>
        <v>9.1370000000000005</v>
      </c>
      <c r="J14" s="42">
        <f>3082/1000</f>
        <v>3.0819999999999999</v>
      </c>
      <c r="K14" s="42">
        <f>6055/1000</f>
        <v>6.0549999999999997</v>
      </c>
      <c r="L14" s="42">
        <f>SUM(M14:N14)</f>
        <v>6.9870000000000001</v>
      </c>
      <c r="M14" s="42">
        <f>2561/1000</f>
        <v>2.5609999999999999</v>
      </c>
      <c r="N14" s="42">
        <f>4426/1000</f>
        <v>4.4260000000000002</v>
      </c>
      <c r="O14" s="42">
        <f>SUM(P14:Q14)</f>
        <v>5.9380000000000006</v>
      </c>
      <c r="P14" s="42">
        <f>1722/1000</f>
        <v>1.722</v>
      </c>
      <c r="Q14" s="43">
        <f>4216/1000</f>
        <v>4.2160000000000002</v>
      </c>
      <c r="R14" s="44">
        <f>SUM(S14:T14)</f>
        <v>8.6080000000000005</v>
      </c>
      <c r="S14" s="42">
        <f>2703/1000</f>
        <v>2.7029999999999998</v>
      </c>
      <c r="T14" s="44">
        <f>5905/1000</f>
        <v>5.9050000000000002</v>
      </c>
      <c r="U14" s="45">
        <f>8047.11/1000</f>
        <v>8.04711</v>
      </c>
      <c r="V14" s="45">
        <f>2558.39/1000</f>
        <v>2.5583899999999997</v>
      </c>
      <c r="W14" s="45">
        <f>5488.72/1000</f>
        <v>5.4887199999999998</v>
      </c>
      <c r="X14" s="46"/>
      <c r="Y14" s="47" t="s">
        <v>30</v>
      </c>
    </row>
    <row r="15" spans="1:31" s="47" customFormat="1" ht="21" customHeight="1" x14ac:dyDescent="0.45">
      <c r="A15" s="40" t="s">
        <v>31</v>
      </c>
      <c r="B15" s="40"/>
      <c r="C15" s="40"/>
      <c r="D15" s="40"/>
      <c r="E15" s="41"/>
      <c r="F15" s="51"/>
      <c r="G15" s="51"/>
      <c r="H15" s="51"/>
      <c r="I15" s="51"/>
      <c r="J15" s="51"/>
      <c r="K15" s="51"/>
      <c r="L15" s="51"/>
      <c r="M15" s="51"/>
      <c r="N15" s="41"/>
      <c r="O15" s="51"/>
      <c r="P15" s="51"/>
      <c r="Q15" s="51"/>
      <c r="R15" s="51"/>
      <c r="S15" s="51"/>
      <c r="T15" s="51"/>
      <c r="U15" s="52"/>
      <c r="V15" s="52"/>
      <c r="W15" s="52"/>
      <c r="X15" s="46"/>
      <c r="Y15" s="47" t="s">
        <v>32</v>
      </c>
    </row>
    <row r="16" spans="1:31" s="47" customFormat="1" ht="21" customHeight="1" x14ac:dyDescent="0.45">
      <c r="A16" s="40"/>
      <c r="B16" s="40" t="s">
        <v>33</v>
      </c>
      <c r="C16" s="40"/>
      <c r="D16" s="40"/>
      <c r="E16" s="41"/>
      <c r="F16" s="42">
        <f>SUM(G16:H16)</f>
        <v>59.844999999999999</v>
      </c>
      <c r="G16" s="42">
        <f>23193/1000</f>
        <v>23.193000000000001</v>
      </c>
      <c r="H16" s="42">
        <f>36652/1000</f>
        <v>36.652000000000001</v>
      </c>
      <c r="I16" s="42">
        <f>SUM(J16:K16)</f>
        <v>60.188000000000002</v>
      </c>
      <c r="J16" s="42">
        <f>24242/1000</f>
        <v>24.242000000000001</v>
      </c>
      <c r="K16" s="42">
        <f>35946/1000</f>
        <v>35.945999999999998</v>
      </c>
      <c r="L16" s="42">
        <f>SUM(M16:N16)</f>
        <v>63.23</v>
      </c>
      <c r="M16" s="42">
        <f>25037/1000</f>
        <v>25.036999999999999</v>
      </c>
      <c r="N16" s="42">
        <f>38193/1000</f>
        <v>38.192999999999998</v>
      </c>
      <c r="O16" s="42">
        <f>SUM(P16:Q16)</f>
        <v>66.748000000000005</v>
      </c>
      <c r="P16" s="42">
        <f>25539/1000</f>
        <v>25.539000000000001</v>
      </c>
      <c r="Q16" s="43">
        <f>41209/1000</f>
        <v>41.209000000000003</v>
      </c>
      <c r="R16" s="44">
        <f>SUM(S16:T16)</f>
        <v>66.341999999999999</v>
      </c>
      <c r="S16" s="42">
        <f>23145/1000</f>
        <v>23.145</v>
      </c>
      <c r="T16" s="44">
        <f>43197/1000</f>
        <v>43.197000000000003</v>
      </c>
      <c r="U16" s="45">
        <f>66223.43/1000</f>
        <v>66.223429999999993</v>
      </c>
      <c r="V16" s="45">
        <f>23773.56/1000</f>
        <v>23.77356</v>
      </c>
      <c r="W16" s="45">
        <f>42449.88/1000</f>
        <v>42.44988</v>
      </c>
      <c r="X16" s="46"/>
      <c r="Z16" s="47" t="s">
        <v>34</v>
      </c>
    </row>
    <row r="17" spans="1:26" s="47" customFormat="1" ht="21" customHeight="1" x14ac:dyDescent="0.45">
      <c r="A17" s="40" t="s">
        <v>35</v>
      </c>
      <c r="B17" s="40"/>
      <c r="C17" s="40"/>
      <c r="D17" s="40"/>
      <c r="E17" s="41"/>
      <c r="F17" s="42">
        <f>SUM(G17:H17)</f>
        <v>83.504999999999995</v>
      </c>
      <c r="G17" s="42">
        <f>53786/1000</f>
        <v>53.786000000000001</v>
      </c>
      <c r="H17" s="42">
        <f>29719/1000</f>
        <v>29.719000000000001</v>
      </c>
      <c r="I17" s="42">
        <f>SUM(J17:K17)</f>
        <v>84.158000000000001</v>
      </c>
      <c r="J17" s="42">
        <f>51317/1000</f>
        <v>51.317</v>
      </c>
      <c r="K17" s="42">
        <f>32841/1000</f>
        <v>32.841000000000001</v>
      </c>
      <c r="L17" s="42">
        <f>SUM(M17:N17)</f>
        <v>80.155000000000001</v>
      </c>
      <c r="M17" s="42">
        <f>49092/1000</f>
        <v>49.091999999999999</v>
      </c>
      <c r="N17" s="42">
        <f>31063/1000</f>
        <v>31.062999999999999</v>
      </c>
      <c r="O17" s="42">
        <f>SUM(P17:Q17)</f>
        <v>84.061000000000007</v>
      </c>
      <c r="P17" s="42">
        <f>54222/1000</f>
        <v>54.222000000000001</v>
      </c>
      <c r="Q17" s="43">
        <f>29839/1000</f>
        <v>29.838999999999999</v>
      </c>
      <c r="R17" s="44">
        <f>SUM(S17:T17)</f>
        <v>67.747</v>
      </c>
      <c r="S17" s="42">
        <f>43552/1000</f>
        <v>43.552</v>
      </c>
      <c r="T17" s="44">
        <f>24195/1000</f>
        <v>24.195</v>
      </c>
      <c r="U17" s="45">
        <f>69744.58/1000</f>
        <v>69.744579999999999</v>
      </c>
      <c r="V17" s="45">
        <f>42764.78/1000</f>
        <v>42.764780000000002</v>
      </c>
      <c r="W17" s="45">
        <f>26979.8/1000</f>
        <v>26.979800000000001</v>
      </c>
      <c r="X17" s="46"/>
      <c r="Y17" s="47" t="s">
        <v>36</v>
      </c>
    </row>
    <row r="18" spans="1:26" s="47" customFormat="1" ht="21" customHeight="1" x14ac:dyDescent="0.45">
      <c r="A18" s="40" t="s">
        <v>37</v>
      </c>
      <c r="B18" s="40"/>
      <c r="C18" s="40"/>
      <c r="D18" s="40"/>
      <c r="E18" s="4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U18" s="52"/>
      <c r="V18" s="52"/>
      <c r="W18" s="52"/>
      <c r="X18" s="46"/>
      <c r="Y18" s="47" t="s">
        <v>38</v>
      </c>
    </row>
    <row r="19" spans="1:26" s="47" customFormat="1" ht="21" customHeight="1" x14ac:dyDescent="0.45">
      <c r="A19" s="40"/>
      <c r="B19" s="40" t="s">
        <v>39</v>
      </c>
      <c r="C19" s="40"/>
      <c r="D19" s="40"/>
      <c r="E19" s="41"/>
      <c r="F19" s="42">
        <f>SUM(G19:H19)</f>
        <v>28.273</v>
      </c>
      <c r="G19" s="42">
        <f>22495/1000</f>
        <v>22.495000000000001</v>
      </c>
      <c r="H19" s="42">
        <f>5778/1000</f>
        <v>5.7779999999999996</v>
      </c>
      <c r="I19" s="42">
        <f>SUM(J19:K19)</f>
        <v>27.425999999999998</v>
      </c>
      <c r="J19" s="42">
        <f>21615/1000</f>
        <v>21.614999999999998</v>
      </c>
      <c r="K19" s="42">
        <f>5811/1000</f>
        <v>5.8109999999999999</v>
      </c>
      <c r="L19" s="42">
        <f>SUM(M19:N19)</f>
        <v>36.301000000000002</v>
      </c>
      <c r="M19" s="42">
        <f>27878/1000</f>
        <v>27.878</v>
      </c>
      <c r="N19" s="42">
        <f>8423/1000</f>
        <v>8.423</v>
      </c>
      <c r="O19" s="42">
        <f>SUM(P19:Q19)</f>
        <v>31.811</v>
      </c>
      <c r="P19" s="42">
        <f>24845/1000</f>
        <v>24.844999999999999</v>
      </c>
      <c r="Q19" s="43">
        <f>6966/1000</f>
        <v>6.9660000000000002</v>
      </c>
      <c r="R19" s="44">
        <f>SUM(S19:T19)</f>
        <v>30.51</v>
      </c>
      <c r="S19" s="42">
        <f>25163/1000</f>
        <v>25.163</v>
      </c>
      <c r="T19" s="44">
        <f>5347/1000</f>
        <v>5.3470000000000004</v>
      </c>
      <c r="U19" s="45">
        <f>29951.26/1000</f>
        <v>29.951259999999998</v>
      </c>
      <c r="V19" s="45">
        <f>24914.69/1000</f>
        <v>24.91469</v>
      </c>
      <c r="W19" s="45">
        <f>5036.57/1000</f>
        <v>5.0365699999999993</v>
      </c>
      <c r="X19" s="46"/>
    </row>
    <row r="20" spans="1:26" s="47" customFormat="1" ht="21" customHeight="1" x14ac:dyDescent="0.45">
      <c r="A20" s="40" t="s">
        <v>40</v>
      </c>
      <c r="B20" s="40"/>
      <c r="C20" s="40"/>
      <c r="D20" s="40"/>
      <c r="E20" s="4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U20" s="52"/>
      <c r="V20" s="52"/>
      <c r="W20" s="52"/>
      <c r="X20" s="46"/>
      <c r="Y20" s="47" t="s">
        <v>41</v>
      </c>
    </row>
    <row r="21" spans="1:26" s="47" customFormat="1" ht="21" customHeight="1" x14ac:dyDescent="0.45">
      <c r="A21" s="40"/>
      <c r="B21" s="40" t="s">
        <v>42</v>
      </c>
      <c r="C21" s="40"/>
      <c r="D21" s="40"/>
      <c r="E21" s="41"/>
      <c r="F21" s="42">
        <f>SUM(G21:H21)</f>
        <v>15.443</v>
      </c>
      <c r="G21" s="42">
        <f>13205/1000</f>
        <v>13.205</v>
      </c>
      <c r="H21" s="42">
        <f>2238/1000</f>
        <v>2.238</v>
      </c>
      <c r="I21" s="42">
        <f>SUM(J21:K21)</f>
        <v>15.961</v>
      </c>
      <c r="J21" s="42">
        <f>14268/1000</f>
        <v>14.268000000000001</v>
      </c>
      <c r="K21" s="42">
        <f>1693/1000</f>
        <v>1.6930000000000001</v>
      </c>
      <c r="L21" s="42">
        <f>SUM(M21:N21)</f>
        <v>13.423</v>
      </c>
      <c r="M21" s="42">
        <f>11575/1000</f>
        <v>11.574999999999999</v>
      </c>
      <c r="N21" s="42">
        <f>1848/1000</f>
        <v>1.8480000000000001</v>
      </c>
      <c r="O21" s="42">
        <f>SUM(P21:Q21)</f>
        <v>12.346</v>
      </c>
      <c r="P21" s="42">
        <f>10841/1000</f>
        <v>10.840999999999999</v>
      </c>
      <c r="Q21" s="43">
        <f>1505/1000</f>
        <v>1.5049999999999999</v>
      </c>
      <c r="R21" s="44">
        <f>SUM(S21:T21)</f>
        <v>14.834000000000001</v>
      </c>
      <c r="S21" s="42">
        <f>13034/1000</f>
        <v>13.034000000000001</v>
      </c>
      <c r="T21" s="44">
        <f>1800/1000</f>
        <v>1.8</v>
      </c>
      <c r="U21" s="45">
        <f>13767.72/1000</f>
        <v>13.767719999999999</v>
      </c>
      <c r="V21" s="45">
        <f>12386.6/1000</f>
        <v>12.3866</v>
      </c>
      <c r="W21" s="45">
        <f>1381.11/1000</f>
        <v>1.3811099999999998</v>
      </c>
      <c r="X21" s="46"/>
      <c r="Z21" s="47" t="s">
        <v>43</v>
      </c>
    </row>
    <row r="22" spans="1:26" s="47" customFormat="1" ht="21" customHeight="1" x14ac:dyDescent="0.45">
      <c r="A22" s="40" t="s">
        <v>44</v>
      </c>
      <c r="B22" s="40"/>
      <c r="C22" s="40"/>
      <c r="D22" s="40"/>
      <c r="E22" s="4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U22" s="52"/>
      <c r="V22" s="52"/>
      <c r="W22" s="52"/>
      <c r="X22" s="46"/>
      <c r="Y22" s="47" t="s">
        <v>45</v>
      </c>
    </row>
    <row r="23" spans="1:26" s="47" customFormat="1" ht="21" customHeight="1" x14ac:dyDescent="0.45">
      <c r="A23" s="40"/>
      <c r="B23" s="40" t="s">
        <v>46</v>
      </c>
      <c r="C23" s="40"/>
      <c r="D23" s="40"/>
      <c r="E23" s="41"/>
      <c r="F23" s="42">
        <f>SUM(G23:H23)</f>
        <v>58.356999999999999</v>
      </c>
      <c r="G23" s="42">
        <f>29400/1000</f>
        <v>29.4</v>
      </c>
      <c r="H23" s="42">
        <f>28957/1000</f>
        <v>28.957000000000001</v>
      </c>
      <c r="I23" s="42">
        <f>SUM(J23:K23)</f>
        <v>51.396000000000001</v>
      </c>
      <c r="J23" s="42">
        <f>26633/1000</f>
        <v>26.632999999999999</v>
      </c>
      <c r="K23" s="42">
        <f>24763/1000</f>
        <v>24.763000000000002</v>
      </c>
      <c r="L23" s="42">
        <f>SUM(M23:N23)</f>
        <v>53.42</v>
      </c>
      <c r="M23" s="42">
        <f>27678/1000</f>
        <v>27.678000000000001</v>
      </c>
      <c r="N23" s="42">
        <f>25742/1000</f>
        <v>25.742000000000001</v>
      </c>
      <c r="O23" s="42">
        <f>SUM(P23:Q23)</f>
        <v>50.283999999999999</v>
      </c>
      <c r="P23" s="42">
        <f>26023/1000</f>
        <v>26.023</v>
      </c>
      <c r="Q23" s="43">
        <f>24261/1000</f>
        <v>24.260999999999999</v>
      </c>
      <c r="R23" s="44">
        <f>SUM(S23:T23)</f>
        <v>57.753</v>
      </c>
      <c r="S23" s="42">
        <f>29274/1000</f>
        <v>29.274000000000001</v>
      </c>
      <c r="T23" s="44">
        <f>28479/1000</f>
        <v>28.478999999999999</v>
      </c>
      <c r="U23" s="45">
        <f>54618.39/1000</f>
        <v>54.618389999999998</v>
      </c>
      <c r="V23" s="45">
        <f>28627.26/1000</f>
        <v>28.62726</v>
      </c>
      <c r="W23" s="45">
        <f>25991.13/1000</f>
        <v>25.991130000000002</v>
      </c>
      <c r="X23" s="46"/>
    </row>
    <row r="24" spans="1:26" s="47" customFormat="1" ht="21" customHeight="1" x14ac:dyDescent="0.45">
      <c r="A24" s="40" t="s">
        <v>47</v>
      </c>
      <c r="B24" s="40"/>
      <c r="C24" s="40"/>
      <c r="D24" s="40"/>
      <c r="E24" s="41"/>
      <c r="F24" s="54" t="s">
        <v>48</v>
      </c>
      <c r="G24" s="45" t="s">
        <v>48</v>
      </c>
      <c r="H24" s="45" t="s">
        <v>48</v>
      </c>
      <c r="I24" s="54" t="s">
        <v>48</v>
      </c>
      <c r="J24" s="45" t="s">
        <v>48</v>
      </c>
      <c r="K24" s="45" t="s">
        <v>48</v>
      </c>
      <c r="L24" s="54" t="s">
        <v>48</v>
      </c>
      <c r="M24" s="45" t="s">
        <v>48</v>
      </c>
      <c r="N24" s="45" t="s">
        <v>48</v>
      </c>
      <c r="O24" s="54" t="s">
        <v>48</v>
      </c>
      <c r="P24" s="45" t="s">
        <v>48</v>
      </c>
      <c r="Q24" s="45" t="s">
        <v>48</v>
      </c>
      <c r="R24" s="54" t="s">
        <v>48</v>
      </c>
      <c r="S24" s="45" t="s">
        <v>48</v>
      </c>
      <c r="T24" s="45" t="s">
        <v>48</v>
      </c>
      <c r="U24" s="45" t="s">
        <v>48</v>
      </c>
      <c r="V24" s="45" t="s">
        <v>48</v>
      </c>
      <c r="W24" s="45" t="s">
        <v>48</v>
      </c>
      <c r="X24" s="46"/>
      <c r="Y24" s="47" t="s">
        <v>49</v>
      </c>
    </row>
    <row r="25" spans="1:26" s="47" customFormat="1" ht="9" customHeight="1" x14ac:dyDescent="0.45">
      <c r="A25" s="55"/>
      <c r="B25" s="55"/>
      <c r="C25" s="55"/>
      <c r="D25" s="55"/>
      <c r="E25" s="56"/>
      <c r="F25" s="57"/>
      <c r="G25" s="58"/>
      <c r="H25" s="59"/>
      <c r="I25" s="59"/>
      <c r="J25" s="60"/>
      <c r="K25" s="60"/>
      <c r="L25" s="59"/>
      <c r="M25" s="61"/>
      <c r="N25" s="61"/>
      <c r="O25" s="61"/>
      <c r="P25" s="61"/>
      <c r="Q25" s="61"/>
      <c r="R25" s="59"/>
      <c r="S25" s="59"/>
      <c r="T25" s="59"/>
      <c r="U25" s="62"/>
      <c r="V25" s="62"/>
      <c r="W25" s="62"/>
      <c r="X25" s="55"/>
      <c r="Y25" s="55"/>
      <c r="Z25" s="55"/>
    </row>
    <row r="26" spans="1:26" s="47" customFormat="1" ht="9" customHeight="1" x14ac:dyDescent="0.45">
      <c r="X26" s="40"/>
    </row>
    <row r="27" spans="1:26" s="47" customFormat="1" ht="19.5" customHeight="1" x14ac:dyDescent="0.45">
      <c r="A27" s="63" t="s">
        <v>50</v>
      </c>
      <c r="C27" s="64"/>
      <c r="D27" s="65"/>
      <c r="X27" s="40"/>
    </row>
    <row r="28" spans="1:26" s="47" customFormat="1" ht="19.5" x14ac:dyDescent="0.45">
      <c r="A28" s="63" t="s">
        <v>51</v>
      </c>
      <c r="C28" s="64"/>
      <c r="D28" s="65"/>
      <c r="X28" s="40"/>
    </row>
    <row r="29" spans="1:26" s="47" customFormat="1" ht="21" customHeight="1" x14ac:dyDescent="0.45">
      <c r="X29" s="40"/>
    </row>
    <row r="33" ht="82.5" customHeight="1" x14ac:dyDescent="0.5"/>
  </sheetData>
  <mergeCells count="18">
    <mergeCell ref="A9:E9"/>
    <mergeCell ref="Y9:Z9"/>
    <mergeCell ref="F6:H6"/>
    <mergeCell ref="I6:K6"/>
    <mergeCell ref="L6:N6"/>
    <mergeCell ref="O6:Q6"/>
    <mergeCell ref="R6:T6"/>
    <mergeCell ref="U6:W6"/>
    <mergeCell ref="A4:E8"/>
    <mergeCell ref="F4:Q4"/>
    <mergeCell ref="R4:W4"/>
    <mergeCell ref="Y4:Z8"/>
    <mergeCell ref="F5:H5"/>
    <mergeCell ref="I5:K5"/>
    <mergeCell ref="L5:N5"/>
    <mergeCell ref="O5:Q5"/>
    <mergeCell ref="R5:T5"/>
    <mergeCell ref="U5:W5"/>
  </mergeCells>
  <pageMargins left="0.55118110236220474" right="0.35433070866141736" top="0.78740157480314965" bottom="0.51181102362204722" header="0.51181102362204722" footer="0.51181102362204722"/>
  <pageSetup paperSize="9" scale="73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T-2.3</vt:lpstr>
      <vt:lpstr>'T-2.3'!Print_Area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anuchit</dc:creator>
  <cp:lastModifiedBy>anuchit</cp:lastModifiedBy>
  <dcterms:created xsi:type="dcterms:W3CDTF">2017-09-25T02:37:49Z</dcterms:created>
  <dcterms:modified xsi:type="dcterms:W3CDTF">2017-09-25T02:37:58Z</dcterms:modified>
</cp:coreProperties>
</file>