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-2.4" sheetId="1" r:id="rId1"/>
  </sheets>
  <definedNames>
    <definedName name="_xlnm.Print_Area" localSheetId="0">'T-2.4'!$A$1:$Z$41</definedName>
  </definedNames>
  <calcPr calcId="144525"/>
</workbook>
</file>

<file path=xl/calcChain.xml><?xml version="1.0" encoding="utf-8"?>
<calcChain xmlns="http://schemas.openxmlformats.org/spreadsheetml/2006/main">
  <c r="O35" i="1" l="1"/>
  <c r="N35" i="1"/>
  <c r="L35" i="1"/>
  <c r="K35" i="1"/>
  <c r="J35" i="1"/>
  <c r="I35" i="1"/>
  <c r="Q33" i="1"/>
  <c r="P33" i="1"/>
  <c r="O33" i="1"/>
  <c r="N33" i="1"/>
  <c r="M33" i="1"/>
  <c r="L33" i="1"/>
  <c r="K33" i="1"/>
  <c r="J33" i="1"/>
  <c r="I33" i="1"/>
  <c r="O32" i="1"/>
  <c r="N32" i="1"/>
  <c r="M32" i="1"/>
  <c r="L32" i="1"/>
  <c r="K32" i="1"/>
  <c r="J32" i="1"/>
  <c r="I32" i="1"/>
  <c r="Q31" i="1"/>
  <c r="P31" i="1"/>
  <c r="O31" i="1"/>
  <c r="N31" i="1"/>
  <c r="M31" i="1"/>
  <c r="L31" i="1"/>
  <c r="K31" i="1"/>
  <c r="J31" i="1"/>
  <c r="I31" i="1"/>
  <c r="Q30" i="1"/>
  <c r="P30" i="1"/>
  <c r="O30" i="1"/>
  <c r="N30" i="1"/>
  <c r="M30" i="1"/>
  <c r="L30" i="1"/>
  <c r="K30" i="1"/>
  <c r="J30" i="1"/>
  <c r="I30" i="1"/>
  <c r="Q29" i="1"/>
  <c r="P29" i="1"/>
  <c r="O29" i="1"/>
  <c r="N29" i="1"/>
  <c r="M29" i="1"/>
  <c r="L29" i="1"/>
  <c r="K29" i="1"/>
  <c r="J29" i="1"/>
  <c r="I29" i="1"/>
  <c r="Q27" i="1"/>
  <c r="P27" i="1"/>
  <c r="O27" i="1"/>
  <c r="N27" i="1"/>
  <c r="M27" i="1"/>
  <c r="L27" i="1"/>
  <c r="K27" i="1"/>
  <c r="J27" i="1"/>
  <c r="I27" i="1"/>
  <c r="Q26" i="1"/>
  <c r="P26" i="1"/>
  <c r="O26" i="1"/>
  <c r="N26" i="1"/>
  <c r="M26" i="1"/>
  <c r="L26" i="1"/>
  <c r="K26" i="1"/>
  <c r="J26" i="1"/>
  <c r="I26" i="1"/>
  <c r="O25" i="1"/>
  <c r="N25" i="1"/>
  <c r="L25" i="1"/>
  <c r="K25" i="1"/>
  <c r="I25" i="1"/>
  <c r="Q24" i="1"/>
  <c r="P24" i="1"/>
  <c r="O24" i="1"/>
  <c r="N24" i="1"/>
  <c r="M24" i="1"/>
  <c r="L24" i="1"/>
  <c r="K24" i="1"/>
  <c r="J24" i="1"/>
  <c r="I24" i="1"/>
  <c r="Q23" i="1"/>
  <c r="P23" i="1"/>
  <c r="O23" i="1"/>
  <c r="N23" i="1"/>
  <c r="M23" i="1"/>
  <c r="L23" i="1"/>
  <c r="J23" i="1"/>
  <c r="I23" i="1"/>
  <c r="Q22" i="1"/>
  <c r="P22" i="1"/>
  <c r="O22" i="1"/>
  <c r="N22" i="1"/>
  <c r="M22" i="1"/>
  <c r="L22" i="1"/>
  <c r="K22" i="1"/>
  <c r="J22" i="1"/>
  <c r="I22" i="1"/>
  <c r="O21" i="1"/>
  <c r="N21" i="1"/>
  <c r="M21" i="1"/>
  <c r="L21" i="1"/>
  <c r="K21" i="1"/>
  <c r="J21" i="1"/>
  <c r="I21" i="1"/>
  <c r="Q20" i="1"/>
  <c r="P20" i="1"/>
  <c r="O20" i="1"/>
  <c r="M20" i="1"/>
  <c r="L20" i="1"/>
  <c r="K20" i="1"/>
  <c r="J20" i="1"/>
  <c r="I20" i="1"/>
  <c r="Q18" i="1"/>
  <c r="P18" i="1"/>
  <c r="O18" i="1"/>
  <c r="N18" i="1"/>
  <c r="M18" i="1"/>
  <c r="L18" i="1"/>
  <c r="K18" i="1"/>
  <c r="J18" i="1"/>
  <c r="I18" i="1"/>
  <c r="Q17" i="1"/>
  <c r="P17" i="1"/>
  <c r="O17" i="1"/>
  <c r="N17" i="1"/>
  <c r="M17" i="1"/>
  <c r="L17" i="1"/>
  <c r="K17" i="1"/>
  <c r="J17" i="1"/>
  <c r="I17" i="1"/>
  <c r="O15" i="1"/>
  <c r="N15" i="1"/>
  <c r="M15" i="1"/>
  <c r="L15" i="1"/>
  <c r="K15" i="1"/>
  <c r="J15" i="1"/>
  <c r="I15" i="1"/>
  <c r="Q14" i="1"/>
  <c r="P14" i="1"/>
  <c r="O14" i="1"/>
  <c r="N14" i="1"/>
  <c r="M14" i="1"/>
  <c r="L14" i="1"/>
  <c r="K14" i="1"/>
  <c r="J14" i="1"/>
  <c r="I14" i="1"/>
  <c r="P13" i="1"/>
  <c r="O13" i="1"/>
  <c r="M13" i="1"/>
  <c r="L13" i="1"/>
  <c r="J13" i="1"/>
  <c r="I13" i="1"/>
  <c r="Q11" i="1"/>
  <c r="P11" i="1"/>
  <c r="O11" i="1"/>
  <c r="N11" i="1"/>
  <c r="M11" i="1"/>
  <c r="L11" i="1"/>
  <c r="K11" i="1"/>
  <c r="J11" i="1"/>
  <c r="I11" i="1"/>
  <c r="Q9" i="1"/>
  <c r="P9" i="1"/>
  <c r="O9" i="1"/>
  <c r="N9" i="1"/>
  <c r="M9" i="1"/>
  <c r="L9" i="1"/>
  <c r="K9" i="1"/>
  <c r="J9" i="1"/>
  <c r="I9" i="1"/>
</calcChain>
</file>

<file path=xl/sharedStrings.xml><?xml version="1.0" encoding="utf-8"?>
<sst xmlns="http://schemas.openxmlformats.org/spreadsheetml/2006/main" count="162" uniqueCount="82">
  <si>
    <t>ตาราง</t>
  </si>
  <si>
    <t xml:space="preserve">ประชากรอายุ 15 ปีขึ้นไปที่มีงานทำ จำแนกตามอุตสาหกรรม และเพศ เป็นรายไตรมาส พ.ศ. 2559 - 2560 </t>
  </si>
  <si>
    <t>Table</t>
  </si>
  <si>
    <t>Employed Persons Aged 15 Years and Over by Industry, Sex and Quarterly: 2016 - 2017</t>
  </si>
  <si>
    <t xml:space="preserve"> (หน่วยเป็นพัน   In thousands)</t>
  </si>
  <si>
    <t>อุตสาหกรรม</t>
  </si>
  <si>
    <t>2559 (2016)</t>
  </si>
  <si>
    <t>2560 (2017)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</si>
  <si>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</si>
  <si>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</si>
  <si>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</si>
  <si>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</si>
  <si>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</si>
  <si>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</si>
  <si>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</si>
  <si>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</si>
  <si>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</si>
  <si>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</si>
  <si>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</si>
  <si>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</si>
  <si>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</si>
  <si>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</si>
  <si>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</si>
  <si>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</si>
  <si>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</si>
  <si>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</si>
  <si>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</si>
  <si>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</si>
  <si>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</si>
  <si>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</si>
  <si>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</si>
  <si>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</si>
  <si>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</si>
  <si>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</si>
  <si>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</si>
  <si>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</si>
  <si>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supply; sewerage , waste management</t>
  </si>
  <si>
    <t>และสิ่งปฏิกูล</t>
  </si>
  <si>
    <t>and remediation activities</t>
  </si>
  <si>
    <t>การก่อสร้าง</t>
  </si>
  <si>
    <t>Construction</t>
  </si>
  <si>
    <t>Wholesale and retail trade, repair of motor vehicles</t>
  </si>
  <si>
    <t xml:space="preserve">การขายส่ง และการขายปลีก การซ่อมแซมยานยนต์ </t>
  </si>
  <si>
    <t>and motorcycles</t>
  </si>
  <si>
    <t>การขนส่ง 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</si>
  <si>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</si>
  <si>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</si>
  <si>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</si>
  <si>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</si>
  <si>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</si>
  <si>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</si>
  <si>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</si>
  <si>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</si>
  <si>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</si>
  <si>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</si>
  <si>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</si>
  <si>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</si>
  <si>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</si>
  <si>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</si>
  <si>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</si>
  <si>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</si>
  <si>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</si>
  <si>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</si>
  <si>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</si>
  <si>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</si>
  <si>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</si>
  <si>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</si>
  <si>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</si>
  <si>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</si>
  <si>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</si>
  <si>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การผลิตสินค้า</t>
  </si>
  <si>
    <t xml:space="preserve">Activities of households as employers; undifferentiated goods </t>
  </si>
  <si>
    <t>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</si>
  <si>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</si>
  <si>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</si>
  <si>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</si>
  <si>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</si>
  <si>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</si>
  <si>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>ที่มา: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</si>
  <si>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</si>
  <si>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Source:</t>
  </si>
  <si>
    <t>The  Labour Force Survey: 2016 - 2017,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</si>
</sst>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3">
    <xf numFmtId="0" fontId="0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 vertical="center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9" xfId="0" applyFont="1" applyBorder="1"/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4" fontId="7" fillId="0" borderId="12" xfId="0" applyNumberFormat="1" applyFont="1" applyBorder="1" applyAlignment="1">
      <alignment horizontal="right"/>
    </xf>
    <xf numFmtId="4" fontId="7" fillId="0" borderId="6" xfId="0" applyNumberFormat="1" applyFont="1" applyBorder="1" applyAlignment="1">
      <alignment horizontal="right"/>
    </xf>
    <xf numFmtId="0" fontId="7" fillId="0" borderId="0" xfId="0" applyFont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4" fontId="7" fillId="0" borderId="14" xfId="1" applyNumberFormat="1" applyFont="1" applyBorder="1" applyAlignment="1">
      <alignment horizontal="right"/>
    </xf>
    <xf numFmtId="4" fontId="7" fillId="0" borderId="6" xfId="1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Alignment="1">
      <alignment vertical="center"/>
    </xf>
    <xf numFmtId="4" fontId="10" fillId="0" borderId="14" xfId="1" applyNumberFormat="1" applyFont="1" applyBorder="1" applyAlignment="1">
      <alignment horizontal="right" vertical="center"/>
    </xf>
    <xf numFmtId="4" fontId="10" fillId="0" borderId="6" xfId="1" applyNumberFormat="1" applyFont="1" applyBorder="1" applyAlignment="1">
      <alignment horizontal="right" vertical="center"/>
    </xf>
    <xf numFmtId="4" fontId="10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4" fontId="10" fillId="0" borderId="14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0" fontId="10" fillId="0" borderId="9" xfId="0" applyFont="1" applyBorder="1"/>
    <xf numFmtId="0" fontId="10" fillId="0" borderId="10" xfId="0" applyFont="1" applyBorder="1"/>
    <xf numFmtId="4" fontId="10" fillId="0" borderId="8" xfId="0" applyNumberFormat="1" applyFont="1" applyBorder="1" applyAlignment="1">
      <alignment horizontal="right"/>
    </xf>
    <xf numFmtId="4" fontId="10" fillId="0" borderId="13" xfId="0" applyNumberFormat="1" applyFont="1" applyBorder="1" applyAlignment="1">
      <alignment horizontal="right"/>
    </xf>
    <xf numFmtId="4" fontId="10" fillId="0" borderId="10" xfId="0" applyNumberFormat="1" applyFont="1" applyBorder="1" applyAlignment="1">
      <alignment horizontal="right"/>
    </xf>
    <xf numFmtId="0" fontId="10" fillId="0" borderId="0" xfId="0" applyFont="1" applyBorder="1"/>
    <xf numFmtId="0" fontId="10" fillId="0" borderId="0" xfId="0" applyFont="1"/>
    <xf numFmtId="4" fontId="10" fillId="0" borderId="0" xfId="0" applyNumberFormat="1" applyFont="1" applyBorder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</cellXfs>
  <cellStyles count="63">
    <cellStyle name="Normal" xfId="0" builtinId="0"/>
    <cellStyle name="เครื่องหมายจุลภาค 2 2 8" xfId="2"/>
    <cellStyle name="เครื่องหมายจุลภาค 2 2 8 10" xfId="3"/>
    <cellStyle name="เครื่องหมายจุลภาค 2 2 8 11" xfId="4"/>
    <cellStyle name="เครื่องหมายจุลภาค 2 2 8 2" xfId="5"/>
    <cellStyle name="เครื่องหมายจุลภาค 2 2 8 3" xfId="6"/>
    <cellStyle name="เครื่องหมายจุลภาค 2 2 8 4" xfId="7"/>
    <cellStyle name="เครื่องหมายจุลภาค 2 2 8 5" xfId="8"/>
    <cellStyle name="เครื่องหมายจุลภาค 2 2 8 6" xfId="9"/>
    <cellStyle name="เครื่องหมายจุลภาค 2 2 8 7" xfId="10"/>
    <cellStyle name="เครื่องหมายจุลภาค 2 2 8 8" xfId="11"/>
    <cellStyle name="เครื่องหมายจุลภาค 2 2 8 9" xfId="12"/>
    <cellStyle name="เครื่องหมายจุลภาค 2 8" xfId="13"/>
    <cellStyle name="เครื่องหมายจุลภาค 2 8 10" xfId="14"/>
    <cellStyle name="เครื่องหมายจุลภาค 2 8 11" xfId="15"/>
    <cellStyle name="เครื่องหมายจุลภาค 2 8 2" xfId="16"/>
    <cellStyle name="เครื่องหมายจุลภาค 2 8 3" xfId="17"/>
    <cellStyle name="เครื่องหมายจุลภาค 2 8 4" xfId="18"/>
    <cellStyle name="เครื่องหมายจุลภาค 2 8 5" xfId="19"/>
    <cellStyle name="เครื่องหมายจุลภาค 2 8 6" xfId="20"/>
    <cellStyle name="เครื่องหมายจุลภาค 2 8 7" xfId="21"/>
    <cellStyle name="เครื่องหมายจุลภาค 2 8 8" xfId="22"/>
    <cellStyle name="เครื่องหมายจุลภาค 2 8 9" xfId="23"/>
    <cellStyle name="จุลภาค 2" xfId="24"/>
    <cellStyle name="ปกติ 2" xfId="25"/>
    <cellStyle name="ปกติ 25" xfId="26"/>
    <cellStyle name="ปกติ 25 10" xfId="27"/>
    <cellStyle name="ปกติ 25 11" xfId="28"/>
    <cellStyle name="ปกติ 25 2" xfId="29"/>
    <cellStyle name="ปกติ 25 3" xfId="30"/>
    <cellStyle name="ปกติ 25 4" xfId="31"/>
    <cellStyle name="ปกติ 25 5" xfId="32"/>
    <cellStyle name="ปกติ 25 6" xfId="33"/>
    <cellStyle name="ปกติ 25 7" xfId="34"/>
    <cellStyle name="ปกติ 25 8" xfId="35"/>
    <cellStyle name="ปกติ 25 9" xfId="36"/>
    <cellStyle name="ปกติ 27" xfId="37"/>
    <cellStyle name="ปกติ 27 10" xfId="38"/>
    <cellStyle name="ปกติ 27 11" xfId="39"/>
    <cellStyle name="ปกติ 27 2" xfId="40"/>
    <cellStyle name="ปกติ 27 3" xfId="41"/>
    <cellStyle name="ปกติ 27 4" xfId="42"/>
    <cellStyle name="ปกติ 27 5" xfId="43"/>
    <cellStyle name="ปกติ 27 6" xfId="44"/>
    <cellStyle name="ปกติ 27 7" xfId="45"/>
    <cellStyle name="ปกติ 27 8" xfId="46"/>
    <cellStyle name="ปกติ 27 9" xfId="47"/>
    <cellStyle name="ปกติ 3" xfId="48"/>
    <cellStyle name="ปกติ 4" xfId="1"/>
    <cellStyle name="ปกติ 5" xfId="49"/>
    <cellStyle name="ปกติ 6" xfId="50"/>
    <cellStyle name="ปกติ 7" xfId="51"/>
    <cellStyle name="ปกติ 8" xfId="52"/>
    <cellStyle name="ปกติ 9 10" xfId="53"/>
    <cellStyle name="ปกติ 9 11" xfId="54"/>
    <cellStyle name="ปกติ 9 2" xfId="55"/>
    <cellStyle name="ปกติ 9 3" xfId="56"/>
    <cellStyle name="ปกติ 9 4" xfId="57"/>
    <cellStyle name="ปกติ 9 5" xfId="58"/>
    <cellStyle name="ปกติ 9 6" xfId="59"/>
    <cellStyle name="ปกติ 9 7" xfId="60"/>
    <cellStyle name="ปกติ 9 8" xfId="61"/>
    <cellStyle name="ปกติ 9 9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141808</xdr:colOff>
      <xdr:row>0</xdr:row>
      <xdr:rowOff>52915</xdr:rowOff>
    </xdr:from>
    <xdr:to>
      <xdr:col>26</xdr:col>
      <xdr:colOff>95242</xdr:colOff>
      <xdr:row>39</xdr:row>
      <xdr:rowOff>157690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9931391" y="52915"/>
          <a:ext cx="567268" cy="6380692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52"/>
  <sheetViews>
    <sheetView showGridLines="0" tabSelected="1" view="pageBreakPreview" topLeftCell="A7" zoomScale="90" zoomScaleSheetLayoutView="90" workbookViewId="0">
      <selection activeCell="W29" sqref="W29"/>
    </sheetView>
  </sheetViews>
  <sheetFormatPr defaultRowHeight="21.75" x14ac:dyDescent="0.5"/>
  <cols>
    <col min="1" max="1" width="1.42578125" style="8" customWidth="1"/>
    <col min="2" max="2" width="1.28515625" style="8" customWidth="1"/>
    <col min="3" max="3" width="5.7109375" style="8" customWidth="1"/>
    <col min="4" max="4" width="4.140625" style="8" customWidth="1"/>
    <col min="5" max="5" width="19.7109375" style="8" customWidth="1"/>
    <col min="6" max="7" width="5.7109375" style="8" customWidth="1"/>
    <col min="8" max="8" width="5.85546875" style="8" customWidth="1"/>
    <col min="9" max="11" width="5.28515625" style="8" customWidth="1"/>
    <col min="12" max="12" width="5" style="8" customWidth="1"/>
    <col min="13" max="13" width="5.5703125" style="8" customWidth="1"/>
    <col min="14" max="14" width="5.7109375" style="8" customWidth="1"/>
    <col min="15" max="16" width="5.28515625" style="8" customWidth="1"/>
    <col min="17" max="17" width="5.42578125" style="8" customWidth="1"/>
    <col min="18" max="18" width="5.7109375" style="8" customWidth="1"/>
    <col min="19" max="19" width="5" style="8" customWidth="1"/>
    <col min="20" max="20" width="6.28515625" style="8" customWidth="1"/>
    <col min="21" max="21" width="0.28515625" style="8" customWidth="1"/>
    <col min="22" max="22" width="9.140625" style="8"/>
    <col min="23" max="23" width="20.85546875" style="8" customWidth="1"/>
    <col min="24" max="24" width="1.85546875" style="9" customWidth="1"/>
    <col min="25" max="25" width="4" style="8" customWidth="1"/>
    <col min="26" max="26" width="5.28515625" style="8" customWidth="1"/>
    <col min="27" max="16384" width="9.140625" style="8"/>
  </cols>
  <sheetData>
    <row r="1" spans="1:24" s="1" customFormat="1" ht="20.25" customHeight="1" x14ac:dyDescent="0.5">
      <c r="C1" s="2" t="s">
        <v>0</v>
      </c>
      <c r="D1" s="3">
        <v>2.4</v>
      </c>
      <c r="E1" s="2" t="s">
        <v>1</v>
      </c>
      <c r="X1" s="4"/>
    </row>
    <row r="2" spans="1:24" s="5" customFormat="1" ht="16.5" customHeight="1" x14ac:dyDescent="0.5">
      <c r="C2" s="1" t="s">
        <v>2</v>
      </c>
      <c r="D2" s="6">
        <v>2.4</v>
      </c>
      <c r="E2" s="1" t="s">
        <v>3</v>
      </c>
      <c r="X2" s="7"/>
    </row>
    <row r="3" spans="1:24" ht="14.25" customHeight="1" x14ac:dyDescent="0.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W3" s="10" t="s">
        <v>4</v>
      </c>
    </row>
    <row r="4" spans="1:24" ht="15.75" customHeight="1" x14ac:dyDescent="0.5">
      <c r="A4" s="11"/>
      <c r="B4" s="12" t="s">
        <v>5</v>
      </c>
      <c r="C4" s="12"/>
      <c r="D4" s="12"/>
      <c r="E4" s="13"/>
      <c r="F4" s="14" t="s">
        <v>6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  <c r="R4" s="14" t="s">
        <v>7</v>
      </c>
      <c r="S4" s="15"/>
      <c r="T4" s="16"/>
      <c r="U4" s="12" t="s">
        <v>8</v>
      </c>
      <c r="V4" s="12"/>
      <c r="W4" s="12"/>
    </row>
    <row r="5" spans="1:24" s="21" customFormat="1" ht="15" customHeight="1" x14ac:dyDescent="0.45">
      <c r="A5" s="17"/>
      <c r="B5" s="18"/>
      <c r="C5" s="18"/>
      <c r="D5" s="18"/>
      <c r="E5" s="19"/>
      <c r="F5" s="20" t="s">
        <v>9</v>
      </c>
      <c r="G5" s="12"/>
      <c r="H5" s="13"/>
      <c r="I5" s="20" t="s">
        <v>10</v>
      </c>
      <c r="J5" s="12"/>
      <c r="K5" s="13"/>
      <c r="L5" s="20" t="s">
        <v>11</v>
      </c>
      <c r="M5" s="12"/>
      <c r="N5" s="13"/>
      <c r="O5" s="20" t="s">
        <v>12</v>
      </c>
      <c r="P5" s="12"/>
      <c r="Q5" s="13"/>
      <c r="R5" s="20" t="s">
        <v>9</v>
      </c>
      <c r="S5" s="12"/>
      <c r="T5" s="13"/>
      <c r="U5" s="18"/>
      <c r="V5" s="18"/>
      <c r="W5" s="18"/>
      <c r="X5" s="17"/>
    </row>
    <row r="6" spans="1:24" s="21" customFormat="1" ht="12.75" customHeight="1" x14ac:dyDescent="0.45">
      <c r="A6" s="17"/>
      <c r="B6" s="18"/>
      <c r="C6" s="18"/>
      <c r="D6" s="18"/>
      <c r="E6" s="19"/>
      <c r="F6" s="22" t="s">
        <v>13</v>
      </c>
      <c r="G6" s="23"/>
      <c r="H6" s="24"/>
      <c r="I6" s="22" t="s">
        <v>14</v>
      </c>
      <c r="J6" s="23"/>
      <c r="K6" s="24"/>
      <c r="L6" s="22" t="s">
        <v>15</v>
      </c>
      <c r="M6" s="23"/>
      <c r="N6" s="24"/>
      <c r="O6" s="22" t="s">
        <v>16</v>
      </c>
      <c r="P6" s="23"/>
      <c r="Q6" s="24"/>
      <c r="R6" s="22" t="s">
        <v>13</v>
      </c>
      <c r="S6" s="23"/>
      <c r="T6" s="24"/>
      <c r="U6" s="18"/>
      <c r="V6" s="18"/>
      <c r="W6" s="18"/>
      <c r="X6" s="17"/>
    </row>
    <row r="7" spans="1:24" s="21" customFormat="1" ht="13.5" customHeight="1" x14ac:dyDescent="0.45">
      <c r="A7" s="17"/>
      <c r="B7" s="18"/>
      <c r="C7" s="18"/>
      <c r="D7" s="18"/>
      <c r="E7" s="19"/>
      <c r="F7" s="25" t="s">
        <v>17</v>
      </c>
      <c r="G7" s="26" t="s">
        <v>18</v>
      </c>
      <c r="H7" s="27" t="s">
        <v>19</v>
      </c>
      <c r="I7" s="28" t="s">
        <v>17</v>
      </c>
      <c r="J7" s="26" t="s">
        <v>18</v>
      </c>
      <c r="K7" s="28" t="s">
        <v>19</v>
      </c>
      <c r="L7" s="25" t="s">
        <v>17</v>
      </c>
      <c r="M7" s="26" t="s">
        <v>18</v>
      </c>
      <c r="N7" s="27" t="s">
        <v>19</v>
      </c>
      <c r="O7" s="25" t="s">
        <v>17</v>
      </c>
      <c r="P7" s="26" t="s">
        <v>18</v>
      </c>
      <c r="Q7" s="27" t="s">
        <v>19</v>
      </c>
      <c r="R7" s="25" t="s">
        <v>17</v>
      </c>
      <c r="S7" s="26" t="s">
        <v>18</v>
      </c>
      <c r="T7" s="27" t="s">
        <v>19</v>
      </c>
      <c r="U7" s="18"/>
      <c r="V7" s="18"/>
      <c r="W7" s="18"/>
      <c r="X7" s="17"/>
    </row>
    <row r="8" spans="1:24" s="21" customFormat="1" ht="13.5" customHeight="1" x14ac:dyDescent="0.45">
      <c r="A8" s="29"/>
      <c r="B8" s="23"/>
      <c r="C8" s="23"/>
      <c r="D8" s="23"/>
      <c r="E8" s="24"/>
      <c r="F8" s="30" t="s">
        <v>20</v>
      </c>
      <c r="G8" s="31" t="s">
        <v>21</v>
      </c>
      <c r="H8" s="32" t="s">
        <v>22</v>
      </c>
      <c r="I8" s="33" t="s">
        <v>20</v>
      </c>
      <c r="J8" s="31" t="s">
        <v>21</v>
      </c>
      <c r="K8" s="33" t="s">
        <v>22</v>
      </c>
      <c r="L8" s="30" t="s">
        <v>20</v>
      </c>
      <c r="M8" s="31" t="s">
        <v>21</v>
      </c>
      <c r="N8" s="32" t="s">
        <v>22</v>
      </c>
      <c r="O8" s="30" t="s">
        <v>20</v>
      </c>
      <c r="P8" s="31" t="s">
        <v>21</v>
      </c>
      <c r="Q8" s="32" t="s">
        <v>22</v>
      </c>
      <c r="R8" s="30" t="s">
        <v>20</v>
      </c>
      <c r="S8" s="31" t="s">
        <v>21</v>
      </c>
      <c r="T8" s="32" t="s">
        <v>22</v>
      </c>
      <c r="U8" s="23"/>
      <c r="V8" s="23"/>
      <c r="W8" s="23"/>
      <c r="X8" s="17"/>
    </row>
    <row r="9" spans="1:24" s="34" customFormat="1" ht="16.5" customHeight="1" x14ac:dyDescent="0.4">
      <c r="B9" s="35" t="s">
        <v>23</v>
      </c>
      <c r="C9" s="35"/>
      <c r="D9" s="35"/>
      <c r="E9" s="35"/>
      <c r="F9" s="36">
        <v>512.24</v>
      </c>
      <c r="G9" s="37">
        <v>279.39800000000002</v>
      </c>
      <c r="H9" s="37">
        <v>232.84200000000001</v>
      </c>
      <c r="I9" s="37">
        <f>517890/1000</f>
        <v>517.89</v>
      </c>
      <c r="J9" s="37">
        <f>285344/1000</f>
        <v>285.34399999999999</v>
      </c>
      <c r="K9" s="37">
        <f>232545/1000</f>
        <v>232.54499999999999</v>
      </c>
      <c r="L9" s="37">
        <f>548432/1000</f>
        <v>548.43200000000002</v>
      </c>
      <c r="M9" s="36">
        <f>294895/1000</f>
        <v>294.89499999999998</v>
      </c>
      <c r="N9" s="37">
        <f>253537/1000</f>
        <v>253.53700000000001</v>
      </c>
      <c r="O9" s="37">
        <f>502933/1000</f>
        <v>502.93299999999999</v>
      </c>
      <c r="P9" s="37">
        <f>282145/1000</f>
        <v>282.14499999999998</v>
      </c>
      <c r="Q9" s="37">
        <f>220787/1000</f>
        <v>220.78700000000001</v>
      </c>
      <c r="R9" s="37">
        <v>483.95</v>
      </c>
      <c r="S9" s="37">
        <v>271.95999999999998</v>
      </c>
      <c r="T9" s="37">
        <v>211.99</v>
      </c>
      <c r="U9" s="35" t="s">
        <v>20</v>
      </c>
      <c r="V9" s="35"/>
      <c r="W9" s="35"/>
      <c r="X9" s="38"/>
    </row>
    <row r="10" spans="1:24" s="34" customFormat="1" ht="12.75" customHeight="1" x14ac:dyDescent="0.4">
      <c r="A10" s="39" t="s">
        <v>24</v>
      </c>
      <c r="C10" s="39"/>
      <c r="D10" s="39"/>
      <c r="E10" s="40"/>
      <c r="F10" s="41"/>
      <c r="G10" s="42"/>
      <c r="H10" s="42"/>
      <c r="I10" s="37"/>
      <c r="J10" s="37"/>
      <c r="K10" s="37"/>
      <c r="L10" s="37"/>
      <c r="M10" s="43"/>
      <c r="N10" s="37"/>
      <c r="O10" s="37"/>
      <c r="P10" s="37"/>
      <c r="Q10" s="37"/>
      <c r="R10" s="37"/>
      <c r="S10" s="37"/>
      <c r="T10" s="37"/>
      <c r="V10" s="44"/>
      <c r="W10" s="45"/>
      <c r="X10" s="38"/>
    </row>
    <row r="11" spans="1:24" s="50" customFormat="1" ht="12.75" customHeight="1" x14ac:dyDescent="0.35">
      <c r="A11" s="46"/>
      <c r="B11" s="46" t="s">
        <v>25</v>
      </c>
      <c r="C11" s="46"/>
      <c r="D11" s="46"/>
      <c r="E11" s="46"/>
      <c r="F11" s="47">
        <v>210.685</v>
      </c>
      <c r="G11" s="48">
        <v>115.11799999999999</v>
      </c>
      <c r="H11" s="48">
        <v>95.566999999999993</v>
      </c>
      <c r="I11" s="49">
        <f>215660/1000</f>
        <v>215.66</v>
      </c>
      <c r="J11" s="49">
        <f>123994/1000</f>
        <v>123.994</v>
      </c>
      <c r="K11" s="49">
        <f>91666/1000</f>
        <v>91.665999999999997</v>
      </c>
      <c r="L11" s="49">
        <f>285848/1000</f>
        <v>285.84800000000001</v>
      </c>
      <c r="M11" s="43">
        <f>155002/1000</f>
        <v>155.00200000000001</v>
      </c>
      <c r="N11" s="49">
        <f>130846/1000</f>
        <v>130.846</v>
      </c>
      <c r="O11" s="49">
        <f>253757/1000</f>
        <v>253.75700000000001</v>
      </c>
      <c r="P11" s="49">
        <f>152948/1000</f>
        <v>152.94800000000001</v>
      </c>
      <c r="Q11" s="49">
        <f>100809/1000</f>
        <v>100.809</v>
      </c>
      <c r="R11" s="49">
        <v>212.93</v>
      </c>
      <c r="S11" s="49">
        <v>126.66</v>
      </c>
      <c r="T11" s="49">
        <v>86.27</v>
      </c>
      <c r="U11" s="46" t="s">
        <v>26</v>
      </c>
      <c r="V11" s="46"/>
      <c r="X11" s="51"/>
    </row>
    <row r="12" spans="1:24" s="50" customFormat="1" ht="12.75" customHeight="1" x14ac:dyDescent="0.5">
      <c r="A12" s="39" t="s">
        <v>27</v>
      </c>
      <c r="B12" s="39"/>
      <c r="C12" s="39"/>
      <c r="D12" s="40"/>
      <c r="E12" s="52"/>
      <c r="F12" s="47"/>
      <c r="G12" s="48"/>
      <c r="H12" s="4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6"/>
      <c r="V12" s="46"/>
      <c r="X12" s="51"/>
    </row>
    <row r="13" spans="1:24" s="50" customFormat="1" ht="12.75" customHeight="1" x14ac:dyDescent="0.5">
      <c r="A13" s="46"/>
      <c r="B13" s="46" t="s">
        <v>28</v>
      </c>
      <c r="C13" s="46"/>
      <c r="D13" s="46"/>
      <c r="E13" s="46"/>
      <c r="F13" s="47">
        <v>1.268</v>
      </c>
      <c r="G13" s="48">
        <v>1.268</v>
      </c>
      <c r="H13" s="48" t="s">
        <v>29</v>
      </c>
      <c r="I13" s="49">
        <f>408/1000</f>
        <v>0.40799999999999997</v>
      </c>
      <c r="J13" s="49">
        <f>408/1000</f>
        <v>0.40799999999999997</v>
      </c>
      <c r="K13" s="49" t="s">
        <v>29</v>
      </c>
      <c r="L13" s="49">
        <f>969/1000</f>
        <v>0.96899999999999997</v>
      </c>
      <c r="M13" s="49">
        <f>969/1000</f>
        <v>0.96899999999999997</v>
      </c>
      <c r="N13" s="49" t="s">
        <v>29</v>
      </c>
      <c r="O13" s="49">
        <f>592/1000</f>
        <v>0.59199999999999997</v>
      </c>
      <c r="P13" s="49">
        <f>592/1000</f>
        <v>0.59199999999999997</v>
      </c>
      <c r="Q13" s="49" t="s">
        <v>29</v>
      </c>
      <c r="R13" s="49">
        <v>0.64</v>
      </c>
      <c r="S13" s="49">
        <v>0.64</v>
      </c>
      <c r="T13" s="49" t="s">
        <v>29</v>
      </c>
      <c r="U13" s="46" t="s">
        <v>30</v>
      </c>
      <c r="V13" s="46"/>
      <c r="X13" s="51"/>
    </row>
    <row r="14" spans="1:24" s="50" customFormat="1" ht="12.75" customHeight="1" x14ac:dyDescent="0.5">
      <c r="A14" s="46"/>
      <c r="B14" s="46" t="s">
        <v>31</v>
      </c>
      <c r="C14" s="46"/>
      <c r="D14" s="46"/>
      <c r="E14" s="46"/>
      <c r="F14" s="47">
        <v>51.15</v>
      </c>
      <c r="G14" s="48">
        <v>20.919</v>
      </c>
      <c r="H14" s="48">
        <v>30.231999999999999</v>
      </c>
      <c r="I14" s="49">
        <f>53258/1000</f>
        <v>53.258000000000003</v>
      </c>
      <c r="J14" s="49">
        <f>19915/1000</f>
        <v>19.914999999999999</v>
      </c>
      <c r="K14" s="49">
        <f>33343/1000</f>
        <v>33.343000000000004</v>
      </c>
      <c r="L14" s="49">
        <f>45080/1000</f>
        <v>45.08</v>
      </c>
      <c r="M14" s="49">
        <f>20780/1000</f>
        <v>20.78</v>
      </c>
      <c r="N14" s="49">
        <f>24300/1000</f>
        <v>24.3</v>
      </c>
      <c r="O14" s="49">
        <f>39933/1000</f>
        <v>39.933</v>
      </c>
      <c r="P14" s="49">
        <f>16067/1000</f>
        <v>16.067</v>
      </c>
      <c r="Q14" s="49">
        <f>23865.69/1000</f>
        <v>23.865689999999997</v>
      </c>
      <c r="R14" s="49">
        <v>52.55</v>
      </c>
      <c r="S14" s="49">
        <v>26.66</v>
      </c>
      <c r="T14" s="49">
        <v>25.89</v>
      </c>
      <c r="U14" s="46" t="s">
        <v>32</v>
      </c>
      <c r="V14" s="46"/>
      <c r="X14" s="51"/>
    </row>
    <row r="15" spans="1:24" s="50" customFormat="1" ht="12.75" customHeight="1" x14ac:dyDescent="0.5">
      <c r="A15" s="46"/>
      <c r="B15" s="46" t="s">
        <v>33</v>
      </c>
      <c r="C15" s="46"/>
      <c r="D15" s="46"/>
      <c r="E15" s="46"/>
      <c r="F15" s="47">
        <v>5.6000000000000001E-2</v>
      </c>
      <c r="G15" s="48">
        <v>5.6000000000000001E-2</v>
      </c>
      <c r="H15" s="48" t="s">
        <v>29</v>
      </c>
      <c r="I15" s="53">
        <f>1041/1000</f>
        <v>1.0409999999999999</v>
      </c>
      <c r="J15" s="49">
        <f>934/1000</f>
        <v>0.93400000000000005</v>
      </c>
      <c r="K15" s="49">
        <f>107/1000</f>
        <v>0.107</v>
      </c>
      <c r="L15" s="49">
        <f>1056/1000</f>
        <v>1.056</v>
      </c>
      <c r="M15" s="49">
        <f>960/1000</f>
        <v>0.96</v>
      </c>
      <c r="N15" s="49">
        <f>96/1000</f>
        <v>9.6000000000000002E-2</v>
      </c>
      <c r="O15" s="49">
        <f>1290.2/1000</f>
        <v>1.2902</v>
      </c>
      <c r="P15" s="49">
        <v>1.29</v>
      </c>
      <c r="Q15" s="49" t="s">
        <v>29</v>
      </c>
      <c r="R15" s="49">
        <v>0.15</v>
      </c>
      <c r="S15" s="49">
        <v>0.05</v>
      </c>
      <c r="T15" s="49">
        <v>0.1</v>
      </c>
      <c r="U15" s="46" t="s">
        <v>34</v>
      </c>
      <c r="V15" s="46"/>
      <c r="X15" s="51"/>
    </row>
    <row r="16" spans="1:24" s="50" customFormat="1" ht="12.75" customHeight="1" x14ac:dyDescent="0.5">
      <c r="A16" s="46"/>
      <c r="B16" s="46" t="s">
        <v>35</v>
      </c>
      <c r="C16" s="46"/>
      <c r="D16" s="46"/>
      <c r="E16" s="46"/>
      <c r="F16" s="47"/>
      <c r="G16" s="48"/>
      <c r="H16" s="48"/>
      <c r="I16" s="53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6" t="s">
        <v>36</v>
      </c>
      <c r="V16" s="46"/>
      <c r="X16" s="51"/>
    </row>
    <row r="17" spans="1:24" s="50" customFormat="1" ht="12.75" customHeight="1" x14ac:dyDescent="0.5">
      <c r="A17" s="46"/>
      <c r="B17" s="46"/>
      <c r="C17" s="46" t="s">
        <v>37</v>
      </c>
      <c r="D17" s="46"/>
      <c r="E17" s="46"/>
      <c r="F17" s="47">
        <v>0.58699999999999997</v>
      </c>
      <c r="G17" s="48">
        <v>0.58699999999999997</v>
      </c>
      <c r="H17" s="48" t="s">
        <v>29</v>
      </c>
      <c r="I17" s="49">
        <f>2895/1000</f>
        <v>2.895</v>
      </c>
      <c r="J17" s="49">
        <f>2297/1000</f>
        <v>2.2970000000000002</v>
      </c>
      <c r="K17" s="49">
        <f>598/1000</f>
        <v>0.59799999999999998</v>
      </c>
      <c r="L17" s="49">
        <f>4690/1000</f>
        <v>4.6900000000000004</v>
      </c>
      <c r="M17" s="49">
        <f>2486/1000</f>
        <v>2.4860000000000002</v>
      </c>
      <c r="N17" s="49">
        <f>2204/1000</f>
        <v>2.2040000000000002</v>
      </c>
      <c r="O17" s="49">
        <f>3585.19/1000</f>
        <v>3.5851899999999999</v>
      </c>
      <c r="P17" s="49">
        <f>1832.91/1000</f>
        <v>1.83291</v>
      </c>
      <c r="Q17" s="49">
        <f>1752.28/1000</f>
        <v>1.7522800000000001</v>
      </c>
      <c r="R17" s="49">
        <v>1.48</v>
      </c>
      <c r="S17" s="49">
        <v>1.48</v>
      </c>
      <c r="T17" s="49" t="s">
        <v>29</v>
      </c>
      <c r="U17" s="46"/>
      <c r="V17" s="46" t="s">
        <v>38</v>
      </c>
      <c r="X17" s="51"/>
    </row>
    <row r="18" spans="1:24" s="50" customFormat="1" ht="12.75" customHeight="1" x14ac:dyDescent="0.5">
      <c r="A18" s="46"/>
      <c r="B18" s="46" t="s">
        <v>39</v>
      </c>
      <c r="C18" s="46"/>
      <c r="D18" s="46"/>
      <c r="E18" s="46"/>
      <c r="F18" s="47">
        <v>52.351999999999997</v>
      </c>
      <c r="G18" s="48">
        <v>44.058</v>
      </c>
      <c r="H18" s="48">
        <v>8.2940000000000005</v>
      </c>
      <c r="I18" s="49">
        <f>61570/1000</f>
        <v>61.57</v>
      </c>
      <c r="J18" s="49">
        <f>51026/1000</f>
        <v>51.026000000000003</v>
      </c>
      <c r="K18" s="49">
        <f>10543/1000</f>
        <v>10.542999999999999</v>
      </c>
      <c r="L18" s="49">
        <f>31421/1000</f>
        <v>31.420999999999999</v>
      </c>
      <c r="M18" s="49">
        <f>28092/1000</f>
        <v>28.091999999999999</v>
      </c>
      <c r="N18" s="49">
        <f>3328/1000</f>
        <v>3.3279999999999998</v>
      </c>
      <c r="O18" s="49">
        <f>29571.9/1000</f>
        <v>29.571900000000003</v>
      </c>
      <c r="P18" s="49">
        <f>25954.17/1000</f>
        <v>25.954169999999998</v>
      </c>
      <c r="Q18" s="49">
        <f>3617.73/1000</f>
        <v>3.6177299999999999</v>
      </c>
      <c r="R18" s="49">
        <v>32.200000000000003</v>
      </c>
      <c r="S18" s="49">
        <v>29.34</v>
      </c>
      <c r="T18" s="49">
        <v>2.86</v>
      </c>
      <c r="U18" s="46" t="s">
        <v>40</v>
      </c>
      <c r="V18" s="46"/>
      <c r="X18" s="51"/>
    </row>
    <row r="19" spans="1:24" s="50" customFormat="1" ht="12.75" customHeight="1" x14ac:dyDescent="0.5">
      <c r="A19" s="46"/>
      <c r="B19" s="46"/>
      <c r="C19" s="46"/>
      <c r="D19" s="46"/>
      <c r="E19" s="46"/>
      <c r="F19" s="47"/>
      <c r="G19" s="48"/>
      <c r="H19" s="48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6" t="s">
        <v>41</v>
      </c>
      <c r="V19" s="46"/>
      <c r="X19" s="51"/>
    </row>
    <row r="20" spans="1:24" s="50" customFormat="1" ht="12.75" customHeight="1" x14ac:dyDescent="0.5">
      <c r="A20" s="46"/>
      <c r="B20" s="46" t="s">
        <v>42</v>
      </c>
      <c r="C20" s="46"/>
      <c r="D20" s="46"/>
      <c r="E20" s="46"/>
      <c r="F20" s="47">
        <v>81.804000000000002</v>
      </c>
      <c r="G20" s="48">
        <v>40.771000000000001</v>
      </c>
      <c r="H20" s="48">
        <v>41.033000000000001</v>
      </c>
      <c r="I20" s="49">
        <f>81705/1000</f>
        <v>81.704999999999998</v>
      </c>
      <c r="J20" s="49">
        <f>42548/1000</f>
        <v>42.548000000000002</v>
      </c>
      <c r="K20" s="49">
        <f>39157/1000</f>
        <v>39.156999999999996</v>
      </c>
      <c r="L20" s="49">
        <f>77077/1000</f>
        <v>77.076999999999998</v>
      </c>
      <c r="M20" s="49">
        <f>40589/1000</f>
        <v>40.588999999999999</v>
      </c>
      <c r="N20" s="49">
        <v>36.5</v>
      </c>
      <c r="O20" s="49">
        <f>74234.74/1000</f>
        <v>74.234740000000002</v>
      </c>
      <c r="P20" s="49">
        <f>37966.96/1000</f>
        <v>37.96696</v>
      </c>
      <c r="Q20" s="49">
        <f>36267.77/1000</f>
        <v>36.267769999999999</v>
      </c>
      <c r="R20" s="49">
        <v>78.02</v>
      </c>
      <c r="S20" s="49">
        <v>39.880000000000003</v>
      </c>
      <c r="T20" s="49">
        <v>38.15</v>
      </c>
      <c r="U20" s="46"/>
      <c r="V20" s="46" t="s">
        <v>43</v>
      </c>
      <c r="X20" s="51"/>
    </row>
    <row r="21" spans="1:24" s="50" customFormat="1" ht="12.75" customHeight="1" x14ac:dyDescent="0.5">
      <c r="A21" s="46"/>
      <c r="B21" s="46" t="s">
        <v>44</v>
      </c>
      <c r="C21" s="46"/>
      <c r="D21" s="46"/>
      <c r="E21" s="46"/>
      <c r="F21" s="47">
        <v>12.699</v>
      </c>
      <c r="G21" s="48">
        <v>10.834</v>
      </c>
      <c r="H21" s="48">
        <v>1.8640000000000001</v>
      </c>
      <c r="I21" s="49">
        <f>4867/1000</f>
        <v>4.867</v>
      </c>
      <c r="J21" s="49">
        <f>3833/1000</f>
        <v>3.8330000000000002</v>
      </c>
      <c r="K21" s="49">
        <f>1033/1000</f>
        <v>1.0329999999999999</v>
      </c>
      <c r="L21" s="49">
        <f>5888/1000</f>
        <v>5.8879999999999999</v>
      </c>
      <c r="M21" s="49">
        <f>5795/1000</f>
        <v>5.7949999999999999</v>
      </c>
      <c r="N21" s="49">
        <f>92/1000</f>
        <v>9.1999999999999998E-2</v>
      </c>
      <c r="O21" s="49">
        <f>8162.16/1000</f>
        <v>8.1621600000000001</v>
      </c>
      <c r="P21" s="49">
        <v>8.16</v>
      </c>
      <c r="Q21" s="49" t="s">
        <v>29</v>
      </c>
      <c r="R21" s="49">
        <v>7.27</v>
      </c>
      <c r="S21" s="49">
        <v>7.27</v>
      </c>
      <c r="T21" s="49" t="s">
        <v>29</v>
      </c>
      <c r="U21" s="46" t="s">
        <v>45</v>
      </c>
      <c r="V21" s="46"/>
      <c r="X21" s="51"/>
    </row>
    <row r="22" spans="1:24" s="50" customFormat="1" ht="12.75" customHeight="1" x14ac:dyDescent="0.5">
      <c r="A22" s="46"/>
      <c r="B22" s="46" t="s">
        <v>46</v>
      </c>
      <c r="C22" s="46"/>
      <c r="D22" s="46"/>
      <c r="E22" s="46"/>
      <c r="F22" s="47">
        <v>32.058</v>
      </c>
      <c r="G22" s="48">
        <v>11.131</v>
      </c>
      <c r="H22" s="48">
        <v>20.925999999999998</v>
      </c>
      <c r="I22" s="49">
        <f>24179/1000</f>
        <v>24.178999999999998</v>
      </c>
      <c r="J22" s="49">
        <f>7240/1000</f>
        <v>7.24</v>
      </c>
      <c r="K22" s="49">
        <f>16940/1000</f>
        <v>16.940000000000001</v>
      </c>
      <c r="L22" s="49">
        <f>24412/1000</f>
        <v>24.411999999999999</v>
      </c>
      <c r="M22" s="49">
        <f>5623/1000</f>
        <v>5.6230000000000002</v>
      </c>
      <c r="N22" s="49">
        <f>18789/1000</f>
        <v>18.789000000000001</v>
      </c>
      <c r="O22" s="49">
        <f>31809.53/1000</f>
        <v>31.809529999999999</v>
      </c>
      <c r="P22" s="49">
        <f>6929.63/1000</f>
        <v>6.9296300000000004</v>
      </c>
      <c r="Q22" s="49">
        <f>24879.9/1000</f>
        <v>24.879900000000003</v>
      </c>
      <c r="R22" s="49">
        <v>31.21</v>
      </c>
      <c r="S22" s="49">
        <v>6.19</v>
      </c>
      <c r="T22" s="49">
        <v>25.03</v>
      </c>
      <c r="U22" s="46" t="s">
        <v>47</v>
      </c>
      <c r="V22" s="46"/>
      <c r="X22" s="51"/>
    </row>
    <row r="23" spans="1:24" s="50" customFormat="1" ht="12.75" customHeight="1" x14ac:dyDescent="0.5">
      <c r="A23" s="46"/>
      <c r="B23" s="46" t="s">
        <v>48</v>
      </c>
      <c r="C23" s="52"/>
      <c r="D23" s="52"/>
      <c r="E23" s="52"/>
      <c r="F23" s="47">
        <v>0.35099999999999998</v>
      </c>
      <c r="G23" s="48">
        <v>0.35099999999999998</v>
      </c>
      <c r="H23" s="48" t="s">
        <v>29</v>
      </c>
      <c r="I23" s="49">
        <f>158/1000</f>
        <v>0.158</v>
      </c>
      <c r="J23" s="49">
        <f>158/1000</f>
        <v>0.158</v>
      </c>
      <c r="K23" s="49" t="s">
        <v>29</v>
      </c>
      <c r="L23" s="49">
        <f>598/1000</f>
        <v>0.59799999999999998</v>
      </c>
      <c r="M23" s="49">
        <f>171/1000</f>
        <v>0.17100000000000001</v>
      </c>
      <c r="N23" s="49">
        <f>427/1000</f>
        <v>0.42699999999999999</v>
      </c>
      <c r="O23" s="49">
        <f>591.11/1000</f>
        <v>0.59111000000000002</v>
      </c>
      <c r="P23" s="49">
        <f>145.02/1000</f>
        <v>0.14502000000000001</v>
      </c>
      <c r="Q23" s="49">
        <f>446.09/1000</f>
        <v>0.44608999999999999</v>
      </c>
      <c r="R23" s="49">
        <v>0.15</v>
      </c>
      <c r="S23" s="49">
        <v>0.15</v>
      </c>
      <c r="T23" s="49" t="s">
        <v>29</v>
      </c>
      <c r="U23" s="52" t="s">
        <v>49</v>
      </c>
      <c r="V23" s="52"/>
      <c r="W23" s="51"/>
      <c r="X23" s="51"/>
    </row>
    <row r="24" spans="1:24" s="50" customFormat="1" ht="12.75" customHeight="1" x14ac:dyDescent="0.5">
      <c r="A24" s="46"/>
      <c r="B24" s="46" t="s">
        <v>50</v>
      </c>
      <c r="C24" s="52"/>
      <c r="D24" s="52"/>
      <c r="E24" s="52"/>
      <c r="F24" s="47">
        <v>3.278</v>
      </c>
      <c r="G24" s="48">
        <v>2.448</v>
      </c>
      <c r="H24" s="48">
        <v>0.83</v>
      </c>
      <c r="I24" s="49">
        <f>2889/1000</f>
        <v>2.8889999999999998</v>
      </c>
      <c r="J24" s="49">
        <f>1555/1000</f>
        <v>1.5549999999999999</v>
      </c>
      <c r="K24" s="49">
        <f>1334/1000</f>
        <v>1.3340000000000001</v>
      </c>
      <c r="L24" s="49">
        <f>3779/1000</f>
        <v>3.7789999999999999</v>
      </c>
      <c r="M24" s="49">
        <f>2087/1000</f>
        <v>2.0870000000000002</v>
      </c>
      <c r="N24" s="49">
        <f>1692/1000</f>
        <v>1.6919999999999999</v>
      </c>
      <c r="O24" s="49">
        <f>1760.31/1000</f>
        <v>1.76031</v>
      </c>
      <c r="P24" s="49">
        <f>1255.32/1000</f>
        <v>1.25532</v>
      </c>
      <c r="Q24" s="49">
        <f>505/1000</f>
        <v>0.505</v>
      </c>
      <c r="R24" s="49">
        <v>2.44</v>
      </c>
      <c r="S24" s="49">
        <v>1.9</v>
      </c>
      <c r="T24" s="49">
        <v>0.54</v>
      </c>
      <c r="U24" s="52" t="s">
        <v>51</v>
      </c>
      <c r="V24" s="52"/>
      <c r="W24" s="51"/>
      <c r="X24" s="51"/>
    </row>
    <row r="25" spans="1:24" s="50" customFormat="1" ht="12.75" customHeight="1" x14ac:dyDescent="0.5">
      <c r="A25" s="46"/>
      <c r="B25" s="52" t="s">
        <v>52</v>
      </c>
      <c r="C25" s="52"/>
      <c r="D25" s="52"/>
      <c r="E25" s="52"/>
      <c r="F25" s="47">
        <v>0.16</v>
      </c>
      <c r="G25" s="48">
        <v>0.114</v>
      </c>
      <c r="H25" s="48">
        <v>5.2999999999999999E-2</v>
      </c>
      <c r="I25" s="49">
        <f>415/1000</f>
        <v>0.41499999999999998</v>
      </c>
      <c r="J25" s="49" t="s">
        <v>29</v>
      </c>
      <c r="K25" s="49">
        <f>415/1000</f>
        <v>0.41499999999999998</v>
      </c>
      <c r="L25" s="49">
        <f>89/1000</f>
        <v>8.8999999999999996E-2</v>
      </c>
      <c r="M25" s="49" t="s">
        <v>29</v>
      </c>
      <c r="N25" s="49">
        <f>89/1000</f>
        <v>8.8999999999999996E-2</v>
      </c>
      <c r="O25" s="49">
        <f>103/1000</f>
        <v>0.10299999999999999</v>
      </c>
      <c r="P25" s="49" t="s">
        <v>29</v>
      </c>
      <c r="Q25" s="49">
        <v>0.1</v>
      </c>
      <c r="R25" s="49" t="s">
        <v>29</v>
      </c>
      <c r="S25" s="49" t="s">
        <v>29</v>
      </c>
      <c r="T25" s="49" t="s">
        <v>29</v>
      </c>
      <c r="U25" s="52" t="s">
        <v>53</v>
      </c>
      <c r="V25" s="52"/>
      <c r="W25" s="51"/>
      <c r="X25" s="51"/>
    </row>
    <row r="26" spans="1:24" s="50" customFormat="1" ht="12.75" customHeight="1" x14ac:dyDescent="0.5">
      <c r="A26" s="46"/>
      <c r="B26" s="46" t="s">
        <v>54</v>
      </c>
      <c r="C26" s="46"/>
      <c r="D26" s="52"/>
      <c r="E26" s="52"/>
      <c r="F26" s="47">
        <v>1.863</v>
      </c>
      <c r="G26" s="48">
        <v>0.52600000000000002</v>
      </c>
      <c r="H26" s="48">
        <v>1.3380000000000001</v>
      </c>
      <c r="I26" s="49">
        <f>1366/1000</f>
        <v>1.3660000000000001</v>
      </c>
      <c r="J26" s="49">
        <f>659/1000</f>
        <v>0.65900000000000003</v>
      </c>
      <c r="K26" s="49">
        <f>706/1000</f>
        <v>0.70599999999999996</v>
      </c>
      <c r="L26" s="49">
        <f>1833/1000</f>
        <v>1.833</v>
      </c>
      <c r="M26" s="49">
        <f>175/1000</f>
        <v>0.17499999999999999</v>
      </c>
      <c r="N26" s="49">
        <f>1657/1000</f>
        <v>1.657</v>
      </c>
      <c r="O26" s="49">
        <f>2266/1000</f>
        <v>2.266</v>
      </c>
      <c r="P26" s="49">
        <f>911.57/1000</f>
        <v>0.9115700000000001</v>
      </c>
      <c r="Q26" s="49">
        <f>1354.42/1000</f>
        <v>1.3544200000000002</v>
      </c>
      <c r="R26" s="49">
        <v>1.04</v>
      </c>
      <c r="S26" s="49">
        <v>0.94</v>
      </c>
      <c r="T26" s="49">
        <v>0.1</v>
      </c>
      <c r="U26" s="46" t="s">
        <v>55</v>
      </c>
      <c r="V26" s="52"/>
      <c r="W26" s="51"/>
      <c r="X26" s="51"/>
    </row>
    <row r="27" spans="1:24" s="50" customFormat="1" ht="12.75" customHeight="1" x14ac:dyDescent="0.5">
      <c r="A27" s="46"/>
      <c r="B27" s="46" t="s">
        <v>56</v>
      </c>
      <c r="C27" s="52"/>
      <c r="D27" s="52"/>
      <c r="E27" s="52"/>
      <c r="F27" s="47">
        <v>0.81699999999999995</v>
      </c>
      <c r="G27" s="48">
        <v>0.72299999999999998</v>
      </c>
      <c r="H27" s="48">
        <v>9.4E-2</v>
      </c>
      <c r="I27" s="49">
        <f>1452/1000</f>
        <v>1.452</v>
      </c>
      <c r="J27" s="49">
        <f>732/1000</f>
        <v>0.73199999999999998</v>
      </c>
      <c r="K27" s="49">
        <f>719/1000</f>
        <v>0.71899999999999997</v>
      </c>
      <c r="L27" s="49">
        <f>5737/1000</f>
        <v>5.7370000000000001</v>
      </c>
      <c r="M27" s="49">
        <f>2798/1000</f>
        <v>2.798</v>
      </c>
      <c r="N27" s="49">
        <f>2940/1000</f>
        <v>2.94</v>
      </c>
      <c r="O27" s="49">
        <f>2304.54/1000</f>
        <v>2.3045399999999998</v>
      </c>
      <c r="P27" s="49">
        <f>1212.05/1000</f>
        <v>1.2120499999999998</v>
      </c>
      <c r="Q27" s="49">
        <f>1092.49/1000</f>
        <v>1.09249</v>
      </c>
      <c r="R27" s="49">
        <v>2.71</v>
      </c>
      <c r="S27" s="49">
        <v>0.76</v>
      </c>
      <c r="T27" s="49">
        <v>1.96</v>
      </c>
      <c r="U27" s="52" t="s">
        <v>57</v>
      </c>
      <c r="V27" s="52"/>
      <c r="W27" s="51"/>
      <c r="X27" s="51"/>
    </row>
    <row r="28" spans="1:24" s="50" customFormat="1" ht="12.75" customHeight="1" x14ac:dyDescent="0.5">
      <c r="A28" s="46"/>
      <c r="B28" s="52" t="s">
        <v>58</v>
      </c>
      <c r="C28" s="52"/>
      <c r="D28" s="52"/>
      <c r="E28" s="52"/>
      <c r="F28" s="47"/>
      <c r="G28" s="48"/>
      <c r="H28" s="48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52" t="s">
        <v>59</v>
      </c>
      <c r="V28" s="52"/>
      <c r="W28" s="51"/>
      <c r="X28" s="51"/>
    </row>
    <row r="29" spans="1:24" s="50" customFormat="1" ht="12.75" customHeight="1" x14ac:dyDescent="0.5">
      <c r="A29" s="46"/>
      <c r="B29" s="46"/>
      <c r="C29" s="52" t="s">
        <v>60</v>
      </c>
      <c r="D29" s="52"/>
      <c r="E29" s="52"/>
      <c r="F29" s="47">
        <v>21.427</v>
      </c>
      <c r="G29" s="48">
        <v>15.47</v>
      </c>
      <c r="H29" s="48">
        <v>5.9569999999999999</v>
      </c>
      <c r="I29" s="49">
        <f>22167/1000</f>
        <v>22.167000000000002</v>
      </c>
      <c r="J29" s="49">
        <f>15333/1000</f>
        <v>15.333</v>
      </c>
      <c r="K29" s="49">
        <f>6834/1000</f>
        <v>6.8339999999999996</v>
      </c>
      <c r="L29" s="49">
        <f>20706/1000</f>
        <v>20.706</v>
      </c>
      <c r="M29" s="49">
        <f>13703/1000</f>
        <v>13.702999999999999</v>
      </c>
      <c r="N29" s="49">
        <f>7003/1000</f>
        <v>7.0030000000000001</v>
      </c>
      <c r="O29" s="49">
        <f>20221.07/1000</f>
        <v>20.221070000000001</v>
      </c>
      <c r="P29" s="49">
        <f>14610.72/1000</f>
        <v>14.610719999999999</v>
      </c>
      <c r="Q29" s="49">
        <f>5610.35/1000</f>
        <v>5.6103500000000004</v>
      </c>
      <c r="R29" s="49">
        <v>22.67</v>
      </c>
      <c r="S29" s="49">
        <v>14.85</v>
      </c>
      <c r="T29" s="49">
        <v>7.83</v>
      </c>
      <c r="U29" s="52"/>
      <c r="V29" s="52" t="s">
        <v>61</v>
      </c>
      <c r="W29" s="51"/>
      <c r="X29" s="51"/>
    </row>
    <row r="30" spans="1:24" s="50" customFormat="1" ht="12.75" customHeight="1" x14ac:dyDescent="0.5">
      <c r="A30" s="46"/>
      <c r="B30" s="52" t="s">
        <v>62</v>
      </c>
      <c r="C30" s="52"/>
      <c r="D30" s="52"/>
      <c r="E30" s="52"/>
      <c r="F30" s="47">
        <v>22.648</v>
      </c>
      <c r="G30" s="48">
        <v>8.9079999999999995</v>
      </c>
      <c r="H30" s="48">
        <v>13.74</v>
      </c>
      <c r="I30" s="49">
        <f>19958/1000</f>
        <v>19.957999999999998</v>
      </c>
      <c r="J30" s="49">
        <f>9878/1000</f>
        <v>9.8780000000000001</v>
      </c>
      <c r="K30" s="49">
        <f>10079/1000</f>
        <v>10.079000000000001</v>
      </c>
      <c r="L30" s="49">
        <f>17956/1000</f>
        <v>17.956</v>
      </c>
      <c r="M30" s="49">
        <f>8717/1000</f>
        <v>8.7170000000000005</v>
      </c>
      <c r="N30" s="49">
        <f>9240/1000</f>
        <v>9.24</v>
      </c>
      <c r="O30" s="49">
        <f>16690.47/1000</f>
        <v>16.690470000000001</v>
      </c>
      <c r="P30" s="49">
        <f>6979.07/1000</f>
        <v>6.9790700000000001</v>
      </c>
      <c r="Q30" s="49">
        <f>9711.4/1000</f>
        <v>9.7113999999999994</v>
      </c>
      <c r="R30" s="49">
        <v>19.13</v>
      </c>
      <c r="S30" s="49">
        <v>6.99</v>
      </c>
      <c r="T30" s="49">
        <v>12.14</v>
      </c>
      <c r="U30" s="52" t="s">
        <v>63</v>
      </c>
      <c r="V30" s="52"/>
      <c r="W30" s="51"/>
      <c r="X30" s="51"/>
    </row>
    <row r="31" spans="1:24" s="50" customFormat="1" ht="12.75" customHeight="1" x14ac:dyDescent="0.5">
      <c r="A31" s="46"/>
      <c r="B31" s="52" t="s">
        <v>64</v>
      </c>
      <c r="C31" s="52"/>
      <c r="D31" s="52"/>
      <c r="E31" s="52"/>
      <c r="F31" s="47">
        <v>7.5279999999999996</v>
      </c>
      <c r="G31" s="48">
        <v>0.71</v>
      </c>
      <c r="H31" s="48">
        <v>6.8179999999999996</v>
      </c>
      <c r="I31" s="49">
        <f>9764/1000</f>
        <v>9.7639999999999993</v>
      </c>
      <c r="J31" s="49">
        <f>521/1000</f>
        <v>0.52100000000000002</v>
      </c>
      <c r="K31" s="49">
        <f>9244/1000</f>
        <v>9.2439999999999998</v>
      </c>
      <c r="L31" s="49">
        <f>8021/1000</f>
        <v>8.0210000000000008</v>
      </c>
      <c r="M31" s="49">
        <f>974/1000</f>
        <v>0.97399999999999998</v>
      </c>
      <c r="N31" s="49">
        <f>7047/1000</f>
        <v>7.0469999999999997</v>
      </c>
      <c r="O31" s="49">
        <f>5508.64/1000</f>
        <v>5.5086400000000006</v>
      </c>
      <c r="P31" s="49">
        <f>976/1000</f>
        <v>0.97599999999999998</v>
      </c>
      <c r="Q31" s="49">
        <f>4532.8/1000</f>
        <v>4.5327999999999999</v>
      </c>
      <c r="R31" s="49">
        <v>6.2</v>
      </c>
      <c r="S31" s="49">
        <v>1.18</v>
      </c>
      <c r="T31" s="49">
        <v>5.0199999999999996</v>
      </c>
      <c r="U31" s="52" t="s">
        <v>65</v>
      </c>
      <c r="V31" s="52"/>
      <c r="W31" s="51"/>
      <c r="X31" s="51"/>
    </row>
    <row r="32" spans="1:24" s="50" customFormat="1" ht="12.75" customHeight="1" x14ac:dyDescent="0.5">
      <c r="A32" s="46"/>
      <c r="B32" s="46" t="s">
        <v>66</v>
      </c>
      <c r="C32" s="52"/>
      <c r="D32" s="52"/>
      <c r="E32" s="52"/>
      <c r="F32" s="47">
        <v>3.4460000000000002</v>
      </c>
      <c r="G32" s="48">
        <v>3.254</v>
      </c>
      <c r="H32" s="48">
        <v>0.191</v>
      </c>
      <c r="I32" s="49">
        <f>3716/1000</f>
        <v>3.7160000000000002</v>
      </c>
      <c r="J32" s="49">
        <f>2590/1000</f>
        <v>2.59</v>
      </c>
      <c r="K32" s="49">
        <f>1171/1000</f>
        <v>1.171</v>
      </c>
      <c r="L32" s="49">
        <f>3491/1000</f>
        <v>3.4910000000000001</v>
      </c>
      <c r="M32" s="49">
        <f>1881/1000</f>
        <v>1.881</v>
      </c>
      <c r="N32" s="49">
        <f>1610/1000</f>
        <v>1.61</v>
      </c>
      <c r="O32" s="49">
        <f>1978.51/1000</f>
        <v>1.97851</v>
      </c>
      <c r="P32" s="49">
        <v>1.98</v>
      </c>
      <c r="Q32" s="49" t="s">
        <v>29</v>
      </c>
      <c r="R32" s="49">
        <v>2.62</v>
      </c>
      <c r="S32" s="49">
        <v>1.63</v>
      </c>
      <c r="T32" s="49">
        <v>0.99</v>
      </c>
      <c r="U32" s="52" t="s">
        <v>67</v>
      </c>
      <c r="V32" s="52"/>
      <c r="W32" s="51"/>
      <c r="X32" s="51"/>
    </row>
    <row r="33" spans="1:24" s="50" customFormat="1" ht="12.75" customHeight="1" x14ac:dyDescent="0.5">
      <c r="A33" s="46"/>
      <c r="B33" s="46" t="s">
        <v>68</v>
      </c>
      <c r="C33" s="52"/>
      <c r="D33" s="52"/>
      <c r="E33" s="52"/>
      <c r="F33" s="47">
        <v>5.7480000000000002</v>
      </c>
      <c r="G33" s="48">
        <v>2.1539999999999999</v>
      </c>
      <c r="H33" s="48">
        <v>3.5939999999999999</v>
      </c>
      <c r="I33" s="49">
        <f>6147/1000</f>
        <v>6.1470000000000002</v>
      </c>
      <c r="J33" s="49">
        <f>1631/1000</f>
        <v>1.631</v>
      </c>
      <c r="K33" s="49">
        <f>4516/1000</f>
        <v>4.516</v>
      </c>
      <c r="L33" s="49">
        <f>7229/1000</f>
        <v>7.2290000000000001</v>
      </c>
      <c r="M33" s="49">
        <f>4091/1000</f>
        <v>4.0910000000000002</v>
      </c>
      <c r="N33" s="49">
        <f>3138/1000</f>
        <v>3.1379999999999999</v>
      </c>
      <c r="O33" s="49">
        <f>5699.33/1000</f>
        <v>5.6993299999999998</v>
      </c>
      <c r="P33" s="49">
        <f>2333.38/1000</f>
        <v>2.33338</v>
      </c>
      <c r="Q33" s="49">
        <f>3365.95/1000</f>
        <v>3.3659499999999998</v>
      </c>
      <c r="R33" s="49">
        <v>8.44</v>
      </c>
      <c r="S33" s="49">
        <v>4.91</v>
      </c>
      <c r="T33" s="49">
        <v>3.53</v>
      </c>
      <c r="U33" s="46" t="s">
        <v>69</v>
      </c>
      <c r="V33" s="46"/>
      <c r="W33" s="51"/>
      <c r="X33" s="51"/>
    </row>
    <row r="34" spans="1:24" s="50" customFormat="1" ht="12.75" customHeight="1" x14ac:dyDescent="0.5">
      <c r="A34" s="46"/>
      <c r="B34" s="46" t="s">
        <v>70</v>
      </c>
      <c r="C34" s="52"/>
      <c r="D34" s="52"/>
      <c r="E34" s="52"/>
      <c r="F34" s="47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52" t="s">
        <v>71</v>
      </c>
      <c r="V34" s="52"/>
      <c r="W34" s="51"/>
      <c r="X34" s="51"/>
    </row>
    <row r="35" spans="1:24" s="50" customFormat="1" ht="12.75" customHeight="1" x14ac:dyDescent="0.5">
      <c r="A35" s="46"/>
      <c r="B35" s="46"/>
      <c r="C35" s="46" t="s">
        <v>72</v>
      </c>
      <c r="D35" s="52"/>
      <c r="E35" s="52"/>
      <c r="F35" s="47">
        <v>2.3090000000000002</v>
      </c>
      <c r="G35" s="48" t="s">
        <v>29</v>
      </c>
      <c r="H35" s="48">
        <v>2.3090000000000002</v>
      </c>
      <c r="I35" s="49">
        <f>4230/1000</f>
        <v>4.2300000000000004</v>
      </c>
      <c r="J35" s="49">
        <f>91/1000</f>
        <v>9.0999999999999998E-2</v>
      </c>
      <c r="K35" s="49">
        <f>4139/1000</f>
        <v>4.1390000000000002</v>
      </c>
      <c r="L35" s="49">
        <f>2551/1000</f>
        <v>2.5510000000000002</v>
      </c>
      <c r="M35" s="49" t="s">
        <v>29</v>
      </c>
      <c r="N35" s="49">
        <f>2551/1000</f>
        <v>2.5510000000000002</v>
      </c>
      <c r="O35" s="49">
        <f>2873.82/1000</f>
        <v>2.8738200000000003</v>
      </c>
      <c r="P35" s="49" t="s">
        <v>29</v>
      </c>
      <c r="Q35" s="49">
        <v>2.87</v>
      </c>
      <c r="R35" s="49">
        <v>2.1</v>
      </c>
      <c r="S35" s="49">
        <v>0.5</v>
      </c>
      <c r="T35" s="49">
        <v>1.6</v>
      </c>
      <c r="U35" s="52"/>
      <c r="V35" s="52" t="s">
        <v>73</v>
      </c>
      <c r="W35" s="51"/>
      <c r="X35" s="51"/>
    </row>
    <row r="36" spans="1:24" s="50" customFormat="1" ht="12.75" customHeight="1" x14ac:dyDescent="0.5">
      <c r="A36" s="46"/>
      <c r="B36" s="52" t="s">
        <v>74</v>
      </c>
      <c r="C36" s="52"/>
      <c r="D36" s="52"/>
      <c r="E36" s="52"/>
      <c r="F36" s="47" t="s">
        <v>29</v>
      </c>
      <c r="G36" s="48" t="s">
        <v>29</v>
      </c>
      <c r="H36" s="48" t="s">
        <v>29</v>
      </c>
      <c r="I36" s="49" t="s">
        <v>29</v>
      </c>
      <c r="J36" s="49" t="s">
        <v>29</v>
      </c>
      <c r="K36" s="49" t="s">
        <v>29</v>
      </c>
      <c r="L36" s="49" t="s">
        <v>29</v>
      </c>
      <c r="M36" s="49" t="s">
        <v>29</v>
      </c>
      <c r="N36" s="49" t="s">
        <v>29</v>
      </c>
      <c r="O36" s="49" t="s">
        <v>29</v>
      </c>
      <c r="P36" s="49" t="s">
        <v>29</v>
      </c>
      <c r="Q36" s="49" t="s">
        <v>29</v>
      </c>
      <c r="R36" s="49" t="s">
        <v>29</v>
      </c>
      <c r="S36" s="49" t="s">
        <v>29</v>
      </c>
      <c r="T36" s="49" t="s">
        <v>29</v>
      </c>
      <c r="U36" s="52" t="s">
        <v>75</v>
      </c>
      <c r="V36" s="52"/>
      <c r="W36" s="51"/>
      <c r="X36" s="51"/>
    </row>
    <row r="37" spans="1:24" s="50" customFormat="1" ht="12.75" customHeight="1" x14ac:dyDescent="0.5">
      <c r="A37" s="52"/>
      <c r="B37" s="52" t="s">
        <v>76</v>
      </c>
      <c r="C37" s="52"/>
      <c r="D37" s="52"/>
      <c r="E37" s="54"/>
      <c r="F37" s="48" t="s">
        <v>29</v>
      </c>
      <c r="G37" s="48" t="s">
        <v>29</v>
      </c>
      <c r="H37" s="48" t="s">
        <v>29</v>
      </c>
      <c r="I37" s="49" t="s">
        <v>29</v>
      </c>
      <c r="J37" s="49" t="s">
        <v>29</v>
      </c>
      <c r="K37" s="49" t="s">
        <v>29</v>
      </c>
      <c r="L37" s="49" t="s">
        <v>29</v>
      </c>
      <c r="M37" s="49" t="s">
        <v>29</v>
      </c>
      <c r="N37" s="49" t="s">
        <v>29</v>
      </c>
      <c r="O37" s="49" t="s">
        <v>29</v>
      </c>
      <c r="P37" s="49" t="s">
        <v>29</v>
      </c>
      <c r="Q37" s="49" t="s">
        <v>29</v>
      </c>
      <c r="R37" s="49" t="s">
        <v>29</v>
      </c>
      <c r="S37" s="49" t="s">
        <v>29</v>
      </c>
      <c r="T37" s="49" t="s">
        <v>29</v>
      </c>
      <c r="U37" s="52" t="s">
        <v>77</v>
      </c>
      <c r="V37" s="52"/>
      <c r="W37" s="51"/>
      <c r="X37" s="51"/>
    </row>
    <row r="38" spans="1:24" s="61" customFormat="1" ht="3" customHeight="1" x14ac:dyDescent="0.35">
      <c r="A38" s="55"/>
      <c r="B38" s="55"/>
      <c r="C38" s="55"/>
      <c r="D38" s="55"/>
      <c r="E38" s="56"/>
      <c r="F38" s="57"/>
      <c r="G38" s="58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5"/>
      <c r="V38" s="55"/>
      <c r="W38" s="55"/>
      <c r="X38" s="60"/>
    </row>
    <row r="39" spans="1:24" s="61" customFormat="1" ht="3" customHeight="1" x14ac:dyDescent="0.35">
      <c r="B39" s="60"/>
      <c r="C39" s="60"/>
      <c r="D39" s="60"/>
      <c r="E39" s="60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0"/>
      <c r="V39" s="60"/>
      <c r="W39" s="60"/>
      <c r="X39" s="60"/>
    </row>
    <row r="40" spans="1:24" s="63" customFormat="1" ht="14.25" customHeight="1" x14ac:dyDescent="0.5">
      <c r="C40" s="64" t="s">
        <v>78</v>
      </c>
      <c r="D40" s="10" t="s">
        <v>79</v>
      </c>
    </row>
    <row r="41" spans="1:24" s="63" customFormat="1" ht="15" customHeight="1" x14ac:dyDescent="0.45">
      <c r="C41" s="64" t="s">
        <v>80</v>
      </c>
      <c r="D41" s="65" t="s">
        <v>81</v>
      </c>
    </row>
    <row r="43" spans="1:24" x14ac:dyDescent="0.5">
      <c r="B43" s="51"/>
    </row>
    <row r="46" spans="1:24" x14ac:dyDescent="0.5">
      <c r="B46" s="50"/>
    </row>
    <row r="49" spans="2:2" x14ac:dyDescent="0.5">
      <c r="B49" s="51"/>
    </row>
    <row r="50" spans="2:2" x14ac:dyDescent="0.5">
      <c r="B50" s="51"/>
    </row>
    <row r="52" spans="2:2" x14ac:dyDescent="0.5">
      <c r="B52" s="50"/>
    </row>
  </sheetData>
  <mergeCells count="16">
    <mergeCell ref="I6:K6"/>
    <mergeCell ref="L6:N6"/>
    <mergeCell ref="O6:Q6"/>
    <mergeCell ref="R6:T6"/>
    <mergeCell ref="B9:E9"/>
    <mergeCell ref="U9:W9"/>
    <mergeCell ref="B4:E8"/>
    <mergeCell ref="F4:Q4"/>
    <mergeCell ref="R4:T4"/>
    <mergeCell ref="U4:W8"/>
    <mergeCell ref="F5:H5"/>
    <mergeCell ref="I5:K5"/>
    <mergeCell ref="L5:N5"/>
    <mergeCell ref="O5:Q5"/>
    <mergeCell ref="R5:T5"/>
    <mergeCell ref="F6:H6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surin</dc:creator>
  <cp:lastModifiedBy>surin</cp:lastModifiedBy>
  <dcterms:created xsi:type="dcterms:W3CDTF">2017-05-30T04:04:30Z</dcterms:created>
  <dcterms:modified xsi:type="dcterms:W3CDTF">2017-05-30T04:04:41Z</dcterms:modified>
</cp:coreProperties>
</file>