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715"/>
  </bookViews>
  <sheets>
    <sheet name="T-19.4 (2)ok" sheetId="29" r:id="rId1"/>
  </sheets>
  <definedNames>
    <definedName name="_xlnm.Print_Area" localSheetId="0">'T-19.4 (2)ok'!$A$1:$U$25</definedName>
  </definedNames>
  <calcPr calcId="144525"/>
</workbook>
</file>

<file path=xl/calcChain.xml><?xml version="1.0" encoding="utf-8"?>
<calcChain xmlns="http://schemas.openxmlformats.org/spreadsheetml/2006/main">
  <c r="R21" i="29" l="1"/>
  <c r="P21" i="29"/>
  <c r="N21" i="29"/>
  <c r="L21" i="29"/>
  <c r="I21" i="29"/>
  <c r="G21" i="29"/>
  <c r="R20" i="29"/>
  <c r="P20" i="29"/>
  <c r="N20" i="29"/>
  <c r="L20" i="29"/>
  <c r="I20" i="29"/>
  <c r="G20" i="29"/>
  <c r="R19" i="29"/>
  <c r="P19" i="29"/>
  <c r="N19" i="29"/>
  <c r="L19" i="29"/>
  <c r="I19" i="29"/>
  <c r="G19" i="29"/>
  <c r="R18" i="29"/>
  <c r="P18" i="29"/>
  <c r="N18" i="29"/>
  <c r="L18" i="29"/>
  <c r="I18" i="29"/>
  <c r="G18" i="29"/>
  <c r="R17" i="29"/>
  <c r="P17" i="29"/>
  <c r="N17" i="29"/>
  <c r="L17" i="29"/>
  <c r="I17" i="29"/>
  <c r="G17" i="29"/>
  <c r="R16" i="29"/>
  <c r="P16" i="29"/>
  <c r="N16" i="29"/>
  <c r="L16" i="29"/>
  <c r="I16" i="29"/>
  <c r="G16" i="29"/>
  <c r="R15" i="29"/>
  <c r="P15" i="29"/>
  <c r="N15" i="29"/>
  <c r="L15" i="29"/>
  <c r="I15" i="29"/>
  <c r="G15" i="29"/>
  <c r="R14" i="29"/>
  <c r="P14" i="29"/>
  <c r="N14" i="29"/>
  <c r="L14" i="29"/>
  <c r="I14" i="29"/>
  <c r="G14" i="29"/>
  <c r="R13" i="29"/>
  <c r="P13" i="29"/>
  <c r="N13" i="29"/>
  <c r="L13" i="29"/>
  <c r="I13" i="29"/>
  <c r="G13" i="29"/>
  <c r="R12" i="29"/>
  <c r="P12" i="29"/>
  <c r="N12" i="29"/>
  <c r="L12" i="29"/>
  <c r="I12" i="29"/>
  <c r="G12" i="29"/>
  <c r="R11" i="29"/>
  <c r="P11" i="29"/>
  <c r="N11" i="29"/>
  <c r="L11" i="29"/>
  <c r="I11" i="29"/>
  <c r="G11" i="29"/>
  <c r="E11" i="29" s="1"/>
  <c r="R10" i="29"/>
  <c r="P10" i="29"/>
  <c r="N10" i="29"/>
  <c r="L10" i="29"/>
  <c r="I10" i="29"/>
  <c r="G10" i="29"/>
  <c r="R9" i="29"/>
  <c r="P9" i="29"/>
  <c r="N9" i="29"/>
  <c r="L9" i="29"/>
  <c r="I9" i="29"/>
  <c r="G9" i="29"/>
  <c r="E13" i="29" l="1"/>
  <c r="I8" i="29"/>
  <c r="R8" i="29"/>
  <c r="E10" i="29"/>
  <c r="E14" i="29"/>
  <c r="E18" i="29"/>
  <c r="P8" i="29"/>
  <c r="E9" i="29"/>
  <c r="E16" i="29"/>
  <c r="E12" i="29"/>
  <c r="E19" i="29"/>
  <c r="E21" i="29"/>
  <c r="L8" i="29"/>
  <c r="N8" i="29"/>
  <c r="E15" i="29"/>
  <c r="E17" i="29"/>
  <c r="E20" i="29"/>
  <c r="G8" i="29"/>
  <c r="E8" i="29" l="1"/>
</calcChain>
</file>

<file path=xl/sharedStrings.xml><?xml version="1.0" encoding="utf-8"?>
<sst xmlns="http://schemas.openxmlformats.org/spreadsheetml/2006/main" count="68" uniqueCount="54">
  <si>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</si>
  <si>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</si>
  <si>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</si>
  <si>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</si>
  <si>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</si>
  <si>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</si>
  <si>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</si>
  <si>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</si>
  <si>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</si>
  <si>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</si>
  <si>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</si>
  <si>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</si>
  <si>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</si>
  <si>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</si>
  <si>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</si>
  <si>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</si>
  <si>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</si>
  <si>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</si>
  <si>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</si>
  <si>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</si>
  <si>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</si>
  <si>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</si>
  <si>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</si>
  <si>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</si>
  <si>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</si>
  <si>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</si>
  <si>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</si>
  <si>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</si>
  <si>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</si>
  <si>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</si>
  <si>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</si>
  <si>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</si>
  <si>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</si>
  <si>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</si>
  <si>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</si>
  <si>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</si>
  <si>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</si>
  <si>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</si>
  <si>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</si>
  <si>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</si>
  <si>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</si>
  <si>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</si>
  <si>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</si>
  <si>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</si>
  <si>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</si>
  <si>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</si>
  <si>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</si>
  <si>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</si>
  <si>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</si>
  <si>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 xml:space="preserve">       ที่มา:  สำนักงานสรรพากรพื้นที่สระบุรี</t>
  </si>
  <si>
    <t xml:space="preserve">  Source:   Saraburi Provincial Revenue Office</t>
  </si>
  <si>
    <t>-</t>
  </si>
  <si>
    <t xml:space="preserve">ประเภทภาษี  Type of taxes </t>
  </si>
  <si>
    <t>(ล้านบาท Millon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</si>
</sst>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8" fontId="5" fillId="0" borderId="3" xfId="0" applyNumberFormat="1" applyFont="1" applyBorder="1" applyAlignment="1">
      <alignment horizontal="center" vertical="center"/>
    </xf>
    <xf numFmtId="188" fontId="4" fillId="0" borderId="3" xfId="0" applyNumberFormat="1" applyFont="1" applyBorder="1" applyAlignment="1">
      <alignment horizontal="center" vertical="center"/>
    </xf>
    <xf numFmtId="188" fontId="4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4" fillId="0" borderId="0" xfId="0" applyFont="1" applyAlignment="1">
      <alignment horizontal="right"/>
    </xf>
    <xf numFmtId="188" fontId="5" fillId="0" borderId="2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188" fontId="5" fillId="0" borderId="8" xfId="0" applyNumberFormat="1" applyFont="1" applyBorder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8" xfId="0" applyNumberFormat="1" applyFont="1" applyBorder="1"/>
    <xf numFmtId="188" fontId="4" fillId="0" borderId="8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5">
    <cellStyle name="Comma" xfId="1" builtinId="3"/>
    <cellStyle name="Normal" xfId="0" builtinId="0"/>
    <cellStyle name="เครื่องหมายจุลภาค 2" xfId="2"/>
    <cellStyle name="เครื่องหมายจุลภาค 2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5"/>
  <sheetViews>
    <sheetView showGridLines="0" tabSelected="1" workbookViewId="0">
      <selection activeCell="X12" sqref="X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" style="6" customWidth="1"/>
    <col min="5" max="5" width="9" style="6" customWidth="1"/>
    <col min="6" max="6" width="3.140625" style="6" customWidth="1"/>
    <col min="7" max="7" width="10.7109375" style="6" customWidth="1"/>
    <col min="8" max="8" width="4.5703125" style="6" customWidth="1"/>
    <col min="9" max="9" width="13" style="6" customWidth="1"/>
    <col min="10" max="10" width="3.5703125" style="6" customWidth="1"/>
    <col min="11" max="11" width="11.140625" style="6" customWidth="1"/>
    <col min="12" max="12" width="10.5703125" style="6" customWidth="1"/>
    <col min="13" max="13" width="3.7109375" style="6" customWidth="1"/>
    <col min="14" max="14" width="10.28515625" style="6" customWidth="1"/>
    <col min="15" max="15" width="4.42578125" style="6" customWidth="1"/>
    <col min="16" max="16" width="9.140625" style="6" customWidth="1"/>
    <col min="17" max="17" width="4.140625" style="6" customWidth="1"/>
    <col min="18" max="18" width="7.5703125" style="6" customWidth="1"/>
    <col min="19" max="19" width="3.140625" style="6" customWidth="1"/>
    <col min="20" max="20" width="1.42578125" style="6" customWidth="1"/>
    <col min="21" max="21" width="16" style="6" customWidth="1"/>
    <col min="22" max="16384" width="9.140625" style="6"/>
  </cols>
  <sheetData>
    <row r="1" spans="1:21" s="1" customFormat="1" x14ac:dyDescent="0.3">
      <c r="B1" s="2" t="s">
        <v>3</v>
      </c>
      <c r="C1" s="3">
        <v>19.399999999999999</v>
      </c>
      <c r="D1" s="2" t="s">
        <v>47</v>
      </c>
    </row>
    <row r="2" spans="1:21" s="4" customFormat="1" x14ac:dyDescent="0.3">
      <c r="B2" s="1" t="s">
        <v>20</v>
      </c>
      <c r="C2" s="3">
        <v>19.399999999999999</v>
      </c>
      <c r="D2" s="5" t="s">
        <v>48</v>
      </c>
    </row>
    <row r="3" spans="1:21" ht="15.75" customHeight="1" x14ac:dyDescent="0.3">
      <c r="U3" s="36" t="s">
        <v>53</v>
      </c>
    </row>
    <row r="4" spans="1:21" s="7" customFormat="1" ht="17.25" customHeight="1" x14ac:dyDescent="0.25">
      <c r="A4" s="14"/>
      <c r="B4" s="14"/>
      <c r="C4" s="14"/>
      <c r="D4" s="17"/>
      <c r="E4" s="47"/>
      <c r="F4" s="58"/>
      <c r="G4" s="56" t="s">
        <v>52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44"/>
      <c r="T4" s="15"/>
      <c r="U4" s="14"/>
    </row>
    <row r="5" spans="1:21" s="7" customFormat="1" ht="25.5" customHeight="1" x14ac:dyDescent="0.25">
      <c r="A5" s="52" t="s">
        <v>18</v>
      </c>
      <c r="B5" s="52"/>
      <c r="C5" s="52"/>
      <c r="D5" s="53"/>
      <c r="E5" s="59" t="s">
        <v>0</v>
      </c>
      <c r="F5" s="53"/>
      <c r="G5" s="47" t="s">
        <v>4</v>
      </c>
      <c r="H5" s="58"/>
      <c r="I5" s="47" t="s">
        <v>16</v>
      </c>
      <c r="J5" s="58"/>
      <c r="K5" s="12" t="s">
        <v>15</v>
      </c>
      <c r="L5" s="47" t="s">
        <v>13</v>
      </c>
      <c r="M5" s="58"/>
      <c r="N5" s="47" t="s">
        <v>12</v>
      </c>
      <c r="O5" s="58"/>
      <c r="P5" s="47" t="s">
        <v>14</v>
      </c>
      <c r="Q5" s="58"/>
      <c r="R5" s="47" t="s">
        <v>11</v>
      </c>
      <c r="S5" s="48"/>
      <c r="T5" s="13"/>
      <c r="U5" s="30" t="s">
        <v>19</v>
      </c>
    </row>
    <row r="6" spans="1:21" s="7" customFormat="1" ht="25.5" customHeight="1" x14ac:dyDescent="0.25">
      <c r="A6" s="24"/>
      <c r="B6" s="24"/>
      <c r="C6" s="24"/>
      <c r="D6" s="18"/>
      <c r="E6" s="49" t="s">
        <v>1</v>
      </c>
      <c r="F6" s="51"/>
      <c r="G6" s="49" t="s">
        <v>5</v>
      </c>
      <c r="H6" s="51"/>
      <c r="I6" s="49" t="s">
        <v>6</v>
      </c>
      <c r="J6" s="51"/>
      <c r="K6" s="19" t="s">
        <v>7</v>
      </c>
      <c r="L6" s="49" t="s">
        <v>9</v>
      </c>
      <c r="M6" s="51"/>
      <c r="N6" s="49" t="s">
        <v>10</v>
      </c>
      <c r="O6" s="51"/>
      <c r="P6" s="49" t="s">
        <v>8</v>
      </c>
      <c r="Q6" s="51"/>
      <c r="R6" s="49" t="s">
        <v>2</v>
      </c>
      <c r="S6" s="50"/>
      <c r="T6" s="29"/>
      <c r="U6" s="9"/>
    </row>
    <row r="7" spans="1:21" s="7" customFormat="1" ht="3.75" customHeight="1" x14ac:dyDescent="0.25">
      <c r="A7" s="25"/>
      <c r="B7" s="25"/>
      <c r="C7" s="25"/>
      <c r="D7" s="21"/>
      <c r="E7" s="28"/>
      <c r="F7" s="31"/>
      <c r="G7" s="28"/>
      <c r="H7" s="31"/>
      <c r="I7" s="28"/>
      <c r="J7" s="31"/>
      <c r="K7" s="12"/>
      <c r="L7" s="28"/>
      <c r="M7" s="31"/>
      <c r="N7" s="28"/>
      <c r="O7" s="31"/>
      <c r="P7" s="28"/>
      <c r="Q7" s="31"/>
      <c r="R7" s="28"/>
      <c r="S7" s="46"/>
      <c r="T7" s="30"/>
      <c r="U7" s="8"/>
    </row>
    <row r="8" spans="1:21" s="7" customFormat="1" ht="27" customHeight="1" x14ac:dyDescent="0.25">
      <c r="A8" s="54" t="s">
        <v>17</v>
      </c>
      <c r="B8" s="54"/>
      <c r="C8" s="54"/>
      <c r="D8" s="55"/>
      <c r="E8" s="39">
        <f>SUM(G8:R8)</f>
        <v>9595.0116509199979</v>
      </c>
      <c r="F8" s="37"/>
      <c r="G8" s="39">
        <f>SUM(G9:G21)</f>
        <v>1570.93644743</v>
      </c>
      <c r="H8" s="37"/>
      <c r="I8" s="39">
        <f>SUM(I9:I21)</f>
        <v>3468.6868844400001</v>
      </c>
      <c r="J8" s="37"/>
      <c r="K8" s="32" t="s">
        <v>51</v>
      </c>
      <c r="L8" s="39">
        <f>SUM(L9:L21)</f>
        <v>4464.2367433299996</v>
      </c>
      <c r="M8" s="37"/>
      <c r="N8" s="39">
        <f t="shared" ref="N8:R8" si="0">SUM(N9:N21)</f>
        <v>50.011572500000007</v>
      </c>
      <c r="O8" s="37"/>
      <c r="P8" s="39">
        <f t="shared" si="0"/>
        <v>37.248063720000012</v>
      </c>
      <c r="Q8" s="37"/>
      <c r="R8" s="39">
        <f t="shared" si="0"/>
        <v>3.8919395000000003</v>
      </c>
      <c r="S8" s="37"/>
      <c r="T8" s="45"/>
      <c r="U8" s="26" t="s">
        <v>1</v>
      </c>
    </row>
    <row r="9" spans="1:21" s="7" customFormat="1" ht="23.25" customHeight="1" x14ac:dyDescent="0.25">
      <c r="A9" s="26"/>
      <c r="B9" s="22" t="s">
        <v>21</v>
      </c>
      <c r="C9" s="26"/>
      <c r="D9" s="27"/>
      <c r="E9" s="40">
        <f>SUM(G9:R9)</f>
        <v>1183.00340074</v>
      </c>
      <c r="F9" s="38"/>
      <c r="G9" s="40">
        <f>191205707.21/1000000</f>
        <v>191.20570721000001</v>
      </c>
      <c r="H9" s="38"/>
      <c r="I9" s="40">
        <f>338770277.31/1000000</f>
        <v>338.77027730999998</v>
      </c>
      <c r="J9" s="38"/>
      <c r="K9" s="33" t="s">
        <v>51</v>
      </c>
      <c r="L9" s="40">
        <f>605741677.46/1000000</f>
        <v>605.74167746000001</v>
      </c>
      <c r="M9" s="38"/>
      <c r="N9" s="40">
        <f>23794551.26/1000000</f>
        <v>23.794551260000002</v>
      </c>
      <c r="O9" s="38"/>
      <c r="P9" s="43">
        <f>22387187/1000000</f>
        <v>22.387187000000001</v>
      </c>
      <c r="Q9" s="34"/>
      <c r="R9" s="40">
        <f>1104000.5/1000000</f>
        <v>1.1040004999999999</v>
      </c>
      <c r="S9" s="38"/>
      <c r="T9" s="41"/>
      <c r="U9" s="22" t="s">
        <v>34</v>
      </c>
    </row>
    <row r="10" spans="1:21" s="7" customFormat="1" ht="23.25" customHeight="1" x14ac:dyDescent="0.25">
      <c r="A10" s="26"/>
      <c r="B10" s="22" t="s">
        <v>22</v>
      </c>
      <c r="C10" s="26"/>
      <c r="D10" s="27"/>
      <c r="E10" s="40">
        <f t="shared" ref="E10:E21" si="1">SUM(G10:R10)</f>
        <v>2856.9809230399997</v>
      </c>
      <c r="F10" s="38"/>
      <c r="G10" s="40">
        <f>352359816.42/1000000</f>
        <v>352.35981642000002</v>
      </c>
      <c r="H10" s="38"/>
      <c r="I10" s="40">
        <f>842024110.42/1000000</f>
        <v>842.02411041999994</v>
      </c>
      <c r="J10" s="38"/>
      <c r="K10" s="33" t="s">
        <v>51</v>
      </c>
      <c r="L10" s="40">
        <f>1653725184.87/1000000</f>
        <v>1653.7251848699998</v>
      </c>
      <c r="M10" s="38"/>
      <c r="N10" s="40">
        <f>4342193.33/1000000</f>
        <v>4.3421933299999997</v>
      </c>
      <c r="O10" s="38"/>
      <c r="P10" s="40">
        <f>3988205/1000000</f>
        <v>3.9882049999999998</v>
      </c>
      <c r="Q10" s="38"/>
      <c r="R10" s="40">
        <f>541413/1000000</f>
        <v>0.54141300000000003</v>
      </c>
      <c r="S10" s="38"/>
      <c r="T10" s="41"/>
      <c r="U10" s="22" t="s">
        <v>35</v>
      </c>
    </row>
    <row r="11" spans="1:21" s="7" customFormat="1" ht="23.25" customHeight="1" x14ac:dyDescent="0.25">
      <c r="A11" s="26"/>
      <c r="B11" s="22" t="s">
        <v>23</v>
      </c>
      <c r="C11" s="26"/>
      <c r="D11" s="27"/>
      <c r="E11" s="40">
        <f t="shared" si="1"/>
        <v>3420.6302011099997</v>
      </c>
      <c r="F11" s="38"/>
      <c r="G11" s="40">
        <f>621740198.22/1000000</f>
        <v>621.74019822000002</v>
      </c>
      <c r="H11" s="38"/>
      <c r="I11" s="40">
        <f>1538724176.78/1000000</f>
        <v>1538.7241767799999</v>
      </c>
      <c r="J11" s="38"/>
      <c r="K11" s="33" t="s">
        <v>51</v>
      </c>
      <c r="L11" s="40">
        <f>1250611019.4/1000000</f>
        <v>1250.6110194</v>
      </c>
      <c r="M11" s="38"/>
      <c r="N11" s="40">
        <f>4817459.56/1000000</f>
        <v>4.8174595599999996</v>
      </c>
      <c r="O11" s="38"/>
      <c r="P11" s="40">
        <f>4112142.15/1000000</f>
        <v>4.1121421499999995</v>
      </c>
      <c r="Q11" s="38"/>
      <c r="R11" s="40">
        <f>625205/1000000</f>
        <v>0.62520500000000001</v>
      </c>
      <c r="S11" s="38"/>
      <c r="T11" s="41"/>
      <c r="U11" s="22" t="s">
        <v>36</v>
      </c>
    </row>
    <row r="12" spans="1:21" s="7" customFormat="1" ht="23.25" customHeight="1" x14ac:dyDescent="0.25">
      <c r="A12" s="26"/>
      <c r="B12" s="22" t="s">
        <v>24</v>
      </c>
      <c r="C12" s="26"/>
      <c r="D12" s="27"/>
      <c r="E12" s="40">
        <f t="shared" si="1"/>
        <v>80.460992450000006</v>
      </c>
      <c r="F12" s="38"/>
      <c r="G12" s="40">
        <f>17213198.54/1000000</f>
        <v>17.21319854</v>
      </c>
      <c r="H12" s="38"/>
      <c r="I12" s="42">
        <f>23732449.65/1000000</f>
        <v>23.73244965</v>
      </c>
      <c r="J12" s="35"/>
      <c r="K12" s="33" t="s">
        <v>51</v>
      </c>
      <c r="L12" s="40">
        <f>37032252.88/1000000</f>
        <v>37.032252880000001</v>
      </c>
      <c r="M12" s="38"/>
      <c r="N12" s="40">
        <f>1594708.88/1000000</f>
        <v>1.59470888</v>
      </c>
      <c r="O12" s="38"/>
      <c r="P12" s="40">
        <f>710082/1000000</f>
        <v>0.71008199999999999</v>
      </c>
      <c r="Q12" s="38"/>
      <c r="R12" s="40">
        <f>178300.5/1000000</f>
        <v>0.1783005</v>
      </c>
      <c r="S12" s="38"/>
      <c r="T12" s="41"/>
      <c r="U12" s="22" t="s">
        <v>37</v>
      </c>
    </row>
    <row r="13" spans="1:21" s="7" customFormat="1" ht="23.25" customHeight="1" x14ac:dyDescent="0.25">
      <c r="A13" s="26"/>
      <c r="B13" s="22" t="s">
        <v>25</v>
      </c>
      <c r="C13" s="26"/>
      <c r="D13" s="27"/>
      <c r="E13" s="40">
        <f t="shared" si="1"/>
        <v>10.37745307</v>
      </c>
      <c r="F13" s="38"/>
      <c r="G13" s="40">
        <f>3041592.03/1000000</f>
        <v>3.0415920299999999</v>
      </c>
      <c r="H13" s="38"/>
      <c r="I13" s="40">
        <f>655064.94/1000000</f>
        <v>0.65506493999999993</v>
      </c>
      <c r="J13" s="38"/>
      <c r="K13" s="33" t="s">
        <v>51</v>
      </c>
      <c r="L13" s="40">
        <f>5200042.03/1000000</f>
        <v>5.2000420300000005</v>
      </c>
      <c r="M13" s="38"/>
      <c r="N13" s="40">
        <f>1236975.77/1000000</f>
        <v>1.2369757699999999</v>
      </c>
      <c r="O13" s="38"/>
      <c r="P13" s="40">
        <f>185178.3/1000000</f>
        <v>0.18517829999999999</v>
      </c>
      <c r="Q13" s="38"/>
      <c r="R13" s="40">
        <f>58600/1000000</f>
        <v>5.8599999999999999E-2</v>
      </c>
      <c r="S13" s="38"/>
      <c r="T13" s="41"/>
      <c r="U13" s="22" t="s">
        <v>38</v>
      </c>
    </row>
    <row r="14" spans="1:21" s="7" customFormat="1" ht="23.25" customHeight="1" x14ac:dyDescent="0.25">
      <c r="A14" s="26"/>
      <c r="B14" s="22" t="s">
        <v>26</v>
      </c>
      <c r="C14" s="26"/>
      <c r="D14" s="27"/>
      <c r="E14" s="40">
        <f t="shared" si="1"/>
        <v>686.80656616999988</v>
      </c>
      <c r="F14" s="38"/>
      <c r="G14" s="40">
        <f>125638169.67/1000000</f>
        <v>125.63816967</v>
      </c>
      <c r="H14" s="38"/>
      <c r="I14" s="40">
        <f>375646385.82/1000000</f>
        <v>375.64638581999998</v>
      </c>
      <c r="J14" s="38"/>
      <c r="K14" s="33" t="s">
        <v>51</v>
      </c>
      <c r="L14" s="40">
        <f>182126876.42/1000000</f>
        <v>182.12687641999997</v>
      </c>
      <c r="M14" s="38"/>
      <c r="N14" s="40">
        <f>2059531.26/1000000</f>
        <v>2.05953126</v>
      </c>
      <c r="O14" s="38"/>
      <c r="P14" s="40">
        <f>1173003/1000000</f>
        <v>1.173003</v>
      </c>
      <c r="Q14" s="38"/>
      <c r="R14" s="40">
        <f>162600/1000000</f>
        <v>0.16259999999999999</v>
      </c>
      <c r="S14" s="38"/>
      <c r="T14" s="41"/>
      <c r="U14" s="16" t="s">
        <v>39</v>
      </c>
    </row>
    <row r="15" spans="1:21" s="7" customFormat="1" ht="23.25" customHeight="1" x14ac:dyDescent="0.25">
      <c r="A15" s="26"/>
      <c r="B15" s="22" t="s">
        <v>27</v>
      </c>
      <c r="C15" s="26"/>
      <c r="D15" s="27"/>
      <c r="E15" s="40">
        <f t="shared" si="1"/>
        <v>60.68953175</v>
      </c>
      <c r="F15" s="38"/>
      <c r="G15" s="40">
        <f>29415338.86/1000000</f>
        <v>29.415338859999999</v>
      </c>
      <c r="H15" s="38"/>
      <c r="I15" s="40">
        <f>22068115.1/1000000</f>
        <v>22.0681151</v>
      </c>
      <c r="J15" s="38"/>
      <c r="K15" s="33" t="s">
        <v>51</v>
      </c>
      <c r="L15" s="40">
        <f>8663924.97/1000000</f>
        <v>8.6639249700000001</v>
      </c>
      <c r="M15" s="38"/>
      <c r="N15" s="40">
        <f>344664.82/1000000</f>
        <v>0.34466481999999998</v>
      </c>
      <c r="O15" s="38"/>
      <c r="P15" s="40">
        <f>173988/1000000</f>
        <v>0.173988</v>
      </c>
      <c r="Q15" s="38"/>
      <c r="R15" s="40">
        <f>23500/1000000</f>
        <v>2.35E-2</v>
      </c>
      <c r="S15" s="38"/>
      <c r="T15" s="41"/>
      <c r="U15" s="16" t="s">
        <v>40</v>
      </c>
    </row>
    <row r="16" spans="1:21" s="7" customFormat="1" ht="23.25" customHeight="1" x14ac:dyDescent="0.25">
      <c r="A16" s="22"/>
      <c r="B16" s="22" t="s">
        <v>28</v>
      </c>
      <c r="C16" s="22"/>
      <c r="D16" s="23"/>
      <c r="E16" s="40">
        <f t="shared" si="1"/>
        <v>5.9848228400000005</v>
      </c>
      <c r="F16" s="38"/>
      <c r="G16" s="40">
        <f>1510922.77/1000000</f>
        <v>1.5109227700000001</v>
      </c>
      <c r="H16" s="38"/>
      <c r="I16" s="40">
        <f>806386.46/1000000</f>
        <v>0.80638645999999992</v>
      </c>
      <c r="J16" s="38"/>
      <c r="K16" s="33" t="s">
        <v>51</v>
      </c>
      <c r="L16" s="40">
        <f>3230804.77/1000000</f>
        <v>3.2308047700000002</v>
      </c>
      <c r="M16" s="38"/>
      <c r="N16" s="40">
        <f>1350/1000000</f>
        <v>1.3500000000000001E-3</v>
      </c>
      <c r="O16" s="38"/>
      <c r="P16" s="40">
        <f>407158.84/1000000</f>
        <v>0.40715884000000002</v>
      </c>
      <c r="Q16" s="38"/>
      <c r="R16" s="40">
        <f>28200/1000000</f>
        <v>2.8199999999999999E-2</v>
      </c>
      <c r="S16" s="38"/>
      <c r="T16" s="41"/>
      <c r="U16" s="16" t="s">
        <v>41</v>
      </c>
    </row>
    <row r="17" spans="1:21" s="7" customFormat="1" ht="23.25" customHeight="1" x14ac:dyDescent="0.25">
      <c r="A17" s="22"/>
      <c r="B17" s="22" t="s">
        <v>29</v>
      </c>
      <c r="C17" s="22"/>
      <c r="D17" s="23"/>
      <c r="E17" s="40">
        <f t="shared" si="1"/>
        <v>628.51015062999988</v>
      </c>
      <c r="F17" s="38"/>
      <c r="G17" s="40">
        <f>78208826.04/1000000</f>
        <v>78.208826040000005</v>
      </c>
      <c r="H17" s="38"/>
      <c r="I17" s="40">
        <f>169454323.17/1000000</f>
        <v>169.45432316999998</v>
      </c>
      <c r="J17" s="38"/>
      <c r="K17" s="33" t="s">
        <v>51</v>
      </c>
      <c r="L17" s="40">
        <f>376225322.28/1000000</f>
        <v>376.22532227999994</v>
      </c>
      <c r="M17" s="38"/>
      <c r="N17" s="40">
        <f>2596513.27/1000000</f>
        <v>2.59651327</v>
      </c>
      <c r="O17" s="38"/>
      <c r="P17" s="40">
        <f>1709251.87/1000000</f>
        <v>1.7092518700000001</v>
      </c>
      <c r="Q17" s="38"/>
      <c r="R17" s="40">
        <f>315914/1000000</f>
        <v>0.31591399999999997</v>
      </c>
      <c r="S17" s="38"/>
      <c r="T17" s="41"/>
      <c r="U17" s="16" t="s">
        <v>42</v>
      </c>
    </row>
    <row r="18" spans="1:21" s="7" customFormat="1" ht="23.25" customHeight="1" x14ac:dyDescent="0.25">
      <c r="A18" s="22"/>
      <c r="B18" s="22" t="s">
        <v>30</v>
      </c>
      <c r="C18" s="22"/>
      <c r="D18" s="23"/>
      <c r="E18" s="40">
        <f t="shared" si="1"/>
        <v>120.14787653</v>
      </c>
      <c r="F18" s="38"/>
      <c r="G18" s="40">
        <f>18351123.53/1000000</f>
        <v>18.351123530000002</v>
      </c>
      <c r="H18" s="38"/>
      <c r="I18" s="40">
        <f>31732824.66/1000000</f>
        <v>31.732824659999999</v>
      </c>
      <c r="J18" s="38"/>
      <c r="K18" s="33" t="s">
        <v>51</v>
      </c>
      <c r="L18" s="40">
        <f>65567197.06/1000000</f>
        <v>65.567197059999998</v>
      </c>
      <c r="M18" s="38"/>
      <c r="N18" s="40">
        <f>3558359.78/1000000</f>
        <v>3.55835978</v>
      </c>
      <c r="O18" s="38"/>
      <c r="P18" s="40">
        <f>656970/1000000</f>
        <v>0.65697000000000005</v>
      </c>
      <c r="Q18" s="38"/>
      <c r="R18" s="40">
        <f>281401.5/1000000</f>
        <v>0.28140150000000003</v>
      </c>
      <c r="S18" s="38"/>
      <c r="T18" s="41"/>
      <c r="U18" s="16" t="s">
        <v>43</v>
      </c>
    </row>
    <row r="19" spans="1:21" s="7" customFormat="1" ht="23.25" customHeight="1" x14ac:dyDescent="0.25">
      <c r="A19" s="22"/>
      <c r="B19" s="22" t="s">
        <v>31</v>
      </c>
      <c r="C19" s="22"/>
      <c r="D19" s="23"/>
      <c r="E19" s="40">
        <f t="shared" si="1"/>
        <v>154.28612184999997</v>
      </c>
      <c r="F19" s="38"/>
      <c r="G19" s="40">
        <f>56204530.49/1000000</f>
        <v>56.204530490000003</v>
      </c>
      <c r="H19" s="38"/>
      <c r="I19" s="40">
        <f>37192404.06/1000000</f>
        <v>37.192404060000001</v>
      </c>
      <c r="J19" s="38"/>
      <c r="K19" s="33" t="s">
        <v>51</v>
      </c>
      <c r="L19" s="40">
        <f>57633340.53/1000000</f>
        <v>57.633340529999998</v>
      </c>
      <c r="M19" s="38"/>
      <c r="N19" s="40">
        <f>2162112.77/1000000</f>
        <v>2.1621127700000002</v>
      </c>
      <c r="O19" s="38"/>
      <c r="P19" s="40">
        <f>794434/1000000</f>
        <v>0.79443399999999997</v>
      </c>
      <c r="Q19" s="38"/>
      <c r="R19" s="40">
        <f>299300/1000000</f>
        <v>0.29930000000000001</v>
      </c>
      <c r="S19" s="38"/>
      <c r="T19" s="41"/>
      <c r="U19" s="16" t="s">
        <v>44</v>
      </c>
    </row>
    <row r="20" spans="1:21" s="7" customFormat="1" ht="23.25" customHeight="1" x14ac:dyDescent="0.25">
      <c r="A20" s="22"/>
      <c r="B20" s="22" t="s">
        <v>32</v>
      </c>
      <c r="C20" s="22"/>
      <c r="D20" s="23"/>
      <c r="E20" s="40">
        <f t="shared" si="1"/>
        <v>87.075287310000007</v>
      </c>
      <c r="F20" s="38"/>
      <c r="G20" s="40">
        <f>34014209.46/1000000</f>
        <v>34.014209460000004</v>
      </c>
      <c r="H20" s="38"/>
      <c r="I20" s="40">
        <f>12202192.56/1000000</f>
        <v>12.20219256</v>
      </c>
      <c r="J20" s="38"/>
      <c r="K20" s="33" t="s">
        <v>51</v>
      </c>
      <c r="L20" s="40">
        <f>39524251.22/1000000</f>
        <v>39.524251219999996</v>
      </c>
      <c r="M20" s="38"/>
      <c r="N20" s="40">
        <f>819728.51/1000000</f>
        <v>0.81972851000000002</v>
      </c>
      <c r="O20" s="38"/>
      <c r="P20" s="40">
        <f>432405.56/1000000</f>
        <v>0.43240556000000002</v>
      </c>
      <c r="Q20" s="38"/>
      <c r="R20" s="40">
        <f>82500/1000000</f>
        <v>8.2500000000000004E-2</v>
      </c>
      <c r="S20" s="38"/>
      <c r="T20" s="41"/>
      <c r="U20" s="16" t="s">
        <v>45</v>
      </c>
    </row>
    <row r="21" spans="1:21" s="7" customFormat="1" ht="23.25" customHeight="1" x14ac:dyDescent="0.25">
      <c r="A21" s="22"/>
      <c r="B21" s="22" t="s">
        <v>33</v>
      </c>
      <c r="C21" s="22"/>
      <c r="D21" s="23"/>
      <c r="E21" s="40">
        <f t="shared" si="1"/>
        <v>300.05832343000003</v>
      </c>
      <c r="F21" s="38"/>
      <c r="G21" s="40">
        <f>42032814.19/1000000</f>
        <v>42.032814189999996</v>
      </c>
      <c r="H21" s="38"/>
      <c r="I21" s="40">
        <f>75678173.51/1000000</f>
        <v>75.678173510000008</v>
      </c>
      <c r="J21" s="38"/>
      <c r="K21" s="33" t="s">
        <v>51</v>
      </c>
      <c r="L21" s="40">
        <f>178954849.44/1000000</f>
        <v>178.95484944</v>
      </c>
      <c r="M21" s="38"/>
      <c r="N21" s="40">
        <f>2683423.29/1000000</f>
        <v>2.6834232899999999</v>
      </c>
      <c r="O21" s="38"/>
      <c r="P21" s="40">
        <f>518058/1000000</f>
        <v>0.51805800000000002</v>
      </c>
      <c r="Q21" s="38"/>
      <c r="R21" s="40">
        <f>191005/1000000</f>
        <v>0.19100500000000001</v>
      </c>
      <c r="S21" s="38"/>
      <c r="T21" s="41"/>
      <c r="U21" s="16" t="s">
        <v>46</v>
      </c>
    </row>
    <row r="22" spans="1:21" s="7" customFormat="1" ht="3" customHeight="1" x14ac:dyDescent="0.25">
      <c r="A22" s="9"/>
      <c r="B22" s="9"/>
      <c r="C22" s="9"/>
      <c r="D22" s="10"/>
      <c r="E22" s="20"/>
      <c r="F22" s="10"/>
      <c r="G22" s="20"/>
      <c r="H22" s="10"/>
      <c r="I22" s="20"/>
      <c r="J22" s="10"/>
      <c r="K22" s="11"/>
      <c r="L22" s="20"/>
      <c r="M22" s="10"/>
      <c r="N22" s="20"/>
      <c r="O22" s="10"/>
      <c r="P22" s="20"/>
      <c r="Q22" s="10"/>
      <c r="R22" s="20"/>
      <c r="S22" s="10"/>
      <c r="T22" s="9"/>
      <c r="U22" s="9"/>
    </row>
    <row r="23" spans="1:21" s="7" customFormat="1" ht="3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s="7" customFormat="1" ht="15.75" x14ac:dyDescent="0.25">
      <c r="B24" s="7" t="s">
        <v>49</v>
      </c>
      <c r="N24" s="8"/>
    </row>
    <row r="25" spans="1:21" s="7" customFormat="1" ht="15.75" x14ac:dyDescent="0.25">
      <c r="B25" s="7" t="s">
        <v>50</v>
      </c>
      <c r="N25" s="8"/>
    </row>
  </sheetData>
  <mergeCells count="18">
    <mergeCell ref="A5:D5"/>
    <mergeCell ref="A8:D8"/>
    <mergeCell ref="E4:F4"/>
    <mergeCell ref="E5:F5"/>
    <mergeCell ref="E6:F6"/>
    <mergeCell ref="P5:Q5"/>
    <mergeCell ref="P6:Q6"/>
    <mergeCell ref="R5:S5"/>
    <mergeCell ref="R6:S6"/>
    <mergeCell ref="G4:R4"/>
    <mergeCell ref="G5:H5"/>
    <mergeCell ref="G6:H6"/>
    <mergeCell ref="I5:J5"/>
    <mergeCell ref="I6:J6"/>
    <mergeCell ref="L5:M5"/>
    <mergeCell ref="L6:M6"/>
    <mergeCell ref="N5:O5"/>
    <mergeCell ref="N6:O6"/>
  </mergeCells>
  <pageMargins left="0.78740157480314965" right="0.59055118110236227" top="1.181102362204724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 (2)ok</vt:lpstr>
      <vt:lpstr>'T-19.4 (2)ok'!Print_Area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2017-08-31T04:21:00Z</cp:lastPrinted>
  <dcterms:created xsi:type="dcterms:W3CDTF">1997-06-13T10:07:54Z</dcterms:created>
  <dcterms:modified xsi:type="dcterms:W3CDTF">2017-09-05T08:47:35Z</dcterms:modified>
</cp:coreProperties>
</file>