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2.4น.22" sheetId="1" r:id="rId1"/>
  </sheets>
  <definedNames>
    <definedName name="_xlnm.Print_Area" localSheetId="0">'T-2.4น.22'!$A$1:$AD$44</definedName>
  </definedNames>
  <calcPr calcId="145621"/>
</workbook>
</file>

<file path=xl/calcChain.xml><?xml version="1.0" encoding="utf-8"?>
<calcChain xmlns="http://schemas.openxmlformats.org/spreadsheetml/2006/main">
  <c r="N37" i="1" l="1"/>
  <c r="L37" i="1"/>
  <c r="Q35" i="1"/>
  <c r="P35" i="1"/>
  <c r="O35" i="1"/>
  <c r="N35" i="1"/>
  <c r="L35" i="1" s="1"/>
  <c r="M35" i="1"/>
  <c r="K35" i="1"/>
  <c r="J35" i="1"/>
  <c r="I35" i="1"/>
  <c r="Q33" i="1"/>
  <c r="P33" i="1"/>
  <c r="O33" i="1" s="1"/>
  <c r="N33" i="1"/>
  <c r="M33" i="1"/>
  <c r="L33" i="1" s="1"/>
  <c r="K33" i="1"/>
  <c r="J33" i="1"/>
  <c r="I33" i="1"/>
  <c r="Q32" i="1"/>
  <c r="P32" i="1"/>
  <c r="O32" i="1" s="1"/>
  <c r="N32" i="1"/>
  <c r="M32" i="1"/>
  <c r="L32" i="1" s="1"/>
  <c r="K32" i="1"/>
  <c r="J32" i="1"/>
  <c r="I32" i="1"/>
  <c r="Q31" i="1"/>
  <c r="O31" i="1" s="1"/>
  <c r="P31" i="1"/>
  <c r="N31" i="1"/>
  <c r="M31" i="1"/>
  <c r="L31" i="1" s="1"/>
  <c r="K31" i="1"/>
  <c r="J31" i="1"/>
  <c r="I31" i="1"/>
  <c r="Q30" i="1"/>
  <c r="P30" i="1"/>
  <c r="O30" i="1" s="1"/>
  <c r="N30" i="1"/>
  <c r="M30" i="1"/>
  <c r="K30" i="1"/>
  <c r="J30" i="1"/>
  <c r="I30" i="1"/>
  <c r="Q29" i="1"/>
  <c r="P29" i="1"/>
  <c r="O29" i="1" s="1"/>
  <c r="N29" i="1"/>
  <c r="M29" i="1"/>
  <c r="L29" i="1"/>
  <c r="K29" i="1"/>
  <c r="J29" i="1"/>
  <c r="I29" i="1"/>
  <c r="Q27" i="1"/>
  <c r="P27" i="1"/>
  <c r="O27" i="1" s="1"/>
  <c r="N27" i="1"/>
  <c r="M27" i="1"/>
  <c r="L27" i="1" s="1"/>
  <c r="K27" i="1"/>
  <c r="J27" i="1"/>
  <c r="I27" i="1"/>
  <c r="Q26" i="1"/>
  <c r="P26" i="1"/>
  <c r="N26" i="1"/>
  <c r="M26" i="1"/>
  <c r="K26" i="1"/>
  <c r="I26" i="1"/>
  <c r="Q25" i="1"/>
  <c r="O25" i="1" s="1"/>
  <c r="P25" i="1"/>
  <c r="N25" i="1"/>
  <c r="M25" i="1"/>
  <c r="L25" i="1" s="1"/>
  <c r="K25" i="1"/>
  <c r="I25" i="1"/>
  <c r="Q24" i="1"/>
  <c r="P24" i="1"/>
  <c r="N24" i="1"/>
  <c r="M24" i="1"/>
  <c r="K24" i="1"/>
  <c r="J24" i="1"/>
  <c r="I24" i="1"/>
  <c r="Q23" i="1"/>
  <c r="P23" i="1"/>
  <c r="O23" i="1"/>
  <c r="K23" i="1"/>
  <c r="J23" i="1"/>
  <c r="I23" i="1"/>
  <c r="Q22" i="1"/>
  <c r="P22" i="1"/>
  <c r="O22" i="1" s="1"/>
  <c r="N22" i="1"/>
  <c r="M22" i="1"/>
  <c r="L22" i="1" s="1"/>
  <c r="K22" i="1"/>
  <c r="J22" i="1"/>
  <c r="I22" i="1"/>
  <c r="P21" i="1"/>
  <c r="N21" i="1"/>
  <c r="M21" i="1"/>
  <c r="L21" i="1" s="1"/>
  <c r="K21" i="1"/>
  <c r="J21" i="1"/>
  <c r="I21" i="1"/>
  <c r="Q20" i="1"/>
  <c r="P20" i="1"/>
  <c r="O20" i="1" s="1"/>
  <c r="N20" i="1"/>
  <c r="M20" i="1"/>
  <c r="L20" i="1" s="1"/>
  <c r="K20" i="1"/>
  <c r="J20" i="1"/>
  <c r="I20" i="1"/>
  <c r="Q18" i="1"/>
  <c r="O18" i="1" s="1"/>
  <c r="P18" i="1"/>
  <c r="N18" i="1"/>
  <c r="M18" i="1"/>
  <c r="L18" i="1" s="1"/>
  <c r="K18" i="1"/>
  <c r="J18" i="1"/>
  <c r="I18" i="1"/>
  <c r="P17" i="1"/>
  <c r="M17" i="1"/>
  <c r="J17" i="1"/>
  <c r="I17" i="1"/>
  <c r="Q15" i="1"/>
  <c r="P15" i="1"/>
  <c r="O15" i="1" s="1"/>
  <c r="K15" i="1"/>
  <c r="I15" i="1"/>
  <c r="Q14" i="1"/>
  <c r="P14" i="1"/>
  <c r="N14" i="1"/>
  <c r="M14" i="1"/>
  <c r="L14" i="1"/>
  <c r="K14" i="1"/>
  <c r="J14" i="1"/>
  <c r="I14" i="1"/>
  <c r="Q13" i="1"/>
  <c r="P13" i="1"/>
  <c r="M13" i="1"/>
  <c r="J13" i="1"/>
  <c r="I13" i="1"/>
  <c r="Q11" i="1"/>
  <c r="P11" i="1"/>
  <c r="O11" i="1"/>
  <c r="N11" i="1"/>
  <c r="L11" i="1" s="1"/>
  <c r="M11" i="1"/>
  <c r="K11" i="1"/>
  <c r="J11" i="1"/>
  <c r="I11" i="1"/>
  <c r="Q9" i="1"/>
  <c r="P9" i="1"/>
  <c r="O9" i="1" s="1"/>
  <c r="N9" i="1"/>
  <c r="M9" i="1"/>
  <c r="L9" i="1" s="1"/>
  <c r="K9" i="1"/>
  <c r="J9" i="1"/>
  <c r="I9" i="1"/>
  <c r="O24" i="1" l="1"/>
  <c r="O26" i="1"/>
  <c r="L30" i="1"/>
  <c r="O13" i="1"/>
  <c r="O14" i="1"/>
  <c r="L24" i="1"/>
  <c r="L26" i="1"/>
</calcChain>
</file>

<file path=xl/sharedStrings.xml><?xml version="1.0" encoding="utf-8"?>
<sst xmlns="http://schemas.openxmlformats.org/spreadsheetml/2006/main" count="185" uniqueCount="86">
  <si>
    <t>ตาราง</t>
  </si>
  <si>
    <t>Table</t>
  </si>
  <si>
    <t xml:space="preserve">                 (หน่วยเป็นพัน   In thousands)</t>
  </si>
  <si>
    <t>อุตสาหกรรม</t>
  </si>
  <si>
    <t>2556 (2013)</t>
  </si>
  <si>
    <t>2557 (2014)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</si>
  <si>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</si>
  <si>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</si>
  <si>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</si>
  <si>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</si>
  <si>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</si>
  <si>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</si>
  <si>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</si>
  <si>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</si>
  <si>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</si>
  <si>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</si>
  <si>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</si>
  <si>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</si>
  <si>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</si>
  <si>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</si>
  <si>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</si>
  <si>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</si>
  <si>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</si>
  <si>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</si>
  <si>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</si>
  <si>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</si>
  <si>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</si>
  <si>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</si>
  <si>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</si>
  <si>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</si>
  <si>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</si>
  <si>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</si>
  <si>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</si>
  <si>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</si>
  <si>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</si>
  <si>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</si>
  <si>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 , sewerage , waste management</t>
  </si>
  <si>
    <t>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</si>
  <si>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</si>
  <si>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</si>
  <si>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</si>
  <si>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</si>
  <si>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</si>
  <si>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>และรถจักรยานยนต์</t>
  </si>
  <si>
    <t>and motorcycles</t>
  </si>
  <si>
    <t>การขนส่ง สถานที่เก็บสินค้า และการคมนาคม</t>
  </si>
  <si>
    <t xml:space="preserve">Transportation and storage </t>
  </si>
  <si>
    <t>กิจกรรมโรงแรม และการบริการด้านอาหาร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</si>
  <si>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</si>
  <si>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</si>
  <si>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</si>
  <si>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</si>
  <si>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</si>
  <si>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</si>
  <si>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</si>
  <si>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</si>
  <si>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</si>
  <si>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</si>
  <si>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</si>
  <si>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</si>
  <si>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</si>
  <si>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และการประกันสังคมภาคบังคับ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</si>
  <si>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</si>
  <si>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</si>
  <si>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</si>
  <si>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</si>
  <si>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</si>
  <si>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</si>
  <si>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</si>
  <si>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</si>
  <si>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</si>
  <si>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กิจกรรมการผลิต</t>
  </si>
  <si>
    <t xml:space="preserve">Activities of households as employers ;undifferentiated goods </t>
  </si>
  <si>
    <t>สินค้าและบริการที่ทำขี้นเองเพื่อใช้ในครัวเรือน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</si>
  <si>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</si>
  <si>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</si>
  <si>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</si>
  <si>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</si>
  <si>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</si>
  <si>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</si>
  <si>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สำรวจภาวะการทำงานของประชากร พ.ศ. 2556 - 2557 ระดับจังหวัด สำนักงานสถิติแห่งชาติ</t>
  </si>
  <si>
    <t>Source:</t>
  </si>
  <si>
    <t xml:space="preserve"> Labour Force Survey: 2013 - 2014,  Provincial level,  National Statistical Office</t>
  </si>
  <si>
    <t>ประชากรอายุ 15 ปีขึ้นไปที่มีงานทำ จำแนกตามอุตสาหกรรม เป็นรายไตรมาส และเพศ พ.ศ. 2556  - 2557  :จังหวัดเพชรบูรณ์</t>
  </si>
  <si>
    <t>Employed Persons Aged 15 Years and Over by Industry, Quarterly and Sex: 2013  - 2014  : Phetchabun Province</t>
  </si>
  <si>
    <t xml:space="preserve">รายงานสถิติจังหวัด พ.ศ.2556 PROVINCIAL STATISTICAL REPORT : 2013 : สำนักงานสถิติจังหวัดเพชรบูรณ์  Phetchabun Provincial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</si>
</sst>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#,##0.0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/>
    <xf numFmtId="0" fontId="5" fillId="0" borderId="6" xfId="0" applyFont="1" applyBorder="1" applyAlignment="1">
      <alignment horizontal="center"/>
    </xf>
    <xf numFmtId="0" fontId="6" fillId="0" borderId="0" xfId="0" applyFont="1" applyBorder="1"/>
    <xf numFmtId="0" fontId="5" fillId="0" borderId="8" xfId="0" applyFont="1" applyBorder="1" applyAlignment="1">
      <alignment horizontal="center" vertical="center"/>
    </xf>
    <xf numFmtId="0" fontId="6" fillId="0" borderId="0" xfId="0" applyFont="1"/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0" xfId="0" applyFont="1" applyBorder="1"/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0" xfId="0" applyFont="1"/>
    <xf numFmtId="187" fontId="7" fillId="0" borderId="8" xfId="0" applyNumberFormat="1" applyFont="1" applyBorder="1"/>
    <xf numFmtId="187" fontId="7" fillId="0" borderId="14" xfId="0" applyNumberFormat="1" applyFont="1" applyBorder="1"/>
    <xf numFmtId="187" fontId="7" fillId="0" borderId="7" xfId="0" applyNumberFormat="1" applyFont="1" applyBorder="1"/>
    <xf numFmtId="0" fontId="7" fillId="0" borderId="8" xfId="0" applyFont="1" applyBorder="1"/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9" fillId="0" borderId="0" xfId="0" applyFont="1" applyAlignment="1">
      <alignment vertical="center"/>
    </xf>
    <xf numFmtId="187" fontId="9" fillId="0" borderId="8" xfId="0" applyNumberFormat="1" applyFont="1" applyBorder="1" applyAlignment="1">
      <alignment vertical="center"/>
    </xf>
    <xf numFmtId="187" fontId="9" fillId="0" borderId="14" xfId="0" applyNumberFormat="1" applyFont="1" applyBorder="1" applyAlignment="1">
      <alignment vertical="center"/>
    </xf>
    <xf numFmtId="187" fontId="9" fillId="0" borderId="7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187" fontId="9" fillId="0" borderId="7" xfId="0" applyNumberFormat="1" applyFont="1" applyBorder="1" applyAlignment="1">
      <alignment horizontal="right" vertical="center"/>
    </xf>
    <xf numFmtId="187" fontId="9" fillId="0" borderId="8" xfId="0" applyNumberFormat="1" applyFont="1" applyBorder="1" applyAlignment="1">
      <alignment horizontal="right" vertical="center"/>
    </xf>
    <xf numFmtId="187" fontId="9" fillId="0" borderId="14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vertical="center"/>
    </xf>
    <xf numFmtId="0" fontId="9" fillId="0" borderId="10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13" xfId="0" applyFont="1" applyBorder="1"/>
    <xf numFmtId="0" fontId="9" fillId="0" borderId="0" xfId="0" applyFont="1" applyBorder="1"/>
    <xf numFmtId="0" fontId="9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152400</xdr:colOff>
      <xdr:row>0</xdr:row>
      <xdr:rowOff>0</xdr:rowOff>
    </xdr:from>
    <xdr:to>
      <xdr:col>30</xdr:col>
      <xdr:colOff>190500</xdr:colOff>
      <xdr:row>44</xdr:row>
      <xdr:rowOff>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10267950" y="0"/>
          <a:ext cx="714375" cy="72771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9" y="733"/>
            <a:ext cx="33" cy="3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22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C55"/>
  <sheetViews>
    <sheetView showGridLines="0" tabSelected="1" topLeftCell="A28" workbookViewId="0">
      <selection activeCell="C43" sqref="C43"/>
    </sheetView>
  </sheetViews>
  <sheetFormatPr defaultRowHeight="21.75" x14ac:dyDescent="0.5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19.140625" style="8" customWidth="1"/>
    <col min="6" max="11" width="4.85546875" style="8" customWidth="1"/>
    <col min="12" max="12" width="4.7109375" style="8" customWidth="1"/>
    <col min="13" max="13" width="4.5703125" style="8" customWidth="1"/>
    <col min="14" max="14" width="4.85546875" style="8" customWidth="1"/>
    <col min="15" max="16" width="4.7109375" style="8" customWidth="1"/>
    <col min="17" max="20" width="4.85546875" style="8" customWidth="1"/>
    <col min="21" max="21" width="4.7109375" style="8" customWidth="1"/>
    <col min="22" max="22" width="4.5703125" style="8" customWidth="1"/>
    <col min="23" max="23" width="5.28515625" style="8" customWidth="1"/>
    <col min="24" max="25" width="0.7109375" style="8" customWidth="1"/>
    <col min="26" max="26" width="9.140625" style="8"/>
    <col min="27" max="27" width="22.7109375" style="8" customWidth="1"/>
    <col min="28" max="28" width="4.140625" style="9" customWidth="1"/>
    <col min="29" max="29" width="1.85546875" style="9" customWidth="1"/>
    <col min="30" max="30" width="4.140625" style="8" customWidth="1"/>
    <col min="31" max="16384" width="9.140625" style="8"/>
  </cols>
  <sheetData>
    <row r="1" spans="1:29" s="1" customFormat="1" ht="20.25" customHeight="1" x14ac:dyDescent="0.5">
      <c r="C1" s="2" t="s">
        <v>0</v>
      </c>
      <c r="D1" s="3">
        <v>2.4</v>
      </c>
      <c r="E1" s="2" t="s">
        <v>83</v>
      </c>
      <c r="AB1" s="4"/>
      <c r="AC1" s="4"/>
    </row>
    <row r="2" spans="1:29" s="5" customFormat="1" ht="16.5" customHeight="1" x14ac:dyDescent="0.5">
      <c r="C2" s="1" t="s">
        <v>1</v>
      </c>
      <c r="D2" s="6">
        <v>2.4</v>
      </c>
      <c r="E2" s="1" t="s">
        <v>84</v>
      </c>
      <c r="AB2" s="7"/>
      <c r="AC2" s="7"/>
    </row>
    <row r="3" spans="1:29" ht="14.25" customHeight="1" x14ac:dyDescent="0.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AA3" s="10" t="s">
        <v>2</v>
      </c>
      <c r="AB3" s="11"/>
    </row>
    <row r="4" spans="1:29" ht="15.75" customHeight="1" x14ac:dyDescent="0.5">
      <c r="A4" s="12"/>
      <c r="B4" s="59" t="s">
        <v>3</v>
      </c>
      <c r="C4" s="59"/>
      <c r="D4" s="59"/>
      <c r="E4" s="60"/>
      <c r="F4" s="67" t="s">
        <v>4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9"/>
      <c r="R4" s="67" t="s">
        <v>5</v>
      </c>
      <c r="S4" s="68"/>
      <c r="T4" s="68"/>
      <c r="U4" s="68"/>
      <c r="V4" s="68"/>
      <c r="W4" s="69"/>
      <c r="X4" s="13"/>
      <c r="Y4" s="59" t="s">
        <v>6</v>
      </c>
      <c r="Z4" s="59"/>
      <c r="AA4" s="59"/>
      <c r="AB4" s="12"/>
    </row>
    <row r="5" spans="1:29" s="16" customFormat="1" ht="15" customHeight="1" x14ac:dyDescent="0.45">
      <c r="A5" s="14"/>
      <c r="B5" s="65"/>
      <c r="C5" s="65"/>
      <c r="D5" s="65"/>
      <c r="E5" s="66"/>
      <c r="F5" s="58" t="s">
        <v>7</v>
      </c>
      <c r="G5" s="59"/>
      <c r="H5" s="60"/>
      <c r="I5" s="58" t="s">
        <v>8</v>
      </c>
      <c r="J5" s="59"/>
      <c r="K5" s="60"/>
      <c r="L5" s="58" t="s">
        <v>9</v>
      </c>
      <c r="M5" s="59"/>
      <c r="N5" s="60"/>
      <c r="O5" s="58" t="s">
        <v>10</v>
      </c>
      <c r="P5" s="59"/>
      <c r="Q5" s="60"/>
      <c r="R5" s="58" t="s">
        <v>7</v>
      </c>
      <c r="S5" s="59"/>
      <c r="T5" s="60"/>
      <c r="U5" s="58" t="s">
        <v>8</v>
      </c>
      <c r="V5" s="59"/>
      <c r="W5" s="60"/>
      <c r="X5" s="15"/>
      <c r="Y5" s="65"/>
      <c r="Z5" s="65"/>
      <c r="AA5" s="65"/>
      <c r="AB5" s="14"/>
      <c r="AC5" s="14"/>
    </row>
    <row r="6" spans="1:29" s="16" customFormat="1" ht="12.75" customHeight="1" x14ac:dyDescent="0.45">
      <c r="A6" s="14"/>
      <c r="B6" s="65"/>
      <c r="C6" s="65"/>
      <c r="D6" s="65"/>
      <c r="E6" s="66"/>
      <c r="F6" s="62" t="s">
        <v>11</v>
      </c>
      <c r="G6" s="63"/>
      <c r="H6" s="64"/>
      <c r="I6" s="62" t="s">
        <v>12</v>
      </c>
      <c r="J6" s="63"/>
      <c r="K6" s="64"/>
      <c r="L6" s="62" t="s">
        <v>13</v>
      </c>
      <c r="M6" s="63"/>
      <c r="N6" s="64"/>
      <c r="O6" s="62" t="s">
        <v>14</v>
      </c>
      <c r="P6" s="63"/>
      <c r="Q6" s="64"/>
      <c r="R6" s="62" t="s">
        <v>11</v>
      </c>
      <c r="S6" s="63"/>
      <c r="T6" s="64"/>
      <c r="U6" s="62" t="s">
        <v>12</v>
      </c>
      <c r="V6" s="63"/>
      <c r="W6" s="64"/>
      <c r="X6" s="15"/>
      <c r="Y6" s="65"/>
      <c r="Z6" s="65"/>
      <c r="AA6" s="65"/>
      <c r="AB6" s="14"/>
      <c r="AC6" s="14"/>
    </row>
    <row r="7" spans="1:29" s="16" customFormat="1" ht="13.5" customHeight="1" x14ac:dyDescent="0.45">
      <c r="A7" s="14"/>
      <c r="B7" s="65"/>
      <c r="C7" s="65"/>
      <c r="D7" s="65"/>
      <c r="E7" s="66"/>
      <c r="F7" s="17" t="s">
        <v>15</v>
      </c>
      <c r="G7" s="18" t="s">
        <v>16</v>
      </c>
      <c r="H7" s="19" t="s">
        <v>17</v>
      </c>
      <c r="I7" s="20" t="s">
        <v>15</v>
      </c>
      <c r="J7" s="18" t="s">
        <v>16</v>
      </c>
      <c r="K7" s="20" t="s">
        <v>17</v>
      </c>
      <c r="L7" s="17" t="s">
        <v>15</v>
      </c>
      <c r="M7" s="18" t="s">
        <v>16</v>
      </c>
      <c r="N7" s="19" t="s">
        <v>17</v>
      </c>
      <c r="O7" s="17" t="s">
        <v>15</v>
      </c>
      <c r="P7" s="18" t="s">
        <v>16</v>
      </c>
      <c r="Q7" s="19" t="s">
        <v>17</v>
      </c>
      <c r="R7" s="17" t="s">
        <v>15</v>
      </c>
      <c r="S7" s="18" t="s">
        <v>16</v>
      </c>
      <c r="T7" s="19" t="s">
        <v>17</v>
      </c>
      <c r="U7" s="20" t="s">
        <v>15</v>
      </c>
      <c r="V7" s="18" t="s">
        <v>16</v>
      </c>
      <c r="W7" s="20" t="s">
        <v>17</v>
      </c>
      <c r="X7" s="17"/>
      <c r="Y7" s="65"/>
      <c r="Z7" s="65"/>
      <c r="AA7" s="65"/>
      <c r="AB7" s="14"/>
      <c r="AC7" s="14"/>
    </row>
    <row r="8" spans="1:29" s="16" customFormat="1" ht="13.5" customHeight="1" x14ac:dyDescent="0.45">
      <c r="A8" s="21"/>
      <c r="B8" s="63"/>
      <c r="C8" s="63"/>
      <c r="D8" s="63"/>
      <c r="E8" s="64"/>
      <c r="F8" s="22" t="s">
        <v>18</v>
      </c>
      <c r="G8" s="23" t="s">
        <v>19</v>
      </c>
      <c r="H8" s="24" t="s">
        <v>20</v>
      </c>
      <c r="I8" s="25" t="s">
        <v>18</v>
      </c>
      <c r="J8" s="23" t="s">
        <v>19</v>
      </c>
      <c r="K8" s="25" t="s">
        <v>20</v>
      </c>
      <c r="L8" s="22" t="s">
        <v>18</v>
      </c>
      <c r="M8" s="23" t="s">
        <v>19</v>
      </c>
      <c r="N8" s="24" t="s">
        <v>20</v>
      </c>
      <c r="O8" s="22" t="s">
        <v>18</v>
      </c>
      <c r="P8" s="23" t="s">
        <v>19</v>
      </c>
      <c r="Q8" s="24" t="s">
        <v>20</v>
      </c>
      <c r="R8" s="22" t="s">
        <v>18</v>
      </c>
      <c r="S8" s="23" t="s">
        <v>19</v>
      </c>
      <c r="T8" s="24" t="s">
        <v>20</v>
      </c>
      <c r="U8" s="25" t="s">
        <v>18</v>
      </c>
      <c r="V8" s="23" t="s">
        <v>19</v>
      </c>
      <c r="W8" s="25" t="s">
        <v>20</v>
      </c>
      <c r="X8" s="22"/>
      <c r="Y8" s="63"/>
      <c r="Z8" s="63"/>
      <c r="AA8" s="63"/>
      <c r="AB8" s="21"/>
      <c r="AC8" s="14"/>
    </row>
    <row r="9" spans="1:29" s="26" customFormat="1" ht="16.5" customHeight="1" x14ac:dyDescent="0.4">
      <c r="B9" s="61" t="s">
        <v>21</v>
      </c>
      <c r="C9" s="61"/>
      <c r="D9" s="61"/>
      <c r="E9" s="61"/>
      <c r="F9" s="27">
        <v>603.9</v>
      </c>
      <c r="G9" s="28">
        <v>339.1</v>
      </c>
      <c r="H9" s="29">
        <v>264.8</v>
      </c>
      <c r="I9" s="29">
        <f>608142/1000</f>
        <v>608.14200000000005</v>
      </c>
      <c r="J9" s="29">
        <f>341114/1000</f>
        <v>341.11399999999998</v>
      </c>
      <c r="K9" s="29">
        <f>267028/1000</f>
        <v>267.02800000000002</v>
      </c>
      <c r="L9" s="29">
        <f>M9+N9</f>
        <v>600.48500000000001</v>
      </c>
      <c r="M9" s="29">
        <f>338185/1000</f>
        <v>338.185</v>
      </c>
      <c r="N9" s="29">
        <f>262300/1000</f>
        <v>262.3</v>
      </c>
      <c r="O9" s="29">
        <f>P9+Q9</f>
        <v>586.87099999999998</v>
      </c>
      <c r="P9" s="29">
        <f>331277/1000</f>
        <v>331.27699999999999</v>
      </c>
      <c r="Q9" s="29">
        <f>255594/1000</f>
        <v>255.59399999999999</v>
      </c>
      <c r="R9" s="29">
        <v>501.37099999999998</v>
      </c>
      <c r="S9" s="29">
        <v>285.47899999999998</v>
      </c>
      <c r="T9" s="29">
        <v>215.89099999999999</v>
      </c>
      <c r="U9" s="29">
        <v>502.39299999999997</v>
      </c>
      <c r="V9" s="29">
        <v>281.64</v>
      </c>
      <c r="W9" s="29">
        <v>220.75299999999999</v>
      </c>
      <c r="X9" s="30"/>
      <c r="Y9" s="61" t="s">
        <v>18</v>
      </c>
      <c r="Z9" s="61"/>
      <c r="AA9" s="61"/>
      <c r="AB9" s="31"/>
      <c r="AC9" s="31"/>
    </row>
    <row r="10" spans="1:29" s="26" customFormat="1" ht="12.75" customHeight="1" x14ac:dyDescent="0.4">
      <c r="A10" s="32" t="s">
        <v>22</v>
      </c>
      <c r="C10" s="32"/>
      <c r="D10" s="32"/>
      <c r="E10" s="33"/>
      <c r="F10" s="27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34" t="s">
        <v>23</v>
      </c>
      <c r="Z10" s="35"/>
      <c r="AA10" s="36"/>
      <c r="AB10" s="31"/>
      <c r="AC10" s="31"/>
    </row>
    <row r="11" spans="1:29" s="42" customFormat="1" ht="12.75" customHeight="1" x14ac:dyDescent="0.5">
      <c r="A11" s="37"/>
      <c r="B11" s="37" t="s">
        <v>24</v>
      </c>
      <c r="C11" s="37"/>
      <c r="D11" s="37"/>
      <c r="E11" s="37"/>
      <c r="F11" s="38">
        <v>333.3</v>
      </c>
      <c r="G11" s="39">
        <v>193.4</v>
      </c>
      <c r="H11" s="40">
        <v>139.9</v>
      </c>
      <c r="I11" s="40">
        <f>341402/1000</f>
        <v>341.40199999999999</v>
      </c>
      <c r="J11" s="40">
        <f>197545/1000</f>
        <v>197.54499999999999</v>
      </c>
      <c r="K11" s="40">
        <f>143857/1000</f>
        <v>143.857</v>
      </c>
      <c r="L11" s="40">
        <f>M11+N11</f>
        <v>334.565</v>
      </c>
      <c r="M11" s="40">
        <f>198672/1000</f>
        <v>198.672</v>
      </c>
      <c r="N11" s="40">
        <f>135893/1000</f>
        <v>135.893</v>
      </c>
      <c r="O11" s="40">
        <f>P11+Q11</f>
        <v>321.68599999999998</v>
      </c>
      <c r="P11" s="40">
        <f>190486/1000</f>
        <v>190.48599999999999</v>
      </c>
      <c r="Q11" s="40">
        <f>131200/1000</f>
        <v>131.19999999999999</v>
      </c>
      <c r="R11" s="40">
        <v>303.95299999999997</v>
      </c>
      <c r="S11" s="40">
        <v>175.77</v>
      </c>
      <c r="T11" s="40">
        <v>128.18299999999999</v>
      </c>
      <c r="U11" s="40">
        <v>309.05500000000001</v>
      </c>
      <c r="V11" s="40">
        <v>173.05199999999999</v>
      </c>
      <c r="W11" s="40">
        <v>136.00299999999999</v>
      </c>
      <c r="X11" s="41"/>
      <c r="Y11" s="37" t="s">
        <v>25</v>
      </c>
      <c r="Z11" s="37"/>
      <c r="AB11" s="43"/>
      <c r="AC11" s="43"/>
    </row>
    <row r="12" spans="1:29" s="42" customFormat="1" ht="12.75" customHeight="1" x14ac:dyDescent="0.35">
      <c r="A12" s="32" t="s">
        <v>26</v>
      </c>
      <c r="B12" s="32"/>
      <c r="C12" s="32"/>
      <c r="D12" s="44"/>
      <c r="E12" s="45"/>
      <c r="F12" s="38"/>
      <c r="G12" s="39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34" t="s">
        <v>27</v>
      </c>
      <c r="Y12" s="37"/>
      <c r="Z12" s="37"/>
      <c r="AB12" s="43"/>
      <c r="AC12" s="43"/>
    </row>
    <row r="13" spans="1:29" s="42" customFormat="1" ht="12.75" customHeight="1" x14ac:dyDescent="0.5">
      <c r="A13" s="37"/>
      <c r="B13" s="37" t="s">
        <v>28</v>
      </c>
      <c r="C13" s="37"/>
      <c r="D13" s="37"/>
      <c r="E13" s="37"/>
      <c r="F13" s="38">
        <v>2.1</v>
      </c>
      <c r="G13" s="39">
        <v>0.8</v>
      </c>
      <c r="H13" s="40">
        <v>1.3</v>
      </c>
      <c r="I13" s="40">
        <f>1517/1000</f>
        <v>1.5169999999999999</v>
      </c>
      <c r="J13" s="40">
        <f>1517/1000</f>
        <v>1.5169999999999999</v>
      </c>
      <c r="K13" s="46" t="s">
        <v>29</v>
      </c>
      <c r="L13" s="40">
        <v>2.2000000000000002</v>
      </c>
      <c r="M13" s="40">
        <f>2213/1000</f>
        <v>2.2130000000000001</v>
      </c>
      <c r="N13" s="46" t="s">
        <v>29</v>
      </c>
      <c r="O13" s="40">
        <f>P13+Q13</f>
        <v>3.99</v>
      </c>
      <c r="P13" s="40">
        <f>2560/1000</f>
        <v>2.56</v>
      </c>
      <c r="Q13" s="40">
        <f>1430/1000</f>
        <v>1.43</v>
      </c>
      <c r="R13" s="40">
        <v>4.3949999999999996</v>
      </c>
      <c r="S13" s="40">
        <v>3.1720000000000002</v>
      </c>
      <c r="T13" s="40">
        <v>1.224</v>
      </c>
      <c r="U13" s="40">
        <v>1.5109999999999999</v>
      </c>
      <c r="V13" s="40">
        <v>1.5109999999999999</v>
      </c>
      <c r="W13" s="46" t="s">
        <v>29</v>
      </c>
      <c r="X13" s="41"/>
      <c r="Y13" s="37" t="s">
        <v>30</v>
      </c>
      <c r="Z13" s="37"/>
      <c r="AB13" s="43"/>
      <c r="AC13" s="43"/>
    </row>
    <row r="14" spans="1:29" s="42" customFormat="1" ht="12.75" customHeight="1" x14ac:dyDescent="0.5">
      <c r="A14" s="37"/>
      <c r="B14" s="37" t="s">
        <v>31</v>
      </c>
      <c r="C14" s="37"/>
      <c r="D14" s="37"/>
      <c r="E14" s="37"/>
      <c r="F14" s="38">
        <v>39.6</v>
      </c>
      <c r="G14" s="39">
        <v>13.8</v>
      </c>
      <c r="H14" s="40">
        <v>25.8</v>
      </c>
      <c r="I14" s="40">
        <f>35201/1000</f>
        <v>35.201000000000001</v>
      </c>
      <c r="J14" s="40">
        <f>17406/1000</f>
        <v>17.405999999999999</v>
      </c>
      <c r="K14" s="40">
        <f>17795/1000</f>
        <v>17.795000000000002</v>
      </c>
      <c r="L14" s="40">
        <f>M14+N14</f>
        <v>48.394999999999996</v>
      </c>
      <c r="M14" s="40">
        <f>26021/1000</f>
        <v>26.021000000000001</v>
      </c>
      <c r="N14" s="40">
        <f>22374/1000</f>
        <v>22.373999999999999</v>
      </c>
      <c r="O14" s="40">
        <f>P14+Q14</f>
        <v>40.614999999999995</v>
      </c>
      <c r="P14" s="40">
        <f>19247/1000</f>
        <v>19.247</v>
      </c>
      <c r="Q14" s="40">
        <f>21368/1000</f>
        <v>21.367999999999999</v>
      </c>
      <c r="R14" s="40">
        <v>17.206</v>
      </c>
      <c r="S14" s="40">
        <v>8.7970000000000006</v>
      </c>
      <c r="T14" s="40">
        <v>8.4090000000000007</v>
      </c>
      <c r="U14" s="40">
        <v>18.972000000000001</v>
      </c>
      <c r="V14" s="40">
        <v>11.153</v>
      </c>
      <c r="W14" s="40">
        <v>7.819</v>
      </c>
      <c r="X14" s="41"/>
      <c r="Y14" s="37" t="s">
        <v>32</v>
      </c>
      <c r="Z14" s="37"/>
      <c r="AB14" s="43"/>
      <c r="AC14" s="43"/>
    </row>
    <row r="15" spans="1:29" s="42" customFormat="1" ht="12.75" customHeight="1" x14ac:dyDescent="0.5">
      <c r="A15" s="37"/>
      <c r="B15" s="37" t="s">
        <v>33</v>
      </c>
      <c r="C15" s="37"/>
      <c r="D15" s="37"/>
      <c r="E15" s="37"/>
      <c r="F15" s="38">
        <v>0.2</v>
      </c>
      <c r="G15" s="39">
        <v>0.1</v>
      </c>
      <c r="H15" s="40">
        <v>0.1</v>
      </c>
      <c r="I15" s="40">
        <f>79/1000</f>
        <v>7.9000000000000001E-2</v>
      </c>
      <c r="J15" s="46" t="s">
        <v>29</v>
      </c>
      <c r="K15" s="40">
        <f>79/1000</f>
        <v>7.9000000000000001E-2</v>
      </c>
      <c r="L15" s="46" t="s">
        <v>29</v>
      </c>
      <c r="M15" s="46" t="s">
        <v>29</v>
      </c>
      <c r="N15" s="46" t="s">
        <v>29</v>
      </c>
      <c r="O15" s="40">
        <f>P15+Q15</f>
        <v>2.968</v>
      </c>
      <c r="P15" s="40">
        <f>2363/1000</f>
        <v>2.363</v>
      </c>
      <c r="Q15" s="40">
        <f>605/1000</f>
        <v>0.60499999999999998</v>
      </c>
      <c r="R15" s="40">
        <v>0.77700000000000002</v>
      </c>
      <c r="S15" s="40">
        <v>0.48799999999999999</v>
      </c>
      <c r="T15" s="40">
        <v>0.28899999999999998</v>
      </c>
      <c r="U15" s="40">
        <v>0.36599999999999999</v>
      </c>
      <c r="V15" s="40">
        <v>0.158</v>
      </c>
      <c r="W15" s="40">
        <v>0.20799999999999999</v>
      </c>
      <c r="X15" s="41"/>
      <c r="Y15" s="37" t="s">
        <v>34</v>
      </c>
      <c r="Z15" s="37"/>
      <c r="AB15" s="43"/>
      <c r="AC15" s="43"/>
    </row>
    <row r="16" spans="1:29" s="42" customFormat="1" ht="12.75" customHeight="1" x14ac:dyDescent="0.5">
      <c r="A16" s="37"/>
      <c r="B16" s="37" t="s">
        <v>35</v>
      </c>
      <c r="C16" s="37"/>
      <c r="D16" s="37"/>
      <c r="E16" s="37"/>
      <c r="F16" s="38"/>
      <c r="G16" s="39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1"/>
      <c r="Y16" s="37" t="s">
        <v>36</v>
      </c>
      <c r="Z16" s="37"/>
      <c r="AB16" s="43"/>
      <c r="AC16" s="43"/>
    </row>
    <row r="17" spans="1:29" s="42" customFormat="1" ht="12.75" customHeight="1" x14ac:dyDescent="0.5">
      <c r="A17" s="37"/>
      <c r="B17" s="37"/>
      <c r="C17" s="37" t="s">
        <v>37</v>
      </c>
      <c r="D17" s="37"/>
      <c r="E17" s="37"/>
      <c r="F17" s="47" t="s">
        <v>29</v>
      </c>
      <c r="G17" s="48" t="s">
        <v>29</v>
      </c>
      <c r="H17" s="46" t="s">
        <v>29</v>
      </c>
      <c r="I17" s="40">
        <f>127/1000</f>
        <v>0.127</v>
      </c>
      <c r="J17" s="40">
        <f>127/1000</f>
        <v>0.127</v>
      </c>
      <c r="K17" s="46" t="s">
        <v>29</v>
      </c>
      <c r="L17" s="40">
        <v>0.7</v>
      </c>
      <c r="M17" s="40">
        <f>657/1000</f>
        <v>0.65700000000000003</v>
      </c>
      <c r="N17" s="46" t="s">
        <v>29</v>
      </c>
      <c r="O17" s="40">
        <v>0.7</v>
      </c>
      <c r="P17" s="40">
        <f>686/1000</f>
        <v>0.68600000000000005</v>
      </c>
      <c r="Q17" s="46" t="s">
        <v>29</v>
      </c>
      <c r="R17" s="46" t="s">
        <v>29</v>
      </c>
      <c r="S17" s="46" t="s">
        <v>29</v>
      </c>
      <c r="T17" s="46" t="s">
        <v>29</v>
      </c>
      <c r="U17" s="40">
        <v>0.153</v>
      </c>
      <c r="V17" s="40">
        <v>0.153</v>
      </c>
      <c r="W17" s="46" t="s">
        <v>29</v>
      </c>
      <c r="X17" s="41"/>
      <c r="Y17" s="37"/>
      <c r="Z17" s="37" t="s">
        <v>38</v>
      </c>
      <c r="AB17" s="43"/>
      <c r="AC17" s="43"/>
    </row>
    <row r="18" spans="1:29" s="42" customFormat="1" ht="12.75" customHeight="1" x14ac:dyDescent="0.5">
      <c r="A18" s="37"/>
      <c r="B18" s="37" t="s">
        <v>39</v>
      </c>
      <c r="C18" s="37"/>
      <c r="D18" s="37"/>
      <c r="E18" s="37"/>
      <c r="F18" s="38">
        <v>42.4</v>
      </c>
      <c r="G18" s="39">
        <v>33.299999999999997</v>
      </c>
      <c r="H18" s="40">
        <v>9.1</v>
      </c>
      <c r="I18" s="40">
        <f>38328/1000</f>
        <v>38.328000000000003</v>
      </c>
      <c r="J18" s="40">
        <f>28323/1000</f>
        <v>28.323</v>
      </c>
      <c r="K18" s="40">
        <f>10005/1000</f>
        <v>10.005000000000001</v>
      </c>
      <c r="L18" s="40">
        <f>M18+N18</f>
        <v>38.441000000000003</v>
      </c>
      <c r="M18" s="40">
        <f>27802/1000</f>
        <v>27.802</v>
      </c>
      <c r="N18" s="40">
        <f>10639/1000</f>
        <v>10.638999999999999</v>
      </c>
      <c r="O18" s="40">
        <f>P18+Q18</f>
        <v>42.368000000000002</v>
      </c>
      <c r="P18" s="40">
        <f>33965/1000</f>
        <v>33.965000000000003</v>
      </c>
      <c r="Q18" s="40">
        <f>8403/1000</f>
        <v>8.4030000000000005</v>
      </c>
      <c r="R18" s="40">
        <v>28.350999999999999</v>
      </c>
      <c r="S18" s="40">
        <v>24.535</v>
      </c>
      <c r="T18" s="40">
        <v>3.8170000000000002</v>
      </c>
      <c r="U18" s="40">
        <v>32.116999999999997</v>
      </c>
      <c r="V18" s="40">
        <v>26.349</v>
      </c>
      <c r="W18" s="40">
        <v>5.7679999999999998</v>
      </c>
      <c r="X18" s="41"/>
      <c r="Y18" s="37" t="s">
        <v>40</v>
      </c>
      <c r="Z18" s="37"/>
      <c r="AB18" s="43"/>
      <c r="AC18" s="43"/>
    </row>
    <row r="19" spans="1:29" s="42" customFormat="1" ht="12.75" customHeight="1" x14ac:dyDescent="0.5">
      <c r="A19" s="37"/>
      <c r="B19" s="37" t="s">
        <v>41</v>
      </c>
      <c r="C19" s="37"/>
      <c r="D19" s="37"/>
      <c r="E19" s="37"/>
      <c r="F19" s="38"/>
      <c r="G19" s="39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1"/>
      <c r="Y19" s="37" t="s">
        <v>42</v>
      </c>
      <c r="Z19" s="37"/>
      <c r="AB19" s="43"/>
      <c r="AC19" s="43"/>
    </row>
    <row r="20" spans="1:29" s="42" customFormat="1" ht="12.75" customHeight="1" x14ac:dyDescent="0.5">
      <c r="A20" s="37"/>
      <c r="B20" s="37"/>
      <c r="C20" s="37" t="s">
        <v>43</v>
      </c>
      <c r="D20" s="37"/>
      <c r="E20" s="37"/>
      <c r="F20" s="38">
        <v>83.9</v>
      </c>
      <c r="G20" s="39">
        <v>49</v>
      </c>
      <c r="H20" s="40">
        <v>34.9</v>
      </c>
      <c r="I20" s="40">
        <f>93265/1000</f>
        <v>93.265000000000001</v>
      </c>
      <c r="J20" s="40">
        <f>50766/1000</f>
        <v>50.765999999999998</v>
      </c>
      <c r="K20" s="40">
        <f>42499/1000</f>
        <v>42.499000000000002</v>
      </c>
      <c r="L20" s="40">
        <f>M20+N20</f>
        <v>82.855999999999995</v>
      </c>
      <c r="M20" s="40">
        <f>40246/1000</f>
        <v>40.246000000000002</v>
      </c>
      <c r="N20" s="40">
        <f>42610/1000</f>
        <v>42.61</v>
      </c>
      <c r="O20" s="40">
        <f>P20+Q20</f>
        <v>87.248000000000005</v>
      </c>
      <c r="P20" s="40">
        <f>40965/1000</f>
        <v>40.965000000000003</v>
      </c>
      <c r="Q20" s="40">
        <f>46283/1000</f>
        <v>46.283000000000001</v>
      </c>
      <c r="R20" s="40">
        <v>74.039000000000001</v>
      </c>
      <c r="S20" s="40">
        <v>37.573</v>
      </c>
      <c r="T20" s="40">
        <v>36.466000000000001</v>
      </c>
      <c r="U20" s="40">
        <v>68.578999999999994</v>
      </c>
      <c r="V20" s="40">
        <v>36.441000000000003</v>
      </c>
      <c r="W20" s="40">
        <v>32.137999999999998</v>
      </c>
      <c r="X20" s="41"/>
      <c r="Y20" s="37"/>
      <c r="Z20" s="37" t="s">
        <v>44</v>
      </c>
      <c r="AB20" s="43"/>
      <c r="AC20" s="43"/>
    </row>
    <row r="21" spans="1:29" s="42" customFormat="1" ht="12.75" customHeight="1" x14ac:dyDescent="0.5">
      <c r="A21" s="37"/>
      <c r="B21" s="37" t="s">
        <v>45</v>
      </c>
      <c r="C21" s="37"/>
      <c r="D21" s="37"/>
      <c r="E21" s="37"/>
      <c r="F21" s="38">
        <v>6.9</v>
      </c>
      <c r="G21" s="39">
        <v>6.1</v>
      </c>
      <c r="H21" s="40">
        <v>0.8</v>
      </c>
      <c r="I21" s="40">
        <f>3263/1000</f>
        <v>3.2629999999999999</v>
      </c>
      <c r="J21" s="40">
        <f>2515/1000</f>
        <v>2.5150000000000001</v>
      </c>
      <c r="K21" s="40">
        <f>748/1000</f>
        <v>0.748</v>
      </c>
      <c r="L21" s="40">
        <f>M21+N21</f>
        <v>2.9159999999999999</v>
      </c>
      <c r="M21" s="40">
        <f>2185/1000</f>
        <v>2.1850000000000001</v>
      </c>
      <c r="N21" s="40">
        <f>731/1000</f>
        <v>0.73099999999999998</v>
      </c>
      <c r="O21" s="40">
        <v>3.5</v>
      </c>
      <c r="P21" s="40">
        <f>3458/1000</f>
        <v>3.4580000000000002</v>
      </c>
      <c r="Q21" s="46" t="s">
        <v>29</v>
      </c>
      <c r="R21" s="46">
        <v>3.1579999999999999</v>
      </c>
      <c r="S21" s="46">
        <v>3.01</v>
      </c>
      <c r="T21" s="46">
        <v>0.14799999999999999</v>
      </c>
      <c r="U21" s="40">
        <v>2.6080000000000001</v>
      </c>
      <c r="V21" s="40">
        <v>1.9279999999999999</v>
      </c>
      <c r="W21" s="40">
        <v>0.68</v>
      </c>
      <c r="X21" s="41"/>
      <c r="Y21" s="37" t="s">
        <v>46</v>
      </c>
      <c r="Z21" s="37"/>
      <c r="AB21" s="43"/>
      <c r="AC21" s="43"/>
    </row>
    <row r="22" spans="1:29" s="42" customFormat="1" ht="12.75" customHeight="1" x14ac:dyDescent="0.5">
      <c r="A22" s="37"/>
      <c r="B22" s="37" t="s">
        <v>47</v>
      </c>
      <c r="C22" s="37"/>
      <c r="D22" s="37"/>
      <c r="E22" s="37"/>
      <c r="F22" s="38">
        <v>22.6</v>
      </c>
      <c r="G22" s="39">
        <v>6</v>
      </c>
      <c r="H22" s="40">
        <v>16.600000000000001</v>
      </c>
      <c r="I22" s="40">
        <f>26237/1000</f>
        <v>26.236999999999998</v>
      </c>
      <c r="J22" s="40">
        <f>6215/1000</f>
        <v>6.2149999999999999</v>
      </c>
      <c r="K22" s="40">
        <f>20022/1000</f>
        <v>20.021999999999998</v>
      </c>
      <c r="L22" s="40">
        <f>M22+N22</f>
        <v>31.271999999999998</v>
      </c>
      <c r="M22" s="40">
        <f>10215/1000</f>
        <v>10.215</v>
      </c>
      <c r="N22" s="40">
        <f>21057/1000</f>
        <v>21.056999999999999</v>
      </c>
      <c r="O22" s="40">
        <f t="shared" ref="O22:O27" si="0">P22+Q22</f>
        <v>24.902000000000001</v>
      </c>
      <c r="P22" s="40">
        <f>8775/1000</f>
        <v>8.7750000000000004</v>
      </c>
      <c r="Q22" s="40">
        <f>16127/1000</f>
        <v>16.126999999999999</v>
      </c>
      <c r="R22" s="40">
        <v>15.848000000000001</v>
      </c>
      <c r="S22" s="40">
        <v>4.3769999999999998</v>
      </c>
      <c r="T22" s="40">
        <v>11.471</v>
      </c>
      <c r="U22" s="40">
        <v>17.501999999999999</v>
      </c>
      <c r="V22" s="40">
        <v>4.8460000000000001</v>
      </c>
      <c r="W22" s="40">
        <v>12.656000000000001</v>
      </c>
      <c r="X22" s="41"/>
      <c r="Y22" s="37" t="s">
        <v>48</v>
      </c>
      <c r="Z22" s="37"/>
      <c r="AB22" s="43"/>
      <c r="AC22" s="43"/>
    </row>
    <row r="23" spans="1:29" s="42" customFormat="1" ht="12.75" customHeight="1" x14ac:dyDescent="0.5">
      <c r="A23" s="37"/>
      <c r="B23" s="37" t="s">
        <v>49</v>
      </c>
      <c r="C23" s="41"/>
      <c r="D23" s="41"/>
      <c r="E23" s="41"/>
      <c r="F23" s="38">
        <v>1</v>
      </c>
      <c r="G23" s="39">
        <v>0.5</v>
      </c>
      <c r="H23" s="40">
        <v>0.6</v>
      </c>
      <c r="I23" s="40">
        <f>461/1000</f>
        <v>0.46100000000000002</v>
      </c>
      <c r="J23" s="40">
        <f>345/1000</f>
        <v>0.34499999999999997</v>
      </c>
      <c r="K23" s="40">
        <f>116/1000</f>
        <v>0.11600000000000001</v>
      </c>
      <c r="L23" s="46" t="s">
        <v>29</v>
      </c>
      <c r="M23" s="46" t="s">
        <v>29</v>
      </c>
      <c r="N23" s="46" t="s">
        <v>29</v>
      </c>
      <c r="O23" s="40">
        <f t="shared" si="0"/>
        <v>0.47</v>
      </c>
      <c r="P23" s="40">
        <f>322/1000</f>
        <v>0.32200000000000001</v>
      </c>
      <c r="Q23" s="40">
        <f>148/1000</f>
        <v>0.14799999999999999</v>
      </c>
      <c r="R23" s="40">
        <v>0.13300000000000001</v>
      </c>
      <c r="S23" s="40">
        <v>0.13300000000000001</v>
      </c>
      <c r="T23" s="46" t="s">
        <v>29</v>
      </c>
      <c r="U23" s="40">
        <v>6.9000000000000006E-2</v>
      </c>
      <c r="V23" s="40">
        <v>6.9000000000000006E-2</v>
      </c>
      <c r="W23" s="46" t="s">
        <v>29</v>
      </c>
      <c r="X23" s="41"/>
      <c r="Y23" s="41" t="s">
        <v>50</v>
      </c>
      <c r="Z23" s="41"/>
      <c r="AA23" s="43"/>
      <c r="AB23" s="43"/>
      <c r="AC23" s="43"/>
    </row>
    <row r="24" spans="1:29" s="42" customFormat="1" ht="12.75" customHeight="1" x14ac:dyDescent="0.5">
      <c r="A24" s="37"/>
      <c r="B24" s="37" t="s">
        <v>51</v>
      </c>
      <c r="C24" s="41"/>
      <c r="D24" s="41"/>
      <c r="E24" s="41"/>
      <c r="F24" s="38">
        <v>4.4000000000000004</v>
      </c>
      <c r="G24" s="39">
        <v>0.9</v>
      </c>
      <c r="H24" s="40">
        <v>3.5</v>
      </c>
      <c r="I24" s="40">
        <f>6048/1000</f>
        <v>6.048</v>
      </c>
      <c r="J24" s="40">
        <f>1149/1000</f>
        <v>1.149</v>
      </c>
      <c r="K24" s="40">
        <f>4899/1000</f>
        <v>4.899</v>
      </c>
      <c r="L24" s="40">
        <f>M24+N24</f>
        <v>2.169</v>
      </c>
      <c r="M24" s="40">
        <f>1383/1000</f>
        <v>1.383</v>
      </c>
      <c r="N24" s="40">
        <f>786/1000</f>
        <v>0.78600000000000003</v>
      </c>
      <c r="O24" s="40">
        <f t="shared" si="0"/>
        <v>2.2789999999999999</v>
      </c>
      <c r="P24" s="40">
        <f>1464/1000</f>
        <v>1.464</v>
      </c>
      <c r="Q24" s="40">
        <f>815/1000</f>
        <v>0.81499999999999995</v>
      </c>
      <c r="R24" s="40">
        <v>3.21</v>
      </c>
      <c r="S24" s="40">
        <v>0.96299999999999997</v>
      </c>
      <c r="T24" s="40">
        <v>2.246</v>
      </c>
      <c r="U24" s="40">
        <v>4.99</v>
      </c>
      <c r="V24" s="40">
        <v>1.675</v>
      </c>
      <c r="W24" s="40">
        <v>3.3149999999999999</v>
      </c>
      <c r="X24" s="41"/>
      <c r="Y24" s="41" t="s">
        <v>52</v>
      </c>
      <c r="Z24" s="41"/>
      <c r="AA24" s="43"/>
      <c r="AB24" s="43"/>
      <c r="AC24" s="43"/>
    </row>
    <row r="25" spans="1:29" s="42" customFormat="1" ht="12.75" customHeight="1" x14ac:dyDescent="0.5">
      <c r="A25" s="37"/>
      <c r="B25" s="41" t="s">
        <v>53</v>
      </c>
      <c r="C25" s="41"/>
      <c r="D25" s="41"/>
      <c r="E25" s="41"/>
      <c r="F25" s="38">
        <v>0.2</v>
      </c>
      <c r="G25" s="48" t="s">
        <v>29</v>
      </c>
      <c r="H25" s="40">
        <v>0.2</v>
      </c>
      <c r="I25" s="40">
        <f>89/1000</f>
        <v>8.8999999999999996E-2</v>
      </c>
      <c r="J25" s="46" t="s">
        <v>29</v>
      </c>
      <c r="K25" s="40">
        <f>89/1000</f>
        <v>8.8999999999999996E-2</v>
      </c>
      <c r="L25" s="40">
        <f>M25+N25</f>
        <v>0.316</v>
      </c>
      <c r="M25" s="40">
        <f>236/1000</f>
        <v>0.23599999999999999</v>
      </c>
      <c r="N25" s="40">
        <f>80/1000</f>
        <v>0.08</v>
      </c>
      <c r="O25" s="40">
        <f t="shared" si="0"/>
        <v>0.71900000000000008</v>
      </c>
      <c r="P25" s="40">
        <f>320/1000</f>
        <v>0.32</v>
      </c>
      <c r="Q25" s="40">
        <f>399/1000</f>
        <v>0.39900000000000002</v>
      </c>
      <c r="R25" s="40">
        <v>0.11</v>
      </c>
      <c r="S25" s="46" t="s">
        <v>29</v>
      </c>
      <c r="T25" s="40">
        <v>0.11</v>
      </c>
      <c r="U25" s="40">
        <v>0.107</v>
      </c>
      <c r="V25" s="46" t="s">
        <v>29</v>
      </c>
      <c r="W25" s="40">
        <v>0.107</v>
      </c>
      <c r="X25" s="41"/>
      <c r="Y25" s="41" t="s">
        <v>54</v>
      </c>
      <c r="Z25" s="41"/>
      <c r="AA25" s="43"/>
      <c r="AB25" s="43"/>
      <c r="AC25" s="43"/>
    </row>
    <row r="26" spans="1:29" s="42" customFormat="1" ht="12.75" customHeight="1" x14ac:dyDescent="0.5">
      <c r="A26" s="37"/>
      <c r="B26" s="37" t="s">
        <v>55</v>
      </c>
      <c r="C26" s="37"/>
      <c r="D26" s="41"/>
      <c r="E26" s="41"/>
      <c r="F26" s="38">
        <v>0.4</v>
      </c>
      <c r="G26" s="48" t="s">
        <v>29</v>
      </c>
      <c r="H26" s="40">
        <v>0.4</v>
      </c>
      <c r="I26" s="40">
        <f>152/1000</f>
        <v>0.152</v>
      </c>
      <c r="J26" s="46" t="s">
        <v>29</v>
      </c>
      <c r="K26" s="40">
        <f>152/1000</f>
        <v>0.152</v>
      </c>
      <c r="L26" s="40">
        <f>M26+N26</f>
        <v>0.24299999999999999</v>
      </c>
      <c r="M26" s="40">
        <f>126/1000</f>
        <v>0.126</v>
      </c>
      <c r="N26" s="40">
        <f>117/1000</f>
        <v>0.11700000000000001</v>
      </c>
      <c r="O26" s="40">
        <f t="shared" si="0"/>
        <v>0.36799999999999999</v>
      </c>
      <c r="P26" s="40">
        <f>126/1000</f>
        <v>0.126</v>
      </c>
      <c r="Q26" s="40">
        <f>242/1000</f>
        <v>0.24199999999999999</v>
      </c>
      <c r="R26" s="40">
        <v>8.7999999999999995E-2</v>
      </c>
      <c r="S26" s="46" t="s">
        <v>29</v>
      </c>
      <c r="T26" s="40">
        <v>8.7999999999999995E-2</v>
      </c>
      <c r="U26" s="40">
        <v>1.369</v>
      </c>
      <c r="V26" s="40">
        <v>1.0980000000000001</v>
      </c>
      <c r="W26" s="40">
        <v>0.27100000000000002</v>
      </c>
      <c r="X26" s="41"/>
      <c r="Y26" s="37" t="s">
        <v>56</v>
      </c>
      <c r="Z26" s="41"/>
      <c r="AA26" s="43"/>
      <c r="AB26" s="43"/>
      <c r="AC26" s="43"/>
    </row>
    <row r="27" spans="1:29" s="42" customFormat="1" ht="12.75" customHeight="1" x14ac:dyDescent="0.5">
      <c r="A27" s="37"/>
      <c r="B27" s="37" t="s">
        <v>57</v>
      </c>
      <c r="C27" s="41"/>
      <c r="D27" s="41"/>
      <c r="E27" s="41"/>
      <c r="F27" s="38">
        <v>1.2</v>
      </c>
      <c r="G27" s="39">
        <v>0.6</v>
      </c>
      <c r="H27" s="40">
        <v>0.6</v>
      </c>
      <c r="I27" s="40">
        <f>580/1000</f>
        <v>0.57999999999999996</v>
      </c>
      <c r="J27" s="40">
        <f>140/1000</f>
        <v>0.14000000000000001</v>
      </c>
      <c r="K27" s="40">
        <f>440/1000</f>
        <v>0.44</v>
      </c>
      <c r="L27" s="40">
        <f>M27+N27</f>
        <v>0.92799999999999994</v>
      </c>
      <c r="M27" s="40">
        <f>624/1000</f>
        <v>0.624</v>
      </c>
      <c r="N27" s="40">
        <f>304/1000</f>
        <v>0.30399999999999999</v>
      </c>
      <c r="O27" s="40">
        <f t="shared" si="0"/>
        <v>0.88900000000000001</v>
      </c>
      <c r="P27" s="40">
        <f>477/1000</f>
        <v>0.47699999999999998</v>
      </c>
      <c r="Q27" s="40">
        <f>412/1000</f>
        <v>0.41199999999999998</v>
      </c>
      <c r="R27" s="40">
        <v>3.819</v>
      </c>
      <c r="S27" s="40">
        <v>2.1989999999999998</v>
      </c>
      <c r="T27" s="40">
        <v>1.62</v>
      </c>
      <c r="U27" s="40">
        <v>0.40799999999999997</v>
      </c>
      <c r="V27" s="40">
        <v>0.105</v>
      </c>
      <c r="W27" s="40">
        <v>0.30199999999999999</v>
      </c>
      <c r="X27" s="41"/>
      <c r="Y27" s="41" t="s">
        <v>58</v>
      </c>
      <c r="Z27" s="41"/>
      <c r="AA27" s="43"/>
      <c r="AB27" s="43"/>
      <c r="AC27" s="43"/>
    </row>
    <row r="28" spans="1:29" s="42" customFormat="1" ht="12.75" customHeight="1" x14ac:dyDescent="0.5">
      <c r="A28" s="37"/>
      <c r="B28" s="41" t="s">
        <v>59</v>
      </c>
      <c r="C28" s="41"/>
      <c r="D28" s="41"/>
      <c r="E28" s="41"/>
      <c r="F28" s="38"/>
      <c r="G28" s="39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1"/>
      <c r="Y28" s="41" t="s">
        <v>60</v>
      </c>
      <c r="Z28" s="41"/>
      <c r="AA28" s="43"/>
      <c r="AB28" s="43"/>
      <c r="AC28" s="43"/>
    </row>
    <row r="29" spans="1:29" s="42" customFormat="1" ht="12.75" customHeight="1" x14ac:dyDescent="0.5">
      <c r="A29" s="37"/>
      <c r="B29" s="37"/>
      <c r="C29" s="41" t="s">
        <v>61</v>
      </c>
      <c r="D29" s="41"/>
      <c r="E29" s="41"/>
      <c r="F29" s="38">
        <v>25.7</v>
      </c>
      <c r="G29" s="39">
        <v>16.5</v>
      </c>
      <c r="H29" s="40">
        <v>9.1</v>
      </c>
      <c r="I29" s="40">
        <f>19555/1000</f>
        <v>19.555</v>
      </c>
      <c r="J29" s="40">
        <f>15774/1000</f>
        <v>15.773999999999999</v>
      </c>
      <c r="K29" s="40">
        <f>3780/1000</f>
        <v>3.78</v>
      </c>
      <c r="L29" s="40">
        <f>M29+N29</f>
        <v>17.512999999999998</v>
      </c>
      <c r="M29" s="40">
        <f>13465/1000</f>
        <v>13.465</v>
      </c>
      <c r="N29" s="40">
        <f>4048/1000</f>
        <v>4.048</v>
      </c>
      <c r="O29" s="40">
        <f>P29+Q29</f>
        <v>17.782</v>
      </c>
      <c r="P29" s="40">
        <f>11864/1000</f>
        <v>11.864000000000001</v>
      </c>
      <c r="Q29" s="40">
        <f>5918/1000</f>
        <v>5.9180000000000001</v>
      </c>
      <c r="R29" s="40">
        <v>18.786000000000001</v>
      </c>
      <c r="S29" s="40">
        <v>13.842000000000001</v>
      </c>
      <c r="T29" s="40">
        <v>4.944</v>
      </c>
      <c r="U29" s="40">
        <v>20.734000000000002</v>
      </c>
      <c r="V29" s="40">
        <v>14.879</v>
      </c>
      <c r="W29" s="40">
        <v>5.859</v>
      </c>
      <c r="X29" s="41"/>
      <c r="Y29" s="41"/>
      <c r="Z29" s="41" t="s">
        <v>62</v>
      </c>
      <c r="AA29" s="43"/>
      <c r="AB29" s="43"/>
      <c r="AC29" s="43"/>
    </row>
    <row r="30" spans="1:29" s="42" customFormat="1" ht="12.75" customHeight="1" x14ac:dyDescent="0.5">
      <c r="A30" s="37"/>
      <c r="B30" s="41" t="s">
        <v>63</v>
      </c>
      <c r="C30" s="41"/>
      <c r="D30" s="41"/>
      <c r="E30" s="41"/>
      <c r="F30" s="38">
        <v>25.3</v>
      </c>
      <c r="G30" s="39">
        <v>13.8</v>
      </c>
      <c r="H30" s="40">
        <v>11.5</v>
      </c>
      <c r="I30" s="40">
        <f>23334/1000</f>
        <v>23.334</v>
      </c>
      <c r="J30" s="40">
        <f>11208/1000</f>
        <v>11.208</v>
      </c>
      <c r="K30" s="40">
        <f>12125/1000</f>
        <v>12.125</v>
      </c>
      <c r="L30" s="40">
        <f>M30+N30</f>
        <v>18.765999999999998</v>
      </c>
      <c r="M30" s="40">
        <f>6122/1000</f>
        <v>6.1219999999999999</v>
      </c>
      <c r="N30" s="40">
        <f>12644/1000</f>
        <v>12.644</v>
      </c>
      <c r="O30" s="40">
        <f>P30+Q30</f>
        <v>20.890999999999998</v>
      </c>
      <c r="P30" s="40">
        <f>9767/1000</f>
        <v>9.7669999999999995</v>
      </c>
      <c r="Q30" s="40">
        <f>11124/1000</f>
        <v>11.124000000000001</v>
      </c>
      <c r="R30" s="40">
        <v>12.116</v>
      </c>
      <c r="S30" s="40">
        <v>5.5190000000000001</v>
      </c>
      <c r="T30" s="40">
        <v>6.5970000000000004</v>
      </c>
      <c r="U30" s="40">
        <v>9.9930000000000003</v>
      </c>
      <c r="V30" s="40">
        <v>2.286</v>
      </c>
      <c r="W30" s="40">
        <v>7.7069999999999999</v>
      </c>
      <c r="X30" s="41"/>
      <c r="Y30" s="41" t="s">
        <v>64</v>
      </c>
      <c r="Z30" s="41"/>
      <c r="AA30" s="43"/>
      <c r="AB30" s="43"/>
      <c r="AC30" s="43"/>
    </row>
    <row r="31" spans="1:29" s="42" customFormat="1" ht="12.75" customHeight="1" x14ac:dyDescent="0.5">
      <c r="A31" s="37"/>
      <c r="B31" s="41" t="s">
        <v>65</v>
      </c>
      <c r="C31" s="41"/>
      <c r="D31" s="41"/>
      <c r="E31" s="41"/>
      <c r="F31" s="38">
        <v>2.8</v>
      </c>
      <c r="G31" s="39">
        <v>0.6</v>
      </c>
      <c r="H31" s="40">
        <v>2.2000000000000002</v>
      </c>
      <c r="I31" s="40">
        <f>6577/1000</f>
        <v>6.577</v>
      </c>
      <c r="J31" s="40">
        <f>2205/1000</f>
        <v>2.2050000000000001</v>
      </c>
      <c r="K31" s="40">
        <f>4372/1000</f>
        <v>4.3719999999999999</v>
      </c>
      <c r="L31" s="40">
        <f>M31+N31</f>
        <v>6.9640000000000004</v>
      </c>
      <c r="M31" s="40">
        <f>2282/1000</f>
        <v>2.282</v>
      </c>
      <c r="N31" s="40">
        <f>4682/1000</f>
        <v>4.6820000000000004</v>
      </c>
      <c r="O31" s="40">
        <f>P31+Q31</f>
        <v>2.9369999999999998</v>
      </c>
      <c r="P31" s="40">
        <f>614/1000</f>
        <v>0.61399999999999999</v>
      </c>
      <c r="Q31" s="40">
        <f>2323/1000</f>
        <v>2.323</v>
      </c>
      <c r="R31" s="40">
        <v>3.5230000000000001</v>
      </c>
      <c r="S31" s="40">
        <v>0.56999999999999995</v>
      </c>
      <c r="T31" s="40">
        <v>2.9529999999999998</v>
      </c>
      <c r="U31" s="40">
        <v>5.0510000000000002</v>
      </c>
      <c r="V31" s="40">
        <v>1.0249999999999999</v>
      </c>
      <c r="W31" s="40">
        <v>4.0259999999999998</v>
      </c>
      <c r="X31" s="41"/>
      <c r="Y31" s="41" t="s">
        <v>66</v>
      </c>
      <c r="Z31" s="41"/>
      <c r="AA31" s="43"/>
      <c r="AB31" s="43"/>
      <c r="AC31" s="43"/>
    </row>
    <row r="32" spans="1:29" s="42" customFormat="1" ht="12.75" customHeight="1" x14ac:dyDescent="0.5">
      <c r="A32" s="37"/>
      <c r="B32" s="37" t="s">
        <v>67</v>
      </c>
      <c r="C32" s="41"/>
      <c r="D32" s="41"/>
      <c r="E32" s="41"/>
      <c r="F32" s="38">
        <v>0.5</v>
      </c>
      <c r="G32" s="39">
        <v>0.4</v>
      </c>
      <c r="H32" s="40">
        <v>0.1</v>
      </c>
      <c r="I32" s="40">
        <f>2524/1000</f>
        <v>2.524</v>
      </c>
      <c r="J32" s="40">
        <f>2323/1000</f>
        <v>2.323</v>
      </c>
      <c r="K32" s="40">
        <f>202/1000</f>
        <v>0.20200000000000001</v>
      </c>
      <c r="L32" s="40">
        <f>M32+N32</f>
        <v>2.5</v>
      </c>
      <c r="M32" s="40">
        <f>1123/1000</f>
        <v>1.123</v>
      </c>
      <c r="N32" s="40">
        <f>1377/1000</f>
        <v>1.377</v>
      </c>
      <c r="O32" s="40">
        <f>P32+Q32</f>
        <v>2.702</v>
      </c>
      <c r="P32" s="40">
        <f>710/1000</f>
        <v>0.71</v>
      </c>
      <c r="Q32" s="40">
        <f>1992/1000</f>
        <v>1.992</v>
      </c>
      <c r="R32" s="40">
        <v>4.0670000000000002</v>
      </c>
      <c r="S32" s="40">
        <v>1.95</v>
      </c>
      <c r="T32" s="40">
        <v>2.1160000000000001</v>
      </c>
      <c r="U32" s="40">
        <v>3.629</v>
      </c>
      <c r="V32" s="40">
        <v>2.5419999999999998</v>
      </c>
      <c r="W32" s="40">
        <v>1.087</v>
      </c>
      <c r="X32" s="41"/>
      <c r="Y32" s="41" t="s">
        <v>68</v>
      </c>
      <c r="Z32" s="41"/>
      <c r="AA32" s="43"/>
      <c r="AB32" s="43"/>
      <c r="AC32" s="43"/>
    </row>
    <row r="33" spans="1:29" s="42" customFormat="1" ht="12.75" customHeight="1" x14ac:dyDescent="0.5">
      <c r="A33" s="37"/>
      <c r="B33" s="37" t="s">
        <v>69</v>
      </c>
      <c r="C33" s="41"/>
      <c r="D33" s="41"/>
      <c r="E33" s="41"/>
      <c r="F33" s="38">
        <v>10.199999999999999</v>
      </c>
      <c r="G33" s="39">
        <v>3.1</v>
      </c>
      <c r="H33" s="40">
        <v>7.1</v>
      </c>
      <c r="I33" s="40">
        <f>7749/1000</f>
        <v>7.7489999999999997</v>
      </c>
      <c r="J33" s="40">
        <f>3307/1000</f>
        <v>3.3069999999999999</v>
      </c>
      <c r="K33" s="40">
        <f>4442/1000</f>
        <v>4.4420000000000002</v>
      </c>
      <c r="L33" s="40">
        <f>M33+N33</f>
        <v>8.6649999999999991</v>
      </c>
      <c r="M33" s="40">
        <f>4700/1000</f>
        <v>4.7</v>
      </c>
      <c r="N33" s="40">
        <f>3965/1000</f>
        <v>3.9649999999999999</v>
      </c>
      <c r="O33" s="40">
        <f>P33+Q33</f>
        <v>8.2460000000000004</v>
      </c>
      <c r="P33" s="40">
        <f>3016/1000</f>
        <v>3.016</v>
      </c>
      <c r="Q33" s="40">
        <f>5230/1000</f>
        <v>5.23</v>
      </c>
      <c r="R33" s="40">
        <v>6.8239999999999998</v>
      </c>
      <c r="S33" s="40">
        <v>2.3969999999999998</v>
      </c>
      <c r="T33" s="40">
        <v>4.4269999999999996</v>
      </c>
      <c r="U33" s="40">
        <v>5.0839999999999996</v>
      </c>
      <c r="V33" s="40">
        <v>2.3730000000000002</v>
      </c>
      <c r="W33" s="40">
        <v>2.7109999999999999</v>
      </c>
      <c r="X33" s="41"/>
      <c r="Y33" s="37" t="s">
        <v>70</v>
      </c>
      <c r="Z33" s="37"/>
      <c r="AA33" s="43"/>
      <c r="AB33" s="43"/>
      <c r="AC33" s="43"/>
    </row>
    <row r="34" spans="1:29" s="42" customFormat="1" ht="12.75" customHeight="1" x14ac:dyDescent="0.5">
      <c r="A34" s="37"/>
      <c r="B34" s="37" t="s">
        <v>71</v>
      </c>
      <c r="C34" s="41"/>
      <c r="D34" s="41"/>
      <c r="E34" s="41"/>
      <c r="F34" s="38"/>
      <c r="G34" s="39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1"/>
      <c r="Y34" s="41" t="s">
        <v>72</v>
      </c>
      <c r="Z34" s="41"/>
      <c r="AA34" s="43"/>
      <c r="AB34" s="43"/>
      <c r="AC34" s="43"/>
    </row>
    <row r="35" spans="1:29" s="42" customFormat="1" ht="12.75" customHeight="1" x14ac:dyDescent="0.5">
      <c r="A35" s="37"/>
      <c r="B35" s="37"/>
      <c r="C35" s="37" t="s">
        <v>73</v>
      </c>
      <c r="D35" s="41"/>
      <c r="E35" s="41"/>
      <c r="F35" s="38">
        <v>1.2</v>
      </c>
      <c r="G35" s="39">
        <v>0.2</v>
      </c>
      <c r="H35" s="40">
        <v>1</v>
      </c>
      <c r="I35" s="40">
        <f>1654/1000</f>
        <v>1.6539999999999999</v>
      </c>
      <c r="J35" s="40">
        <f>249/1000</f>
        <v>0.249</v>
      </c>
      <c r="K35" s="40">
        <f>1406/1000</f>
        <v>1.4059999999999999</v>
      </c>
      <c r="L35" s="40">
        <f>M35+N35</f>
        <v>0.99</v>
      </c>
      <c r="M35" s="40">
        <f>114/1000</f>
        <v>0.114</v>
      </c>
      <c r="N35" s="40">
        <f>876/1000</f>
        <v>0.876</v>
      </c>
      <c r="O35" s="40">
        <f>P35+Q35</f>
        <v>1.665</v>
      </c>
      <c r="P35" s="40">
        <f>89/1000</f>
        <v>8.8999999999999996E-2</v>
      </c>
      <c r="Q35" s="40">
        <f>1576/1000</f>
        <v>1.5760000000000001</v>
      </c>
      <c r="R35" s="40">
        <v>0.96799999999999997</v>
      </c>
      <c r="S35" s="40">
        <v>0.185</v>
      </c>
      <c r="T35" s="40">
        <v>0.78300000000000003</v>
      </c>
      <c r="U35" s="40">
        <v>9.6000000000000002E-2</v>
      </c>
      <c r="V35" s="46" t="s">
        <v>29</v>
      </c>
      <c r="W35" s="40">
        <v>9.6000000000000002E-2</v>
      </c>
      <c r="X35" s="41"/>
      <c r="Y35" s="41"/>
      <c r="Z35" s="41" t="s">
        <v>74</v>
      </c>
      <c r="AA35" s="43"/>
      <c r="AB35" s="43"/>
      <c r="AC35" s="43"/>
    </row>
    <row r="36" spans="1:29" s="42" customFormat="1" ht="12.75" customHeight="1" x14ac:dyDescent="0.5">
      <c r="A36" s="37"/>
      <c r="B36" s="41" t="s">
        <v>75</v>
      </c>
      <c r="C36" s="41"/>
      <c r="D36" s="41"/>
      <c r="E36" s="41"/>
      <c r="F36" s="47" t="s">
        <v>29</v>
      </c>
      <c r="G36" s="47" t="s">
        <v>29</v>
      </c>
      <c r="H36" s="47" t="s">
        <v>29</v>
      </c>
      <c r="I36" s="47" t="s">
        <v>29</v>
      </c>
      <c r="J36" s="47" t="s">
        <v>29</v>
      </c>
      <c r="K36" s="47" t="s">
        <v>29</v>
      </c>
      <c r="L36" s="47" t="s">
        <v>29</v>
      </c>
      <c r="M36" s="47" t="s">
        <v>29</v>
      </c>
      <c r="N36" s="47" t="s">
        <v>29</v>
      </c>
      <c r="O36" s="47" t="s">
        <v>29</v>
      </c>
      <c r="P36" s="47" t="s">
        <v>29</v>
      </c>
      <c r="Q36" s="47" t="s">
        <v>29</v>
      </c>
      <c r="R36" s="47" t="s">
        <v>29</v>
      </c>
      <c r="S36" s="47" t="s">
        <v>29</v>
      </c>
      <c r="T36" s="47" t="s">
        <v>29</v>
      </c>
      <c r="U36" s="47" t="s">
        <v>29</v>
      </c>
      <c r="V36" s="47" t="s">
        <v>29</v>
      </c>
      <c r="W36" s="48" t="s">
        <v>29</v>
      </c>
      <c r="X36" s="41"/>
      <c r="Y36" s="41" t="s">
        <v>76</v>
      </c>
      <c r="Z36" s="41"/>
      <c r="AA36" s="43"/>
      <c r="AB36" s="43"/>
      <c r="AC36" s="43"/>
    </row>
    <row r="37" spans="1:29" s="42" customFormat="1" ht="12.75" customHeight="1" x14ac:dyDescent="0.5">
      <c r="A37" s="41"/>
      <c r="B37" s="41" t="s">
        <v>77</v>
      </c>
      <c r="C37" s="41"/>
      <c r="D37" s="41"/>
      <c r="E37" s="45"/>
      <c r="F37" s="47" t="s">
        <v>29</v>
      </c>
      <c r="G37" s="47" t="s">
        <v>29</v>
      </c>
      <c r="H37" s="47" t="s">
        <v>29</v>
      </c>
      <c r="I37" s="47" t="s">
        <v>29</v>
      </c>
      <c r="J37" s="47" t="s">
        <v>29</v>
      </c>
      <c r="K37" s="47" t="s">
        <v>29</v>
      </c>
      <c r="L37" s="47">
        <f>114/1000</f>
        <v>0.114</v>
      </c>
      <c r="M37" s="47" t="s">
        <v>29</v>
      </c>
      <c r="N37" s="47">
        <f>114/1000</f>
        <v>0.114</v>
      </c>
      <c r="O37" s="47" t="s">
        <v>29</v>
      </c>
      <c r="P37" s="47" t="s">
        <v>29</v>
      </c>
      <c r="Q37" s="47" t="s">
        <v>29</v>
      </c>
      <c r="R37" s="47" t="s">
        <v>29</v>
      </c>
      <c r="S37" s="47" t="s">
        <v>29</v>
      </c>
      <c r="T37" s="47" t="s">
        <v>29</v>
      </c>
      <c r="U37" s="47" t="s">
        <v>29</v>
      </c>
      <c r="V37" s="47" t="s">
        <v>29</v>
      </c>
      <c r="W37" s="47" t="s">
        <v>29</v>
      </c>
      <c r="X37" s="49"/>
      <c r="Y37" s="41" t="s">
        <v>78</v>
      </c>
      <c r="Z37" s="41"/>
      <c r="AA37" s="43"/>
      <c r="AB37" s="43"/>
      <c r="AC37" s="43"/>
    </row>
    <row r="38" spans="1:29" s="55" customFormat="1" ht="3" customHeight="1" x14ac:dyDescent="0.35">
      <c r="A38" s="50"/>
      <c r="B38" s="50"/>
      <c r="C38" s="50"/>
      <c r="D38" s="50"/>
      <c r="E38" s="51"/>
      <c r="F38" s="52"/>
      <c r="G38" s="53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2"/>
      <c r="Y38" s="50"/>
      <c r="Z38" s="50"/>
      <c r="AA38" s="50"/>
      <c r="AB38" s="50"/>
      <c r="AC38" s="54"/>
    </row>
    <row r="39" spans="1:29" s="55" customFormat="1" ht="3" customHeight="1" x14ac:dyDescent="0.35"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</row>
    <row r="40" spans="1:29" s="56" customFormat="1" ht="14.25" customHeight="1" x14ac:dyDescent="0.5">
      <c r="C40" s="57" t="s">
        <v>79</v>
      </c>
      <c r="D40" s="10" t="s">
        <v>80</v>
      </c>
    </row>
    <row r="41" spans="1:29" s="56" customFormat="1" ht="14.25" customHeight="1" x14ac:dyDescent="0.5">
      <c r="C41" s="57" t="s">
        <v>81</v>
      </c>
      <c r="D41" s="10" t="s">
        <v>82</v>
      </c>
    </row>
    <row r="42" spans="1:29" s="56" customFormat="1" ht="14.25" customHeight="1" x14ac:dyDescent="0.5">
      <c r="C42" s="10" t="s">
        <v>85</v>
      </c>
      <c r="D42" s="10"/>
    </row>
    <row r="43" spans="1:29" s="56" customFormat="1" ht="14.25" customHeight="1" x14ac:dyDescent="0.5">
      <c r="C43" s="57"/>
      <c r="D43" s="10"/>
    </row>
    <row r="44" spans="1:29" s="56" customFormat="1" ht="15" customHeight="1" x14ac:dyDescent="0.5">
      <c r="C44" s="57"/>
      <c r="D44" s="10"/>
    </row>
    <row r="46" spans="1:29" x14ac:dyDescent="0.5">
      <c r="B46" s="43"/>
    </row>
    <row r="49" spans="2:2" x14ac:dyDescent="0.5">
      <c r="B49" s="42"/>
    </row>
    <row r="52" spans="2:2" x14ac:dyDescent="0.5">
      <c r="B52" s="43"/>
    </row>
    <row r="53" spans="2:2" x14ac:dyDescent="0.5">
      <c r="B53" s="43"/>
    </row>
    <row r="55" spans="2:2" x14ac:dyDescent="0.5">
      <c r="B55" s="42"/>
    </row>
  </sheetData>
  <mergeCells count="18">
    <mergeCell ref="Y9:AA9"/>
    <mergeCell ref="F6:H6"/>
    <mergeCell ref="I6:K6"/>
    <mergeCell ref="L6:N6"/>
    <mergeCell ref="O6:Q6"/>
    <mergeCell ref="R6:T6"/>
    <mergeCell ref="U6:W6"/>
    <mergeCell ref="Y4:AA8"/>
    <mergeCell ref="F5:H5"/>
    <mergeCell ref="I5:K5"/>
    <mergeCell ref="L5:N5"/>
    <mergeCell ref="O5:Q5"/>
    <mergeCell ref="R5:T5"/>
    <mergeCell ref="U5:W5"/>
    <mergeCell ref="B9:E9"/>
    <mergeCell ref="B4:E8"/>
    <mergeCell ref="F4:Q4"/>
    <mergeCell ref="R4:W4"/>
  </mergeCells>
  <pageMargins left="0.55118110236220474" right="0.35433070866141736" top="0.78740157480314965" bottom="0.59055118110236227" header="0.51181102362204722" footer="0.51181102362204722"/>
  <pageSetup paperSize="9" scale="92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T-2.4น.22</vt:lpstr>
      <vt:lpstr>'T-2.4น.22'!Print_Area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2015-02-18T07:04:42Z</dcterms:created>
  <dcterms:modified xsi:type="dcterms:W3CDTF">2015-02-19T06:44:48Z</dcterms:modified>
</cp:coreProperties>
</file>