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/>
  </bookViews>
  <sheets>
    <sheet name="ตาราง 5.1" sheetId="5" r:id="rId1"/>
    <sheet name="ตาราง 5.1 (ต่อ1)" sheetId="3" r:id="rId2"/>
  </sheets>
  <calcPr calcId="125725"/>
</workbook>
</file>

<file path=xl/calcChain.xml><?xml version="1.0" encoding="utf-8"?>
<calcChain xmlns="http://schemas.openxmlformats.org/spreadsheetml/2006/main">
  <c r="U20" i="3"/>
  <c r="U19"/>
  <c r="U18"/>
  <c r="U17"/>
  <c r="U16"/>
  <c r="U15"/>
  <c r="U14"/>
  <c r="U13"/>
  <c r="S20"/>
  <c r="S19"/>
  <c r="S18"/>
  <c r="S17"/>
  <c r="S16"/>
  <c r="S15"/>
  <c r="S14"/>
  <c r="S13"/>
  <c r="Q18"/>
  <c r="Q20"/>
  <c r="Q19"/>
  <c r="Q17"/>
  <c r="Q16"/>
  <c r="Q15"/>
  <c r="Q14"/>
  <c r="Q13"/>
  <c r="O20"/>
  <c r="O19"/>
  <c r="O18"/>
  <c r="O17"/>
  <c r="O16"/>
  <c r="O15"/>
  <c r="O14"/>
  <c r="O13"/>
  <c r="M19"/>
  <c r="M18"/>
  <c r="M17"/>
  <c r="M16"/>
  <c r="M15"/>
  <c r="M14"/>
  <c r="M13"/>
  <c r="K19"/>
  <c r="K18"/>
  <c r="K17"/>
  <c r="K16"/>
  <c r="K15"/>
  <c r="K14"/>
  <c r="K13"/>
  <c r="I21"/>
  <c r="I18"/>
  <c r="I17"/>
  <c r="I16"/>
  <c r="I15"/>
  <c r="I14"/>
  <c r="I13"/>
  <c r="G21"/>
  <c r="G18"/>
  <c r="G17"/>
  <c r="G16"/>
  <c r="G15"/>
  <c r="G14"/>
  <c r="G13"/>
  <c r="E19"/>
  <c r="E18"/>
  <c r="E17"/>
  <c r="E16"/>
  <c r="E15"/>
  <c r="C19"/>
  <c r="C18"/>
  <c r="C17"/>
  <c r="C16"/>
  <c r="C15"/>
  <c r="W19" i="5"/>
  <c r="W14"/>
  <c r="W13" s="1"/>
  <c r="W15"/>
  <c r="W16"/>
  <c r="W17"/>
  <c r="W18"/>
  <c r="W20"/>
  <c r="U20"/>
  <c r="U19"/>
  <c r="U18"/>
  <c r="U17"/>
  <c r="U16"/>
  <c r="U15"/>
  <c r="U14"/>
  <c r="S19"/>
  <c r="S18"/>
  <c r="S17"/>
  <c r="S16"/>
  <c r="S15"/>
  <c r="S14"/>
  <c r="Q19"/>
  <c r="Q18"/>
  <c r="Q17"/>
  <c r="Q16"/>
  <c r="Q15"/>
  <c r="Q14"/>
  <c r="O16"/>
  <c r="O22"/>
  <c r="O21"/>
  <c r="O20"/>
  <c r="O19"/>
  <c r="O18"/>
  <c r="O17"/>
  <c r="O15"/>
  <c r="O14"/>
  <c r="M22"/>
  <c r="M21"/>
  <c r="M20"/>
  <c r="M19"/>
  <c r="M18"/>
  <c r="M17"/>
  <c r="M16"/>
  <c r="M15"/>
  <c r="M14"/>
  <c r="K19"/>
  <c r="K15"/>
  <c r="K22"/>
  <c r="K21"/>
  <c r="K20"/>
  <c r="K18"/>
  <c r="K17"/>
  <c r="K16"/>
  <c r="K14"/>
  <c r="I22"/>
  <c r="I21"/>
  <c r="I20"/>
  <c r="I19"/>
  <c r="I18"/>
  <c r="I17"/>
  <c r="I16"/>
  <c r="I15"/>
  <c r="I14"/>
  <c r="G20"/>
  <c r="G19"/>
  <c r="G18"/>
  <c r="G17"/>
  <c r="G16"/>
  <c r="G15"/>
  <c r="G14"/>
  <c r="E20"/>
  <c r="E19"/>
  <c r="E18"/>
  <c r="E17"/>
  <c r="E16"/>
  <c r="E15"/>
  <c r="E14"/>
  <c r="C21"/>
  <c r="C22"/>
  <c r="C20"/>
  <c r="C19"/>
  <c r="C18"/>
  <c r="C17"/>
  <c r="C16"/>
  <c r="C15"/>
  <c r="C14"/>
  <c r="U12" i="3" l="1"/>
  <c r="S12"/>
  <c r="Q12"/>
  <c r="O12"/>
  <c r="M12"/>
  <c r="K12"/>
  <c r="I12"/>
  <c r="G12"/>
  <c r="E12"/>
  <c r="C12"/>
  <c r="U13" i="5"/>
  <c r="S13"/>
  <c r="Q13"/>
  <c r="O13"/>
  <c r="M13"/>
  <c r="K13"/>
  <c r="I13"/>
  <c r="G13"/>
  <c r="E13"/>
  <c r="C13"/>
</calcChain>
</file>

<file path=xl/sharedStrings.xml><?xml version="1.0" encoding="utf-8"?>
<sst xmlns="http://schemas.openxmlformats.org/spreadsheetml/2006/main" count="122" uniqueCount="65">
  <si>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</si>
  <si>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</si>
  <si>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</si>
  <si>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</si>
  <si>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</si>
  <si>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</si>
  <si>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</si>
  <si>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</si>
  <si>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</si>
  <si>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</si>
  <si>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</si>
  <si>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</si>
  <si>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</si>
  <si>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</si>
  <si>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</si>
  <si>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</si>
  <si>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</si>
  <si>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</si>
  <si>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</si>
  <si>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</si>
  <si>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</si>
  <si>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</si>
  <si>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</si>
  <si>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</si>
  <si>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</si>
  <si>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</si>
  <si>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</si>
  <si>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</si>
  <si>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</si>
  <si>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</si>
  <si>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</si>
  <si>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</si>
  <si>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</si>
  <si>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>ที่เลี้ยงปศุสัตว์</t>
  </si>
  <si>
    <t xml:space="preserve">ที่เพาะเลี้ยงสัตว์น้ำในพื้นที่น้ำจืด </t>
  </si>
  <si>
    <t>-</t>
  </si>
  <si>
    <t>5.  การใช้ประโยชน์ในที่ดิน  Land Use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</si>
  <si>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</si>
  <si>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</si>
  <si>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</si>
  <si>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</si>
  <si>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</si>
  <si>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</si>
  <si>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</si>
  <si>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</si>
  <si>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</si>
  <si>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</si>
  <si>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</si>
  <si>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Table   5.1   Number of holdings reporting land use and area of holding by size of total area of holding 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</si>
  <si>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</si>
  <si>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</si>
  <si>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</si>
  <si>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</si>
  <si>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</si>
  <si>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</si>
  <si>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</si>
  <si>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</si>
  <si>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</si>
  <si>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</si>
  <si>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</si>
  <si>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</si>
  <si>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</si>
  <si>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</si>
  <si>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Table   5.1   Number of holdings reporting land use and area of holding by size of total area of holding  (Contd.)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</si>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</sst>
</file>

<file path=xl/styles.xml><?xml version="1.0" encoding="utf-8"?>
<styleSheet xmlns="http://schemas.openxmlformats.org/spreadsheetml/2006/main">
  <fonts count="14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9" fillId="0" borderId="0" xfId="0" applyFont="1" applyFill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" fillId="0" borderId="5" xfId="0" applyFont="1" applyFill="1" applyBorder="1"/>
    <xf numFmtId="0" fontId="8" fillId="0" borderId="5" xfId="0" applyFont="1" applyBorder="1" applyAlignment="1">
      <alignment horizontal="right" wrapText="1"/>
    </xf>
    <xf numFmtId="0" fontId="6" fillId="0" borderId="5" xfId="0" applyFont="1" applyFill="1" applyBorder="1"/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10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3" fillId="0" borderId="0" xfId="0" applyFont="1" applyAlignment="1">
      <alignment textRotation="180"/>
    </xf>
    <xf numFmtId="0" fontId="13" fillId="0" borderId="0" xfId="0" applyFont="1" applyFill="1" applyAlignment="1">
      <alignment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2:Y28"/>
  <sheetViews>
    <sheetView tabSelected="1" defaultGridColor="0" topLeftCell="A4" colorId="12" zoomScaleNormal="100" workbookViewId="0">
      <selection activeCell="Y28" sqref="Y28"/>
    </sheetView>
  </sheetViews>
  <sheetFormatPr defaultColWidth="9.33203125" defaultRowHeight="18.75"/>
  <cols>
    <col min="1" max="1" width="4.6640625" style="1" customWidth="1"/>
    <col min="2" max="2" width="30.6640625" style="1" customWidth="1"/>
    <col min="3" max="3" width="13.5" style="1" customWidth="1"/>
    <col min="4" max="4" width="4.33203125" style="1" customWidth="1"/>
    <col min="5" max="5" width="8.83203125" style="1" customWidth="1"/>
    <col min="6" max="6" width="2.33203125" style="1" customWidth="1"/>
    <col min="7" max="7" width="10.33203125" style="1" customWidth="1"/>
    <col min="8" max="8" width="2.33203125" style="1" customWidth="1"/>
    <col min="9" max="9" width="9.5" style="1" customWidth="1"/>
    <col min="10" max="10" width="2.33203125" style="1" customWidth="1"/>
    <col min="11" max="11" width="11" style="1" customWidth="1"/>
    <col min="12" max="12" width="2.1640625" style="1" customWidth="1"/>
    <col min="13" max="13" width="9.83203125" style="1" customWidth="1"/>
    <col min="14" max="14" width="2.1640625" style="1" customWidth="1"/>
    <col min="15" max="15" width="9.5" style="1" customWidth="1"/>
    <col min="16" max="16" width="2.1640625" style="1" customWidth="1"/>
    <col min="17" max="17" width="7.1640625" style="1" customWidth="1"/>
    <col min="18" max="18" width="2.1640625" style="1" customWidth="1"/>
    <col min="19" max="19" width="8.1640625" style="1" customWidth="1"/>
    <col min="20" max="20" width="2.1640625" style="1" customWidth="1"/>
    <col min="21" max="21" width="11.1640625" style="1" customWidth="1"/>
    <col min="22" max="22" width="2.33203125" style="1" customWidth="1"/>
    <col min="23" max="23" width="10.83203125" style="1" customWidth="1"/>
    <col min="24" max="24" width="4.83203125" style="1" customWidth="1"/>
    <col min="25" max="25" width="4.33203125" style="1" customWidth="1"/>
    <col min="26" max="16384" width="9.33203125" style="1"/>
  </cols>
  <sheetData>
    <row r="2" spans="1:25" ht="24.95" customHeight="1">
      <c r="A2" s="2" t="s">
        <v>36</v>
      </c>
    </row>
    <row r="3" spans="1:25" ht="24" customHeight="1">
      <c r="B3" s="3" t="s">
        <v>32</v>
      </c>
      <c r="O3" s="4"/>
      <c r="W3" s="4"/>
      <c r="X3" s="69" t="s">
        <v>47</v>
      </c>
    </row>
    <row r="4" spans="1:25" s="5" customFormat="1" ht="24" customHeight="1">
      <c r="B4" s="3" t="s">
        <v>48</v>
      </c>
      <c r="O4" s="6"/>
      <c r="W4" s="6"/>
      <c r="X4" s="70" t="s">
        <v>46</v>
      </c>
    </row>
    <row r="5" spans="1:25" ht="5.0999999999999996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7"/>
    </row>
    <row r="6" spans="1:25" s="9" customFormat="1" ht="22.5" customHeight="1">
      <c r="A6" s="82"/>
      <c r="B6" s="83"/>
      <c r="C6" s="78"/>
      <c r="D6" s="79"/>
      <c r="E6" s="78"/>
      <c r="F6" s="84"/>
      <c r="G6" s="84"/>
      <c r="H6" s="79"/>
      <c r="I6" s="78"/>
      <c r="J6" s="84"/>
      <c r="K6" s="84"/>
      <c r="L6" s="79"/>
      <c r="M6" s="78"/>
      <c r="N6" s="84"/>
      <c r="O6" s="84"/>
      <c r="P6" s="79"/>
      <c r="Q6" s="33"/>
      <c r="R6" s="34"/>
      <c r="S6" s="34"/>
      <c r="T6" s="35"/>
      <c r="U6" s="80" t="s">
        <v>13</v>
      </c>
      <c r="V6" s="80"/>
      <c r="W6" s="80"/>
      <c r="X6" s="80"/>
      <c r="Y6" s="8"/>
    </row>
    <row r="7" spans="1:25" s="9" customFormat="1" ht="24" customHeight="1">
      <c r="A7" s="85"/>
      <c r="B7" s="86"/>
      <c r="C7" s="27"/>
      <c r="D7" s="28"/>
      <c r="E7" s="87" t="s">
        <v>10</v>
      </c>
      <c r="F7" s="80"/>
      <c r="G7" s="80"/>
      <c r="H7" s="81"/>
      <c r="I7" s="87" t="s">
        <v>11</v>
      </c>
      <c r="J7" s="80"/>
      <c r="K7" s="80"/>
      <c r="L7" s="81"/>
      <c r="M7" s="87" t="s">
        <v>17</v>
      </c>
      <c r="N7" s="80"/>
      <c r="O7" s="80"/>
      <c r="P7" s="81"/>
      <c r="Q7" s="87" t="s">
        <v>12</v>
      </c>
      <c r="R7" s="80"/>
      <c r="S7" s="80"/>
      <c r="T7" s="81"/>
      <c r="U7" s="80" t="s">
        <v>14</v>
      </c>
      <c r="V7" s="80"/>
      <c r="W7" s="80"/>
      <c r="X7" s="80"/>
      <c r="Y7" s="8"/>
    </row>
    <row r="8" spans="1:25" s="9" customFormat="1" ht="21" customHeight="1">
      <c r="A8" s="80" t="s">
        <v>24</v>
      </c>
      <c r="B8" s="81"/>
      <c r="C8" s="87" t="s">
        <v>28</v>
      </c>
      <c r="D8" s="81"/>
      <c r="E8" s="88" t="s">
        <v>0</v>
      </c>
      <c r="F8" s="90"/>
      <c r="G8" s="90"/>
      <c r="H8" s="91"/>
      <c r="I8" s="88" t="s">
        <v>1</v>
      </c>
      <c r="J8" s="90"/>
      <c r="K8" s="90"/>
      <c r="L8" s="91"/>
      <c r="M8" s="88" t="s">
        <v>20</v>
      </c>
      <c r="N8" s="90"/>
      <c r="O8" s="90"/>
      <c r="P8" s="91"/>
      <c r="Q8" s="88" t="s">
        <v>21</v>
      </c>
      <c r="R8" s="90"/>
      <c r="S8" s="90"/>
      <c r="T8" s="91"/>
      <c r="U8" s="90" t="s">
        <v>22</v>
      </c>
      <c r="V8" s="90"/>
      <c r="W8" s="90"/>
      <c r="X8" s="90"/>
      <c r="Y8" s="8"/>
    </row>
    <row r="9" spans="1:25" s="9" customFormat="1" ht="21" customHeight="1">
      <c r="A9" s="85" t="s">
        <v>29</v>
      </c>
      <c r="B9" s="86"/>
      <c r="C9" s="88" t="s">
        <v>30</v>
      </c>
      <c r="D9" s="89"/>
      <c r="E9" s="64"/>
      <c r="F9" s="66"/>
      <c r="G9" s="66"/>
      <c r="H9" s="65"/>
      <c r="I9" s="64"/>
      <c r="J9" s="66"/>
      <c r="K9" s="66"/>
      <c r="L9" s="65"/>
      <c r="M9" s="64"/>
      <c r="N9" s="66"/>
      <c r="O9" s="66"/>
      <c r="P9" s="65"/>
      <c r="Q9" s="36"/>
      <c r="R9" s="22"/>
      <c r="S9" s="22"/>
      <c r="T9" s="37"/>
      <c r="U9" s="77" t="s">
        <v>23</v>
      </c>
      <c r="V9" s="77"/>
      <c r="W9" s="77"/>
      <c r="X9" s="77"/>
      <c r="Y9" s="8"/>
    </row>
    <row r="10" spans="1:25" s="9" customFormat="1" ht="23.25" customHeight="1">
      <c r="A10" s="85" t="s">
        <v>25</v>
      </c>
      <c r="B10" s="86"/>
      <c r="C10" s="63"/>
      <c r="D10" s="29"/>
      <c r="E10" s="78" t="s">
        <v>9</v>
      </c>
      <c r="F10" s="79"/>
      <c r="G10" s="80" t="s">
        <v>8</v>
      </c>
      <c r="H10" s="81"/>
      <c r="I10" s="78" t="s">
        <v>9</v>
      </c>
      <c r="J10" s="79"/>
      <c r="K10" s="80" t="s">
        <v>8</v>
      </c>
      <c r="L10" s="81"/>
      <c r="M10" s="78" t="s">
        <v>9</v>
      </c>
      <c r="N10" s="79"/>
      <c r="O10" s="80" t="s">
        <v>8</v>
      </c>
      <c r="P10" s="81"/>
      <c r="Q10" s="78" t="s">
        <v>9</v>
      </c>
      <c r="R10" s="79"/>
      <c r="S10" s="80" t="s">
        <v>8</v>
      </c>
      <c r="T10" s="81"/>
      <c r="U10" s="78" t="s">
        <v>9</v>
      </c>
      <c r="V10" s="79"/>
      <c r="W10" s="80" t="s">
        <v>8</v>
      </c>
      <c r="X10" s="80"/>
      <c r="Y10" s="8"/>
    </row>
    <row r="11" spans="1:25" s="9" customFormat="1" ht="21" customHeight="1">
      <c r="A11" s="92"/>
      <c r="B11" s="93"/>
      <c r="C11" s="64"/>
      <c r="D11" s="65"/>
      <c r="E11" s="75" t="s">
        <v>5</v>
      </c>
      <c r="F11" s="76"/>
      <c r="G11" s="20" t="s">
        <v>6</v>
      </c>
      <c r="H11" s="32"/>
      <c r="I11" s="75" t="s">
        <v>5</v>
      </c>
      <c r="J11" s="76"/>
      <c r="K11" s="77" t="s">
        <v>6</v>
      </c>
      <c r="L11" s="76"/>
      <c r="M11" s="75" t="s">
        <v>5</v>
      </c>
      <c r="N11" s="76"/>
      <c r="O11" s="77" t="s">
        <v>6</v>
      </c>
      <c r="P11" s="76"/>
      <c r="Q11" s="75" t="s">
        <v>5</v>
      </c>
      <c r="R11" s="76"/>
      <c r="S11" s="77" t="s">
        <v>6</v>
      </c>
      <c r="T11" s="76"/>
      <c r="U11" s="75" t="s">
        <v>5</v>
      </c>
      <c r="V11" s="76"/>
      <c r="W11" s="77" t="s">
        <v>6</v>
      </c>
      <c r="X11" s="77"/>
      <c r="Y11" s="8"/>
    </row>
    <row r="12" spans="1:25" s="9" customFormat="1" ht="5.0999999999999996" customHeight="1">
      <c r="A12" s="8"/>
      <c r="B12" s="23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5" s="9" customFormat="1" ht="24" customHeight="1">
      <c r="A13" s="11" t="s">
        <v>31</v>
      </c>
      <c r="B13" s="24"/>
      <c r="C13" s="73">
        <f>SUM(C14:C22)</f>
        <v>424235.78250000003</v>
      </c>
      <c r="D13" s="73"/>
      <c r="E13" s="73">
        <f>SUM(E14:E22)</f>
        <v>5836</v>
      </c>
      <c r="F13" s="74"/>
      <c r="G13" s="74">
        <f>SUM(G14:G22)</f>
        <v>19311.544999999998</v>
      </c>
      <c r="H13" s="74"/>
      <c r="I13" s="73">
        <f>SUM(I14:I22)</f>
        <v>29548</v>
      </c>
      <c r="J13" s="73"/>
      <c r="K13" s="73">
        <f>SUM(K14:K22)</f>
        <v>320093.39749999996</v>
      </c>
      <c r="L13" s="73"/>
      <c r="M13" s="73">
        <f>SUM(M14:M22)</f>
        <v>6709</v>
      </c>
      <c r="N13" s="73"/>
      <c r="O13" s="73">
        <f>SUM(O14:O22)</f>
        <v>72927.005999999994</v>
      </c>
      <c r="P13" s="73"/>
      <c r="Q13" s="74">
        <f>SUM(Q14:Q22)</f>
        <v>211</v>
      </c>
      <c r="R13" s="74"/>
      <c r="S13" s="73">
        <f>SUM(S14:S22)</f>
        <v>535.11500000000001</v>
      </c>
      <c r="T13" s="74"/>
      <c r="U13" s="74">
        <f>SUM(U14:U22)</f>
        <v>738</v>
      </c>
      <c r="V13" s="74"/>
      <c r="W13" s="73">
        <f>SUM(W14:W22)</f>
        <v>1509.5400000000002</v>
      </c>
      <c r="X13" s="12"/>
      <c r="Y13" s="12"/>
    </row>
    <row r="14" spans="1:25" s="9" customFormat="1" ht="24" customHeight="1">
      <c r="A14" s="7"/>
      <c r="B14" s="25" t="s">
        <v>37</v>
      </c>
      <c r="C14" s="67">
        <f>67.4425+1255.79</f>
        <v>1323.2325000000001</v>
      </c>
      <c r="D14" s="67"/>
      <c r="E14" s="67">
        <f>3+153</f>
        <v>156</v>
      </c>
      <c r="F14" s="67"/>
      <c r="G14" s="67">
        <f>0.2775+142.1475</f>
        <v>142.42500000000001</v>
      </c>
      <c r="H14" s="67"/>
      <c r="I14" s="67">
        <f>5+366</f>
        <v>371</v>
      </c>
      <c r="J14" s="67"/>
      <c r="K14" s="67">
        <f>1.02+343.7775</f>
        <v>344.79749999999996</v>
      </c>
      <c r="L14" s="67"/>
      <c r="M14" s="67">
        <f>13+281</f>
        <v>294</v>
      </c>
      <c r="N14" s="67"/>
      <c r="O14" s="67">
        <f>2.43+230.126</f>
        <v>232.55600000000001</v>
      </c>
      <c r="P14" s="67"/>
      <c r="Q14" s="67">
        <f>7+35</f>
        <v>42</v>
      </c>
      <c r="R14" s="67"/>
      <c r="S14" s="67">
        <f>1.415+26.45</f>
        <v>27.864999999999998</v>
      </c>
      <c r="T14" s="67"/>
      <c r="U14" s="67">
        <f>31+168</f>
        <v>199</v>
      </c>
      <c r="V14" s="67"/>
      <c r="W14" s="67">
        <f>5.555+119.055</f>
        <v>124.61000000000001</v>
      </c>
    </row>
    <row r="15" spans="1:25" s="9" customFormat="1" ht="24" customHeight="1">
      <c r="A15" s="7"/>
      <c r="B15" s="25" t="s">
        <v>38</v>
      </c>
      <c r="C15" s="67">
        <f>12092.53+25954.51</f>
        <v>38047.040000000001</v>
      </c>
      <c r="D15" s="67"/>
      <c r="E15" s="67">
        <f>685+733</f>
        <v>1418</v>
      </c>
      <c r="F15" s="67"/>
      <c r="G15" s="67">
        <f>1364.86+1681.88</f>
        <v>3046.74</v>
      </c>
      <c r="H15" s="67"/>
      <c r="I15" s="67">
        <f>3549+5068</f>
        <v>8617</v>
      </c>
      <c r="J15" s="67"/>
      <c r="K15" s="67">
        <f>8729.02+21844.6</f>
        <v>30573.62</v>
      </c>
      <c r="L15" s="67"/>
      <c r="M15" s="67">
        <f>680+648</f>
        <v>1328</v>
      </c>
      <c r="N15" s="67"/>
      <c r="O15" s="67">
        <f>1260.34+1848.9</f>
        <v>3109.24</v>
      </c>
      <c r="P15" s="67"/>
      <c r="Q15" s="67">
        <f>32+32</f>
        <v>64</v>
      </c>
      <c r="R15" s="67"/>
      <c r="S15" s="67">
        <f>54.5+63.5</f>
        <v>118</v>
      </c>
      <c r="T15" s="67"/>
      <c r="U15" s="67">
        <f>137+77</f>
        <v>214</v>
      </c>
      <c r="V15" s="67"/>
      <c r="W15" s="67">
        <f>216.185+159.875</f>
        <v>376.06</v>
      </c>
    </row>
    <row r="16" spans="1:25" s="9" customFormat="1" ht="24" customHeight="1">
      <c r="A16" s="7"/>
      <c r="B16" s="25" t="s">
        <v>39</v>
      </c>
      <c r="C16" s="67">
        <f>24142.04+20890.63</f>
        <v>45032.67</v>
      </c>
      <c r="D16" s="67"/>
      <c r="E16" s="67">
        <f>869+651</f>
        <v>1520</v>
      </c>
      <c r="F16" s="67"/>
      <c r="G16" s="67">
        <f>2007.36+1867.93</f>
        <v>3875.29</v>
      </c>
      <c r="H16" s="67"/>
      <c r="I16" s="67">
        <f>3463+2368</f>
        <v>5831</v>
      </c>
      <c r="J16" s="67"/>
      <c r="K16" s="67">
        <f>19813.5+17046.92</f>
        <v>36860.42</v>
      </c>
      <c r="L16" s="67"/>
      <c r="M16" s="67">
        <f>533+394</f>
        <v>927</v>
      </c>
      <c r="N16" s="67"/>
      <c r="O16" s="67">
        <f>1759.54+1539.13</f>
        <v>3298.67</v>
      </c>
      <c r="P16" s="67"/>
      <c r="Q16" s="67">
        <f>32+8</f>
        <v>40</v>
      </c>
      <c r="R16" s="67"/>
      <c r="S16" s="67">
        <f>79+25</f>
        <v>104</v>
      </c>
      <c r="T16" s="67"/>
      <c r="U16" s="67">
        <f>66+47</f>
        <v>113</v>
      </c>
      <c r="V16" s="67"/>
      <c r="W16" s="67">
        <f>156.25+130.57</f>
        <v>286.82</v>
      </c>
    </row>
    <row r="17" spans="1:25" s="9" customFormat="1" ht="24" customHeight="1">
      <c r="A17" s="7"/>
      <c r="B17" s="25" t="s">
        <v>40</v>
      </c>
      <c r="C17" s="67">
        <f>69010.48+63080.89</f>
        <v>132091.37</v>
      </c>
      <c r="D17" s="67"/>
      <c r="E17" s="67">
        <f>1204+636</f>
        <v>1840</v>
      </c>
      <c r="F17" s="67"/>
      <c r="G17" s="67">
        <f>4090.1+2791.6</f>
        <v>6881.7</v>
      </c>
      <c r="H17" s="67"/>
      <c r="I17" s="67">
        <f>5914+3505</f>
        <v>9419</v>
      </c>
      <c r="J17" s="67"/>
      <c r="K17" s="67">
        <f>58309.76+49407.95</f>
        <v>107717.70999999999</v>
      </c>
      <c r="L17" s="67"/>
      <c r="M17" s="67">
        <f>1086+1080</f>
        <v>2166</v>
      </c>
      <c r="N17" s="67"/>
      <c r="O17" s="67">
        <f>5448.86+9274.55</f>
        <v>14723.41</v>
      </c>
      <c r="P17" s="67"/>
      <c r="Q17" s="67">
        <f>21+15</f>
        <v>36</v>
      </c>
      <c r="R17" s="67"/>
      <c r="S17" s="67">
        <f>84+74.5</f>
        <v>158.5</v>
      </c>
      <c r="T17" s="67"/>
      <c r="U17" s="67">
        <f>89+44</f>
        <v>133</v>
      </c>
      <c r="V17" s="67"/>
      <c r="W17" s="67">
        <f>295.6625+156.35</f>
        <v>452.01250000000005</v>
      </c>
    </row>
    <row r="18" spans="1:25" s="9" customFormat="1" ht="24" customHeight="1">
      <c r="A18" s="7"/>
      <c r="B18" s="25" t="s">
        <v>41</v>
      </c>
      <c r="C18" s="67">
        <f>44709.09+23779.54+42057.57</f>
        <v>110546.20000000001</v>
      </c>
      <c r="D18" s="67"/>
      <c r="E18" s="67">
        <f>365+203+168</f>
        <v>736</v>
      </c>
      <c r="F18" s="67"/>
      <c r="G18" s="67">
        <f>1733.45+1165.5+1081.49</f>
        <v>3980.4399999999996</v>
      </c>
      <c r="H18" s="67"/>
      <c r="I18" s="67">
        <f>2057+886+1234</f>
        <v>4177</v>
      </c>
      <c r="J18" s="67"/>
      <c r="K18" s="67">
        <f>37326.07+19270.67+33179.69</f>
        <v>89776.43</v>
      </c>
      <c r="L18" s="67"/>
      <c r="M18" s="67">
        <f>590+307+532</f>
        <v>1429</v>
      </c>
      <c r="N18" s="67"/>
      <c r="O18" s="67">
        <f>4851.23+2876.37+6750.58</f>
        <v>14478.18</v>
      </c>
      <c r="P18" s="67"/>
      <c r="Q18" s="67">
        <f>17+1+8</f>
        <v>26</v>
      </c>
      <c r="R18" s="67"/>
      <c r="S18" s="67">
        <f>49.5+1+66.25</f>
        <v>116.75</v>
      </c>
      <c r="T18" s="67"/>
      <c r="U18" s="67">
        <f>33+13+15</f>
        <v>61</v>
      </c>
      <c r="V18" s="67"/>
      <c r="W18" s="67">
        <f>85.775+48.5+76.5</f>
        <v>210.77500000000001</v>
      </c>
    </row>
    <row r="19" spans="1:25" s="9" customFormat="1" ht="24" customHeight="1">
      <c r="A19" s="7"/>
      <c r="B19" s="25" t="s">
        <v>42</v>
      </c>
      <c r="C19" s="67">
        <f>20401.27+16606.22</f>
        <v>37007.490000000005</v>
      </c>
      <c r="D19" s="67"/>
      <c r="E19" s="67">
        <f>77+37</f>
        <v>114</v>
      </c>
      <c r="F19" s="67"/>
      <c r="G19" s="67">
        <f>542.5+320.45</f>
        <v>862.95</v>
      </c>
      <c r="H19" s="67"/>
      <c r="I19" s="67">
        <f>472+309</f>
        <v>781</v>
      </c>
      <c r="J19" s="67"/>
      <c r="K19" s="67">
        <f>16285.54+13223</f>
        <v>29508.54</v>
      </c>
      <c r="L19" s="67"/>
      <c r="M19" s="67">
        <f>208+149</f>
        <v>357</v>
      </c>
      <c r="N19" s="67"/>
      <c r="O19" s="67">
        <f>3267.45+2791</f>
        <v>6058.45</v>
      </c>
      <c r="P19" s="67"/>
      <c r="Q19" s="67">
        <f>1+1</f>
        <v>2</v>
      </c>
      <c r="R19" s="67"/>
      <c r="S19" s="67">
        <f>4+1</f>
        <v>5</v>
      </c>
      <c r="T19" s="67"/>
      <c r="U19" s="67">
        <f>6+9</f>
        <v>15</v>
      </c>
      <c r="V19" s="67"/>
      <c r="W19" s="67">
        <f>12+19.2625</f>
        <v>31.262499999999999</v>
      </c>
    </row>
    <row r="20" spans="1:25" s="9" customFormat="1" ht="24" customHeight="1">
      <c r="A20" s="7"/>
      <c r="B20" s="25" t="s">
        <v>43</v>
      </c>
      <c r="C20" s="67">
        <f>13569.38+6083.52+6256.13</f>
        <v>25909.030000000002</v>
      </c>
      <c r="D20" s="67"/>
      <c r="E20" s="67">
        <f>35+9+8</f>
        <v>52</v>
      </c>
      <c r="F20" s="67"/>
      <c r="G20" s="67">
        <f>305+137.5+79.5</f>
        <v>522</v>
      </c>
      <c r="H20" s="67"/>
      <c r="I20" s="67">
        <f>199+67+52</f>
        <v>318</v>
      </c>
      <c r="J20" s="67"/>
      <c r="K20" s="67">
        <f>10249.38+4253.5+4399.5</f>
        <v>18902.379999999997</v>
      </c>
      <c r="L20" s="67"/>
      <c r="M20" s="67">
        <f>103+39+36</f>
        <v>178</v>
      </c>
      <c r="N20" s="67"/>
      <c r="O20" s="67">
        <f>2674.25+1364.75+1707</f>
        <v>5746</v>
      </c>
      <c r="P20" s="67"/>
      <c r="Q20" s="67" t="s">
        <v>35</v>
      </c>
      <c r="R20" s="67"/>
      <c r="S20" s="67" t="s">
        <v>35</v>
      </c>
      <c r="T20" s="67"/>
      <c r="U20" s="67">
        <f>1+1</f>
        <v>2</v>
      </c>
      <c r="V20" s="67"/>
      <c r="W20" s="67">
        <f>3+20</f>
        <v>23</v>
      </c>
    </row>
    <row r="21" spans="1:25" s="9" customFormat="1" ht="24" customHeight="1">
      <c r="A21" s="7"/>
      <c r="B21" s="25" t="s">
        <v>44</v>
      </c>
      <c r="C21" s="13">
        <f>2578.75+1831+2654</f>
        <v>7063.75</v>
      </c>
      <c r="D21" s="13"/>
      <c r="E21" s="13" t="s">
        <v>35</v>
      </c>
      <c r="F21" s="13"/>
      <c r="G21" s="13" t="s">
        <v>35</v>
      </c>
      <c r="H21" s="13"/>
      <c r="I21" s="13">
        <f>16+8+5</f>
        <v>29</v>
      </c>
      <c r="J21" s="13"/>
      <c r="K21" s="13">
        <f>1813.5+1353+1230</f>
        <v>4396.5</v>
      </c>
      <c r="L21" s="13"/>
      <c r="M21" s="13">
        <f>10+6+4</f>
        <v>20</v>
      </c>
      <c r="N21" s="13"/>
      <c r="O21" s="13">
        <f>744.5+460+1124</f>
        <v>2328.5</v>
      </c>
      <c r="P21" s="13"/>
      <c r="Q21" s="14" t="s">
        <v>35</v>
      </c>
      <c r="R21" s="14"/>
      <c r="S21" s="14" t="s">
        <v>35</v>
      </c>
      <c r="T21" s="14"/>
      <c r="U21" s="14" t="s">
        <v>35</v>
      </c>
      <c r="V21" s="14"/>
      <c r="W21" s="67" t="s">
        <v>35</v>
      </c>
    </row>
    <row r="22" spans="1:25" s="9" customFormat="1" ht="24" customHeight="1">
      <c r="A22" s="7"/>
      <c r="B22" s="25" t="s">
        <v>45</v>
      </c>
      <c r="C22" s="67">
        <f>2430+24785</f>
        <v>27215</v>
      </c>
      <c r="D22" s="67"/>
      <c r="E22" s="67" t="s">
        <v>35</v>
      </c>
      <c r="F22" s="67"/>
      <c r="G22" s="67" t="s">
        <v>35</v>
      </c>
      <c r="H22" s="67"/>
      <c r="I22" s="67">
        <f>2+3</f>
        <v>5</v>
      </c>
      <c r="J22" s="67"/>
      <c r="K22" s="67">
        <f>350+1663</f>
        <v>2013</v>
      </c>
      <c r="L22" s="67"/>
      <c r="M22" s="67">
        <f>4+6</f>
        <v>10</v>
      </c>
      <c r="N22" s="67"/>
      <c r="O22" s="67">
        <f>1930+21022</f>
        <v>22952</v>
      </c>
      <c r="P22" s="67"/>
      <c r="Q22" s="67">
        <v>1</v>
      </c>
      <c r="R22" s="67"/>
      <c r="S22" s="67">
        <v>5</v>
      </c>
      <c r="T22" s="67"/>
      <c r="U22" s="67">
        <v>1</v>
      </c>
      <c r="V22" s="67"/>
      <c r="W22" s="67">
        <v>5</v>
      </c>
    </row>
    <row r="23" spans="1:25" s="8" customFormat="1" ht="10.5" customHeight="1">
      <c r="A23" s="15"/>
      <c r="B23" s="26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17"/>
    </row>
    <row r="24" spans="1:25" s="9" customFormat="1" ht="18.7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Y24" s="19"/>
    </row>
    <row r="25" spans="1:25" s="9" customFormat="1" ht="17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7" spans="1:25">
      <c r="Y27" s="19"/>
    </row>
    <row r="28" spans="1:25">
      <c r="Y28" s="109">
        <v>59</v>
      </c>
    </row>
  </sheetData>
  <mergeCells count="43"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  <mergeCell ref="M7:P7"/>
    <mergeCell ref="E8:H8"/>
    <mergeCell ref="E7:H7"/>
    <mergeCell ref="I7:L7"/>
    <mergeCell ref="I8:L8"/>
    <mergeCell ref="M8:P8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W27"/>
  <sheetViews>
    <sheetView defaultGridColor="0" colorId="12" zoomScaleNormal="100" workbookViewId="0">
      <selection activeCell="E13" sqref="E13"/>
    </sheetView>
  </sheetViews>
  <sheetFormatPr defaultColWidth="9.33203125" defaultRowHeight="18.75"/>
  <cols>
    <col min="1" max="1" width="4.6640625" style="38" customWidth="1"/>
    <col min="2" max="2" width="37.83203125" style="38" customWidth="1"/>
    <col min="3" max="3" width="11.1640625" style="38" customWidth="1"/>
    <col min="4" max="4" width="1.83203125" style="38" customWidth="1"/>
    <col min="5" max="5" width="11.1640625" style="38" customWidth="1"/>
    <col min="6" max="6" width="1.83203125" style="38" customWidth="1"/>
    <col min="7" max="7" width="11.1640625" style="38" customWidth="1"/>
    <col min="8" max="8" width="1.83203125" style="38" customWidth="1"/>
    <col min="9" max="9" width="11.1640625" style="38" customWidth="1"/>
    <col min="10" max="10" width="1.83203125" style="38" customWidth="1"/>
    <col min="11" max="11" width="11.1640625" style="38" customWidth="1"/>
    <col min="12" max="12" width="1.83203125" style="38" customWidth="1"/>
    <col min="13" max="13" width="11.1640625" style="38" customWidth="1"/>
    <col min="14" max="14" width="1.83203125" style="38" customWidth="1"/>
    <col min="15" max="15" width="11.6640625" style="38" customWidth="1"/>
    <col min="16" max="16" width="1.83203125" style="38" customWidth="1"/>
    <col min="17" max="17" width="11.6640625" style="38" customWidth="1"/>
    <col min="18" max="18" width="1.83203125" style="38" customWidth="1"/>
    <col min="19" max="19" width="11.1640625" style="38" customWidth="1"/>
    <col min="20" max="20" width="1.83203125" style="38" customWidth="1"/>
    <col min="21" max="21" width="11.1640625" style="38" customWidth="1"/>
    <col min="22" max="22" width="1.83203125" style="38" customWidth="1"/>
    <col min="23" max="23" width="5.5" style="38" customWidth="1"/>
    <col min="24" max="16384" width="9.33203125" style="38"/>
  </cols>
  <sheetData>
    <row r="1" spans="1:23">
      <c r="S1" s="39"/>
      <c r="W1" s="108">
        <v>60</v>
      </c>
    </row>
    <row r="2" spans="1:23" ht="23.1" customHeight="1">
      <c r="B2" s="40" t="s">
        <v>64</v>
      </c>
      <c r="C2" s="40"/>
      <c r="D2" s="40"/>
      <c r="E2" s="40"/>
      <c r="F2" s="40"/>
      <c r="G2" s="40"/>
      <c r="H2" s="40"/>
      <c r="I2" s="40"/>
      <c r="J2" s="40"/>
      <c r="S2" s="41" t="s">
        <v>49</v>
      </c>
      <c r="V2" s="71" t="s">
        <v>47</v>
      </c>
    </row>
    <row r="3" spans="1:23" s="42" customFormat="1" ht="23.1" customHeight="1">
      <c r="B3" s="40" t="s">
        <v>63</v>
      </c>
      <c r="S3" s="43" t="s">
        <v>50</v>
      </c>
      <c r="V3" s="72" t="s">
        <v>46</v>
      </c>
    </row>
    <row r="4" spans="1:23" ht="5.0999999999999996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3" ht="20.25" customHeight="1">
      <c r="A5" s="84"/>
      <c r="B5" s="79"/>
      <c r="C5" s="58"/>
      <c r="D5" s="59"/>
      <c r="E5" s="59"/>
      <c r="F5" s="60"/>
      <c r="G5" s="58"/>
      <c r="H5" s="59"/>
      <c r="I5" s="59"/>
      <c r="J5" s="60"/>
      <c r="K5" s="78"/>
      <c r="L5" s="84"/>
      <c r="M5" s="84"/>
      <c r="N5" s="79"/>
      <c r="O5" s="78"/>
      <c r="P5" s="84"/>
      <c r="Q5" s="84"/>
      <c r="R5" s="79"/>
      <c r="S5" s="102" t="s">
        <v>51</v>
      </c>
      <c r="T5" s="103"/>
      <c r="U5" s="103"/>
      <c r="V5" s="104"/>
    </row>
    <row r="6" spans="1:23" ht="20.25" customHeight="1">
      <c r="A6" s="80"/>
      <c r="B6" s="81"/>
      <c r="C6" s="87" t="s">
        <v>27</v>
      </c>
      <c r="D6" s="80"/>
      <c r="E6" s="80"/>
      <c r="F6" s="81"/>
      <c r="G6" s="87" t="s">
        <v>15</v>
      </c>
      <c r="H6" s="80"/>
      <c r="I6" s="80"/>
      <c r="J6" s="81"/>
      <c r="K6" s="87" t="s">
        <v>33</v>
      </c>
      <c r="L6" s="80"/>
      <c r="M6" s="80"/>
      <c r="N6" s="81"/>
      <c r="O6" s="87" t="s">
        <v>34</v>
      </c>
      <c r="P6" s="80"/>
      <c r="Q6" s="80"/>
      <c r="R6" s="81"/>
      <c r="S6" s="102" t="s">
        <v>52</v>
      </c>
      <c r="T6" s="103"/>
      <c r="U6" s="103"/>
      <c r="V6" s="104"/>
    </row>
    <row r="7" spans="1:23" ht="20.25" customHeight="1">
      <c r="A7" s="80" t="s">
        <v>24</v>
      </c>
      <c r="B7" s="81"/>
      <c r="C7" s="88" t="s">
        <v>26</v>
      </c>
      <c r="D7" s="90"/>
      <c r="E7" s="90"/>
      <c r="F7" s="91"/>
      <c r="G7" s="88" t="s">
        <v>2</v>
      </c>
      <c r="H7" s="90"/>
      <c r="I7" s="90"/>
      <c r="J7" s="91"/>
      <c r="K7" s="88" t="s">
        <v>4</v>
      </c>
      <c r="L7" s="90"/>
      <c r="M7" s="90"/>
      <c r="N7" s="91"/>
      <c r="O7" s="88" t="s">
        <v>7</v>
      </c>
      <c r="P7" s="90"/>
      <c r="Q7" s="90"/>
      <c r="R7" s="91"/>
      <c r="S7" s="90" t="s">
        <v>53</v>
      </c>
      <c r="T7" s="90"/>
      <c r="U7" s="90"/>
      <c r="V7" s="90"/>
    </row>
    <row r="8" spans="1:23" ht="20.25" customHeight="1">
      <c r="A8" s="85" t="s">
        <v>29</v>
      </c>
      <c r="B8" s="86"/>
      <c r="C8" s="54"/>
      <c r="D8" s="55"/>
      <c r="E8" s="55"/>
      <c r="F8" s="61"/>
      <c r="G8" s="54"/>
      <c r="H8" s="55"/>
      <c r="I8" s="55"/>
      <c r="J8" s="61"/>
      <c r="K8" s="30"/>
      <c r="L8" s="21"/>
      <c r="M8" s="21"/>
      <c r="N8" s="31"/>
      <c r="O8" s="30"/>
      <c r="P8" s="21"/>
      <c r="Q8" s="21"/>
      <c r="R8" s="31"/>
      <c r="S8" s="75" t="s">
        <v>3</v>
      </c>
      <c r="T8" s="77"/>
      <c r="U8" s="77"/>
      <c r="V8" s="77"/>
    </row>
    <row r="9" spans="1:23" ht="20.25" customHeight="1">
      <c r="A9" s="80"/>
      <c r="B9" s="81"/>
      <c r="C9" s="94" t="s">
        <v>9</v>
      </c>
      <c r="D9" s="95"/>
      <c r="E9" s="96" t="s">
        <v>8</v>
      </c>
      <c r="F9" s="107"/>
      <c r="G9" s="94" t="s">
        <v>9</v>
      </c>
      <c r="H9" s="95"/>
      <c r="I9" s="96" t="s">
        <v>8</v>
      </c>
      <c r="J9" s="107"/>
      <c r="K9" s="94" t="s">
        <v>9</v>
      </c>
      <c r="L9" s="95"/>
      <c r="M9" s="96" t="s">
        <v>8</v>
      </c>
      <c r="N9" s="107"/>
      <c r="O9" s="94" t="s">
        <v>9</v>
      </c>
      <c r="P9" s="95"/>
      <c r="Q9" s="96" t="s">
        <v>8</v>
      </c>
      <c r="R9" s="107"/>
      <c r="S9" s="94" t="s">
        <v>9</v>
      </c>
      <c r="T9" s="95"/>
      <c r="U9" s="96" t="s">
        <v>8</v>
      </c>
      <c r="V9" s="97"/>
    </row>
    <row r="10" spans="1:23" ht="20.25" customHeight="1">
      <c r="A10" s="105"/>
      <c r="B10" s="106"/>
      <c r="C10" s="98" t="s">
        <v>5</v>
      </c>
      <c r="D10" s="99"/>
      <c r="E10" s="62" t="s">
        <v>6</v>
      </c>
      <c r="F10" s="32"/>
      <c r="G10" s="98" t="s">
        <v>5</v>
      </c>
      <c r="H10" s="99"/>
      <c r="I10" s="100" t="s">
        <v>6</v>
      </c>
      <c r="J10" s="99"/>
      <c r="K10" s="98" t="s">
        <v>5</v>
      </c>
      <c r="L10" s="99"/>
      <c r="M10" s="100" t="s">
        <v>6</v>
      </c>
      <c r="N10" s="99"/>
      <c r="O10" s="98" t="s">
        <v>5</v>
      </c>
      <c r="P10" s="99"/>
      <c r="Q10" s="100" t="s">
        <v>6</v>
      </c>
      <c r="R10" s="99"/>
      <c r="S10" s="98" t="s">
        <v>5</v>
      </c>
      <c r="T10" s="99"/>
      <c r="U10" s="100" t="s">
        <v>6</v>
      </c>
      <c r="V10" s="101"/>
    </row>
    <row r="11" spans="1:23" ht="5.0999999999999996" customHeight="1">
      <c r="A11" s="44"/>
      <c r="B11" s="56"/>
      <c r="C11" s="45"/>
      <c r="D11" s="45"/>
      <c r="E11" s="45"/>
      <c r="F11" s="45"/>
      <c r="G11" s="45"/>
      <c r="H11" s="45"/>
      <c r="I11" s="45"/>
      <c r="J11" s="45"/>
      <c r="K11" s="44"/>
      <c r="L11" s="46"/>
      <c r="M11" s="44"/>
      <c r="N11" s="44"/>
      <c r="O11" s="47"/>
      <c r="P11" s="47"/>
      <c r="Q11" s="47"/>
    </row>
    <row r="12" spans="1:23" ht="24" customHeight="1">
      <c r="A12" s="48" t="s">
        <v>19</v>
      </c>
      <c r="B12" s="57"/>
      <c r="C12" s="73">
        <f>SUM(C13:C21)</f>
        <v>36</v>
      </c>
      <c r="D12" s="73"/>
      <c r="E12" s="73">
        <f>SUM(E13:E21)</f>
        <v>181</v>
      </c>
      <c r="F12" s="73"/>
      <c r="G12" s="73">
        <f>SUM(G13:G21)</f>
        <v>104</v>
      </c>
      <c r="H12" s="73"/>
      <c r="I12" s="73">
        <f>SUM(I13:I21)</f>
        <v>1334.7725</v>
      </c>
      <c r="J12" s="73"/>
      <c r="K12" s="73">
        <f>SUM(K13:K21)</f>
        <v>1304</v>
      </c>
      <c r="L12" s="73"/>
      <c r="M12" s="73">
        <f>SUM(M13:M21)</f>
        <v>891.29250000000002</v>
      </c>
      <c r="N12" s="73"/>
      <c r="O12" s="73">
        <f>SUM(O13:O21)</f>
        <v>601</v>
      </c>
      <c r="P12" s="73"/>
      <c r="Q12" s="73">
        <f>SUM(Q13:Q21)</f>
        <v>934.69749999999999</v>
      </c>
      <c r="R12" s="73"/>
      <c r="S12" s="73">
        <f>SUM(S13:S21)</f>
        <v>2713</v>
      </c>
      <c r="T12" s="73"/>
      <c r="U12" s="73">
        <f>SUM(U13:U21)</f>
        <v>6517.4675000000007</v>
      </c>
    </row>
    <row r="13" spans="1:23" ht="24" customHeight="1">
      <c r="A13" s="44"/>
      <c r="B13" s="25" t="s">
        <v>54</v>
      </c>
      <c r="C13" s="67">
        <v>1</v>
      </c>
      <c r="D13" s="67"/>
      <c r="E13" s="67">
        <v>0.5</v>
      </c>
      <c r="F13" s="67"/>
      <c r="G13" s="67">
        <f>11+32</f>
        <v>43</v>
      </c>
      <c r="H13" s="67"/>
      <c r="I13" s="67">
        <f>1.625+20.15</f>
        <v>21.774999999999999</v>
      </c>
      <c r="J13" s="67"/>
      <c r="K13" s="67">
        <f>362+341</f>
        <v>703</v>
      </c>
      <c r="L13" s="67"/>
      <c r="M13" s="67">
        <f>32.9925+181.6025</f>
        <v>214.595</v>
      </c>
      <c r="N13" s="67"/>
      <c r="O13" s="67">
        <f>41+64</f>
        <v>105</v>
      </c>
      <c r="P13" s="67"/>
      <c r="Q13" s="67">
        <f>3.17+32.5975</f>
        <v>35.767499999999998</v>
      </c>
      <c r="R13" s="67"/>
      <c r="S13" s="67">
        <f>105+282</f>
        <v>387</v>
      </c>
      <c r="T13" s="67"/>
      <c r="U13" s="67">
        <f>18.9575+159.3875</f>
        <v>178.345</v>
      </c>
    </row>
    <row r="14" spans="1:23" ht="24" customHeight="1">
      <c r="A14" s="44"/>
      <c r="B14" s="25" t="s">
        <v>55</v>
      </c>
      <c r="C14" s="67">
        <v>3</v>
      </c>
      <c r="D14" s="67"/>
      <c r="E14" s="67">
        <v>4.5</v>
      </c>
      <c r="F14" s="67"/>
      <c r="G14" s="67">
        <f>26+5</f>
        <v>31</v>
      </c>
      <c r="H14" s="67"/>
      <c r="I14" s="67">
        <f>39.125+7.5</f>
        <v>46.625</v>
      </c>
      <c r="J14" s="67"/>
      <c r="K14" s="67">
        <f>139+74</f>
        <v>213</v>
      </c>
      <c r="L14" s="67"/>
      <c r="M14" s="67">
        <f>120.575+68.2275</f>
        <v>188.80250000000001</v>
      </c>
      <c r="N14" s="67"/>
      <c r="O14" s="67">
        <f>57+53</f>
        <v>110</v>
      </c>
      <c r="P14" s="67"/>
      <c r="Q14" s="67">
        <f>51.2825+46.8875</f>
        <v>98.17</v>
      </c>
      <c r="R14" s="67"/>
      <c r="S14" s="67">
        <f>240+195</f>
        <v>435</v>
      </c>
      <c r="T14" s="67"/>
      <c r="U14" s="67">
        <f>252.135+233.1425</f>
        <v>485.27750000000003</v>
      </c>
    </row>
    <row r="15" spans="1:23" ht="24" customHeight="1">
      <c r="A15" s="44"/>
      <c r="B15" s="25" t="s">
        <v>56</v>
      </c>
      <c r="C15" s="67">
        <f>1+2</f>
        <v>3</v>
      </c>
      <c r="D15" s="67"/>
      <c r="E15" s="67">
        <f>0.5+14</f>
        <v>14.5</v>
      </c>
      <c r="F15" s="67"/>
      <c r="G15" s="67">
        <f>3+4</f>
        <v>7</v>
      </c>
      <c r="H15" s="67"/>
      <c r="I15" s="67">
        <f>1.55+4</f>
        <v>5.55</v>
      </c>
      <c r="J15" s="67"/>
      <c r="K15" s="67">
        <f>62+28</f>
        <v>90</v>
      </c>
      <c r="L15" s="67"/>
      <c r="M15" s="67">
        <f>33.7175+16.3875</f>
        <v>50.105000000000004</v>
      </c>
      <c r="N15" s="67"/>
      <c r="O15" s="67">
        <f>40+32</f>
        <v>72</v>
      </c>
      <c r="P15" s="67"/>
      <c r="Q15" s="67">
        <f>36.5+41.605</f>
        <v>78.10499999999999</v>
      </c>
      <c r="R15" s="67"/>
      <c r="S15" s="67">
        <f>181+129</f>
        <v>310</v>
      </c>
      <c r="T15" s="67"/>
      <c r="U15" s="67">
        <f>254.125+205.1</f>
        <v>459.22500000000002</v>
      </c>
    </row>
    <row r="16" spans="1:23" ht="24" customHeight="1">
      <c r="A16" s="44"/>
      <c r="B16" s="25" t="s">
        <v>57</v>
      </c>
      <c r="C16" s="67">
        <f>6+5</f>
        <v>11</v>
      </c>
      <c r="D16" s="67"/>
      <c r="E16" s="67">
        <f>13+9.25</f>
        <v>22.25</v>
      </c>
      <c r="F16" s="67"/>
      <c r="G16" s="67">
        <f>6+6</f>
        <v>12</v>
      </c>
      <c r="H16" s="67"/>
      <c r="I16" s="67">
        <f>30+17.05</f>
        <v>47.05</v>
      </c>
      <c r="J16" s="67"/>
      <c r="K16" s="67">
        <f>80+79</f>
        <v>159</v>
      </c>
      <c r="L16" s="67"/>
      <c r="M16" s="67">
        <f>75.155+58.47</f>
        <v>133.625</v>
      </c>
      <c r="N16" s="67"/>
      <c r="O16" s="67">
        <f>82+70</f>
        <v>152</v>
      </c>
      <c r="P16" s="67"/>
      <c r="Q16" s="67">
        <f>74.31+61.735</f>
        <v>136.04500000000002</v>
      </c>
      <c r="R16" s="67"/>
      <c r="S16" s="67">
        <f>336+607</f>
        <v>943</v>
      </c>
      <c r="T16" s="67"/>
      <c r="U16" s="67">
        <f>589.635+1229.44</f>
        <v>1819.075</v>
      </c>
    </row>
    <row r="17" spans="1:22" ht="24" customHeight="1">
      <c r="A17" s="44"/>
      <c r="B17" s="25" t="s">
        <v>58</v>
      </c>
      <c r="C17" s="67">
        <f>4+3+4</f>
        <v>11</v>
      </c>
      <c r="D17" s="67"/>
      <c r="E17" s="67">
        <f>26+17+21</f>
        <v>64</v>
      </c>
      <c r="F17" s="67"/>
      <c r="G17" s="67">
        <f>3+1+1</f>
        <v>5</v>
      </c>
      <c r="H17" s="67"/>
      <c r="I17" s="67">
        <f>0.805+1+36.9675</f>
        <v>38.772500000000001</v>
      </c>
      <c r="J17" s="67"/>
      <c r="K17" s="67">
        <f>38+18+40</f>
        <v>96</v>
      </c>
      <c r="L17" s="67"/>
      <c r="M17" s="67">
        <f>39.3125+15.845+38.0825</f>
        <v>93.240000000000009</v>
      </c>
      <c r="N17" s="67"/>
      <c r="O17" s="67">
        <f>44+22+36</f>
        <v>102</v>
      </c>
      <c r="P17" s="67"/>
      <c r="Q17" s="67">
        <f>41.135+21.395+53.72</f>
        <v>116.25</v>
      </c>
      <c r="R17" s="67"/>
      <c r="S17" s="67">
        <f>172+112+199</f>
        <v>483</v>
      </c>
      <c r="T17" s="67"/>
      <c r="U17" s="67">
        <f>555.82+362.2725+753.3</f>
        <v>1671.3924999999999</v>
      </c>
    </row>
    <row r="18" spans="1:22" ht="24" customHeight="1">
      <c r="A18" s="44"/>
      <c r="B18" s="25" t="s">
        <v>59</v>
      </c>
      <c r="C18" s="67">
        <f>3+1</f>
        <v>4</v>
      </c>
      <c r="D18" s="67"/>
      <c r="E18" s="67">
        <f>18.25+1</f>
        <v>19.25</v>
      </c>
      <c r="F18" s="67"/>
      <c r="G18" s="67">
        <f>3+1</f>
        <v>4</v>
      </c>
      <c r="H18" s="67"/>
      <c r="I18" s="67">
        <f>5+20</f>
        <v>25</v>
      </c>
      <c r="J18" s="67"/>
      <c r="K18" s="67">
        <f>10+16</f>
        <v>26</v>
      </c>
      <c r="L18" s="67"/>
      <c r="M18" s="67">
        <f>35.325+53.3</f>
        <v>88.625</v>
      </c>
      <c r="N18" s="67"/>
      <c r="O18" s="67">
        <f>20+20</f>
        <v>40</v>
      </c>
      <c r="P18" s="67"/>
      <c r="Q18" s="67">
        <f>54.355+19.785</f>
        <v>74.14</v>
      </c>
      <c r="R18" s="67"/>
      <c r="S18" s="67">
        <f>54+46</f>
        <v>100</v>
      </c>
      <c r="T18" s="67"/>
      <c r="U18" s="67">
        <f>176.8525+157.425</f>
        <v>334.27750000000003</v>
      </c>
    </row>
    <row r="19" spans="1:22" ht="24" customHeight="1">
      <c r="A19" s="44"/>
      <c r="B19" s="25" t="s">
        <v>60</v>
      </c>
      <c r="C19" s="67">
        <f>2+1</f>
        <v>3</v>
      </c>
      <c r="D19" s="67"/>
      <c r="E19" s="67">
        <f>33+23</f>
        <v>56</v>
      </c>
      <c r="F19" s="67"/>
      <c r="G19" s="67" t="s">
        <v>35</v>
      </c>
      <c r="H19" s="67"/>
      <c r="I19" s="67" t="s">
        <v>35</v>
      </c>
      <c r="J19" s="67"/>
      <c r="K19" s="67">
        <f>11+1+2</f>
        <v>14</v>
      </c>
      <c r="L19" s="67"/>
      <c r="M19" s="67">
        <f>15.15+80+0.15</f>
        <v>95.300000000000011</v>
      </c>
      <c r="N19" s="67"/>
      <c r="O19" s="67">
        <f>12+3+2</f>
        <v>17</v>
      </c>
      <c r="P19" s="67"/>
      <c r="Q19" s="67">
        <f>9.725+60.02+1.475</f>
        <v>71.22</v>
      </c>
      <c r="R19" s="67"/>
      <c r="S19" s="67">
        <f>33+11+6</f>
        <v>50</v>
      </c>
      <c r="T19" s="67"/>
      <c r="U19" s="67">
        <f>279.875+164.75+48.5</f>
        <v>493.125</v>
      </c>
    </row>
    <row r="20" spans="1:22" ht="24" customHeight="1">
      <c r="A20" s="44"/>
      <c r="B20" s="25" t="s">
        <v>61</v>
      </c>
      <c r="C20" s="67" t="s">
        <v>35</v>
      </c>
      <c r="D20" s="67"/>
      <c r="E20" s="67" t="s">
        <v>35</v>
      </c>
      <c r="F20" s="67"/>
      <c r="G20" s="67" t="s">
        <v>35</v>
      </c>
      <c r="H20" s="67"/>
      <c r="I20" s="67" t="s">
        <v>35</v>
      </c>
      <c r="J20" s="67"/>
      <c r="K20" s="67">
        <v>2</v>
      </c>
      <c r="L20" s="67"/>
      <c r="M20" s="67">
        <v>7</v>
      </c>
      <c r="N20" s="67"/>
      <c r="O20" s="67">
        <f>1+1</f>
        <v>2</v>
      </c>
      <c r="P20" s="67"/>
      <c r="Q20" s="67">
        <f>5+300</f>
        <v>305</v>
      </c>
      <c r="R20" s="67"/>
      <c r="S20" s="67">
        <f>2+2</f>
        <v>4</v>
      </c>
      <c r="T20" s="67"/>
      <c r="U20" s="67">
        <f>20.75+6</f>
        <v>26.75</v>
      </c>
    </row>
    <row r="21" spans="1:22" ht="24" customHeight="1">
      <c r="A21" s="44"/>
      <c r="B21" s="25" t="s">
        <v>62</v>
      </c>
      <c r="C21" s="67" t="s">
        <v>35</v>
      </c>
      <c r="D21" s="67"/>
      <c r="E21" s="67" t="s">
        <v>35</v>
      </c>
      <c r="F21" s="67"/>
      <c r="G21" s="67">
        <f>1+1</f>
        <v>2</v>
      </c>
      <c r="H21" s="67"/>
      <c r="I21" s="67">
        <f>150+1000</f>
        <v>1150</v>
      </c>
      <c r="J21" s="67"/>
      <c r="K21" s="67">
        <v>1</v>
      </c>
      <c r="L21" s="67"/>
      <c r="M21" s="67">
        <v>20</v>
      </c>
      <c r="N21" s="67"/>
      <c r="O21" s="67">
        <v>1</v>
      </c>
      <c r="P21" s="67"/>
      <c r="Q21" s="67">
        <v>20</v>
      </c>
      <c r="R21" s="67"/>
      <c r="S21" s="67">
        <v>1</v>
      </c>
      <c r="T21" s="67"/>
      <c r="U21" s="67">
        <v>1050</v>
      </c>
      <c r="V21" s="44"/>
    </row>
    <row r="22" spans="1:22" ht="11.25" customHeight="1">
      <c r="A22" s="52"/>
      <c r="B22" s="5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52"/>
    </row>
    <row r="23" spans="1:22" ht="4.5" customHeight="1">
      <c r="A23" s="44"/>
      <c r="B23" s="49"/>
      <c r="C23" s="49"/>
      <c r="D23" s="49"/>
      <c r="E23" s="49"/>
      <c r="F23" s="49"/>
      <c r="G23" s="49"/>
      <c r="H23" s="49"/>
      <c r="I23" s="49"/>
      <c r="J23" s="49"/>
      <c r="K23" s="44"/>
      <c r="L23" s="44"/>
      <c r="M23" s="44"/>
      <c r="N23" s="44"/>
      <c r="O23" s="44"/>
      <c r="P23" s="44"/>
      <c r="Q23" s="44"/>
      <c r="R23" s="44"/>
    </row>
    <row r="24" spans="1:22" ht="19.5" customHeight="1">
      <c r="B24" s="38" t="s">
        <v>18</v>
      </c>
      <c r="C24" s="50"/>
      <c r="D24" s="50"/>
      <c r="E24" s="50"/>
      <c r="F24" s="50"/>
      <c r="G24" s="50"/>
      <c r="H24" s="50"/>
      <c r="I24" s="50"/>
      <c r="J24" s="50"/>
    </row>
    <row r="25" spans="1:22" ht="15.75" customHeight="1">
      <c r="B25" s="38" t="s">
        <v>16</v>
      </c>
      <c r="C25" s="51"/>
      <c r="D25" s="51"/>
      <c r="E25" s="51"/>
      <c r="F25" s="51"/>
      <c r="G25" s="51"/>
      <c r="H25" s="51"/>
      <c r="I25" s="51"/>
      <c r="J25" s="51"/>
    </row>
    <row r="26" spans="1:22" ht="20.100000000000001" customHeight="1"/>
    <row r="27" spans="1:22" ht="20.100000000000001" customHeight="1"/>
  </sheetData>
  <mergeCells count="39">
    <mergeCell ref="O7:R7"/>
    <mergeCell ref="K7:N7"/>
    <mergeCell ref="C9:D9"/>
    <mergeCell ref="E9:F9"/>
    <mergeCell ref="G9:H9"/>
    <mergeCell ref="I9:J9"/>
    <mergeCell ref="G6:J6"/>
    <mergeCell ref="C7:F7"/>
    <mergeCell ref="G7:J7"/>
    <mergeCell ref="C10:D10"/>
    <mergeCell ref="G10:H10"/>
    <mergeCell ref="I10:J10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A6:B6"/>
    <mergeCell ref="O6:R6"/>
    <mergeCell ref="K10:L10"/>
    <mergeCell ref="A7:B7"/>
    <mergeCell ref="A8:B8"/>
    <mergeCell ref="A9:B9"/>
    <mergeCell ref="K5:N5"/>
    <mergeCell ref="K6:N6"/>
    <mergeCell ref="O5:R5"/>
    <mergeCell ref="S5:V5"/>
    <mergeCell ref="S6:V6"/>
    <mergeCell ref="S7:V7"/>
    <mergeCell ref="S9:T9"/>
    <mergeCell ref="U9:V9"/>
    <mergeCell ref="S10:T10"/>
    <mergeCell ref="U10:V10"/>
    <mergeCell ref="S8:V8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5.1</vt:lpstr>
      <vt:lpstr>ตาราง 5.1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2015-02-04T04:30:00Z</cp:lastPrinted>
  <dcterms:created xsi:type="dcterms:W3CDTF">1999-10-20T09:31:37Z</dcterms:created>
  <dcterms:modified xsi:type="dcterms:W3CDTF">2015-02-04T04:30:02Z</dcterms:modified>
</cp:coreProperties>
</file>