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80" yWindow="345" windowWidth="9420" windowHeight="4965" firstSheet="1" activeTab="2"/>
  </bookViews>
  <sheets>
    <sheet name="XXXXXX" sheetId="1" state="veryHidden" r:id="rId1"/>
    <sheet name="ตาราง 3.1" sheetId="3" r:id="rId2"/>
    <sheet name="ตาราง 3.1 (ต่อ)" sheetId="2" r:id="rId3"/>
  </sheets>
  <calcPr calcId="125725"/>
</workbook>
</file>

<file path=xl/calcChain.xml><?xml version="1.0" encoding="utf-8"?>
<calcChain xmlns="http://schemas.openxmlformats.org/spreadsheetml/2006/main">
  <c r="M19" i="2"/>
  <c r="M18"/>
  <c r="M17"/>
  <c r="M16"/>
  <c r="M15"/>
  <c r="M14"/>
  <c r="M13"/>
  <c r="M12"/>
  <c r="K18"/>
  <c r="K17"/>
  <c r="K16"/>
  <c r="K15"/>
  <c r="K14"/>
  <c r="K13"/>
  <c r="I18"/>
  <c r="I17"/>
  <c r="I16"/>
  <c r="I15"/>
  <c r="I14"/>
  <c r="I13"/>
  <c r="G18"/>
  <c r="G17"/>
  <c r="G16"/>
  <c r="G15"/>
  <c r="G14"/>
  <c r="G13"/>
  <c r="E18"/>
  <c r="E17"/>
  <c r="E16"/>
  <c r="E15"/>
  <c r="E14"/>
  <c r="E13"/>
  <c r="C18"/>
  <c r="C17"/>
  <c r="C16"/>
  <c r="C15"/>
  <c r="C14"/>
  <c r="C13"/>
  <c r="Q14" i="3"/>
  <c r="Q13"/>
  <c r="Q12"/>
  <c r="Q15"/>
  <c r="Q16"/>
  <c r="Q17"/>
  <c r="Q18"/>
  <c r="Q19"/>
  <c r="O19"/>
  <c r="O18"/>
  <c r="O17"/>
  <c r="O16"/>
  <c r="O15"/>
  <c r="O14"/>
  <c r="O13"/>
  <c r="O12"/>
  <c r="M12"/>
  <c r="M13"/>
  <c r="M14"/>
  <c r="M15"/>
  <c r="M16"/>
  <c r="M17"/>
  <c r="M18"/>
  <c r="M19"/>
  <c r="K19"/>
  <c r="K18"/>
  <c r="K17"/>
  <c r="K16"/>
  <c r="K15"/>
  <c r="K14"/>
  <c r="K13"/>
  <c r="K12"/>
  <c r="I12"/>
  <c r="I13"/>
  <c r="I14"/>
  <c r="I15"/>
  <c r="I16"/>
  <c r="I17"/>
  <c r="I18"/>
  <c r="I19"/>
  <c r="I20"/>
  <c r="G20"/>
  <c r="G19"/>
  <c r="G18"/>
  <c r="G17"/>
  <c r="G16"/>
  <c r="G15"/>
  <c r="G14"/>
  <c r="G13"/>
  <c r="G12"/>
  <c r="E12"/>
  <c r="E13"/>
  <c r="E14"/>
  <c r="E15"/>
  <c r="E16"/>
  <c r="E17"/>
  <c r="E18"/>
  <c r="E19"/>
  <c r="E20"/>
  <c r="C20"/>
  <c r="C19"/>
  <c r="C18"/>
  <c r="C17"/>
  <c r="C16"/>
  <c r="C15"/>
  <c r="C14"/>
  <c r="C13"/>
  <c r="C12"/>
  <c r="M10" i="2" l="1"/>
  <c r="K10"/>
  <c r="I10"/>
  <c r="G10"/>
  <c r="E10"/>
  <c r="C10"/>
  <c r="Q11" i="3"/>
  <c r="O11"/>
  <c r="M11"/>
  <c r="K11"/>
  <c r="I11"/>
  <c r="G11"/>
  <c r="E11"/>
  <c r="C11"/>
</calcChain>
</file>

<file path=xl/sharedStrings.xml><?xml version="1.0" encoding="utf-8"?>
<sst xmlns="http://schemas.openxmlformats.org/spreadsheetml/2006/main" count="88" uniqueCount="50">
  <si>
    <t xml:space="preserve"> </t>
  </si>
  <si>
    <t>Total</t>
  </si>
  <si>
    <t>Area</t>
  </si>
  <si>
    <t>รวมทั้งสิ้น</t>
  </si>
  <si>
    <t>จำนวน</t>
  </si>
  <si>
    <t>เนื้อที่</t>
  </si>
  <si>
    <t xml:space="preserve">       เนื้อที่  :  ไร่</t>
  </si>
  <si>
    <t xml:space="preserve">        Area  :  Rai</t>
  </si>
  <si>
    <t xml:space="preserve"> parcel</t>
  </si>
  <si>
    <t>1  ผืน</t>
  </si>
  <si>
    <t xml:space="preserve"> parcels</t>
  </si>
  <si>
    <t>2  ผืน</t>
  </si>
  <si>
    <t>3  ผืน</t>
  </si>
  <si>
    <t>4  ผืน</t>
  </si>
  <si>
    <t>5  ผืน</t>
  </si>
  <si>
    <t>6  ผืนขึ้นไป</t>
  </si>
  <si>
    <t xml:space="preserve"> parcels and over</t>
  </si>
  <si>
    <t>รวม   Total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</si>
  <si>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</si>
  <si>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</si>
  <si>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</si>
  <si>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    ต่ำกว่า  Under  2 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</si>
  <si>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</si>
  <si>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</si>
  <si>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</si>
  <si>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</si>
  <si>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</si>
  <si>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</si>
  <si>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     -    499           </t>
  </si>
  <si>
    <t xml:space="preserve">    500   ขึ้นไป  and over</t>
  </si>
  <si>
    <t xml:space="preserve">รวม   Total  </t>
  </si>
  <si>
    <t>ตาราง  3.1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</t>
  </si>
  <si>
    <t>ตาราง  3.1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 (ต่อ)</t>
  </si>
  <si>
    <t>3.  ผืนที่ดิน   Parcel</t>
  </si>
  <si>
    <t>Table  3.1  Number and area of holdings by number of parcels and size of total area of holding</t>
  </si>
  <si>
    <t>Table  3.1  Number and area of holdings by number of parcels and size of total area of holding (Contd.)</t>
  </si>
  <si>
    <t xml:space="preserve">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</si>
  <si>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</si>
  <si>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</si>
  <si>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</si>
  <si>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</si>
  <si>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</si>
  <si>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</si>
  <si>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</si>
  <si>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</si>
  <si>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 xml:space="preserve"> Area  :  Rai</t>
  </si>
  <si>
    <t>เนื้อที่  :    ไร่</t>
  </si>
  <si>
    <t>-</t>
  </si>
  <si>
    <t xml:space="preserve">  Number </t>
  </si>
  <si>
    <t xml:space="preserve"> Number 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</si>
</sst>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2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.5"/>
      <name val="TH SarabunPSK"/>
      <family val="2"/>
    </font>
    <font>
      <sz val="14"/>
      <name val="AngsanaUPC"/>
      <family val="1"/>
    </font>
    <font>
      <b/>
      <sz val="14"/>
      <name val="AngsanaUPC"/>
      <family val="1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/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Border="1"/>
    <xf numFmtId="0" fontId="3" fillId="0" borderId="0" xfId="0" applyFont="1" applyFill="1"/>
    <xf numFmtId="0" fontId="7" fillId="0" borderId="0" xfId="0" applyFont="1" applyFill="1" applyBorder="1" applyAlignment="1">
      <alignment horizontal="right"/>
    </xf>
    <xf numFmtId="0" fontId="7" fillId="0" borderId="0" xfId="0" applyFont="1" applyFill="1"/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textRotation="180"/>
    </xf>
    <xf numFmtId="0" fontId="4" fillId="0" borderId="0" xfId="0" applyFont="1" applyFill="1" applyBorder="1"/>
    <xf numFmtId="188" fontId="7" fillId="0" borderId="0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/>
    <xf numFmtId="0" fontId="2" fillId="0" borderId="0" xfId="0" applyFont="1" applyFill="1" applyAlignment="1">
      <alignment vertical="top"/>
    </xf>
    <xf numFmtId="0" fontId="3" fillId="0" borderId="9" xfId="0" applyFont="1" applyFill="1" applyBorder="1"/>
    <xf numFmtId="0" fontId="2" fillId="0" borderId="9" xfId="0" applyFont="1" applyFill="1" applyBorder="1"/>
    <xf numFmtId="0" fontId="3" fillId="0" borderId="10" xfId="0" applyFont="1" applyFill="1" applyBorder="1"/>
    <xf numFmtId="0" fontId="8" fillId="0" borderId="3" xfId="0" applyFont="1" applyFill="1" applyBorder="1"/>
    <xf numFmtId="0" fontId="2" fillId="0" borderId="3" xfId="0" applyFont="1" applyFill="1" applyBorder="1" applyAlignment="1">
      <alignment horizontal="right"/>
    </xf>
    <xf numFmtId="0" fontId="7" fillId="0" borderId="9" xfId="0" applyFont="1" applyFill="1" applyBorder="1"/>
    <xf numFmtId="0" fontId="2" fillId="0" borderId="10" xfId="0" applyFont="1" applyFill="1" applyBorder="1"/>
    <xf numFmtId="0" fontId="5" fillId="0" borderId="0" xfId="0" applyFont="1" applyFill="1" applyBorder="1"/>
    <xf numFmtId="3" fontId="1" fillId="0" borderId="0" xfId="0" applyNumberFormat="1" applyFont="1" applyBorder="1" applyAlignment="1">
      <alignment horizontal="right" wrapText="1"/>
    </xf>
    <xf numFmtId="3" fontId="9" fillId="0" borderId="0" xfId="0" applyNumberFormat="1" applyFont="1"/>
    <xf numFmtId="3" fontId="10" fillId="0" borderId="0" xfId="0" applyNumberFormat="1" applyFont="1" applyBorder="1" applyAlignment="1">
      <alignment horizontal="right" wrapText="1"/>
    </xf>
    <xf numFmtId="3" fontId="10" fillId="0" borderId="0" xfId="0" applyNumberFormat="1" applyFont="1"/>
    <xf numFmtId="3" fontId="2" fillId="0" borderId="0" xfId="0" applyNumberFormat="1" applyFont="1" applyFill="1"/>
    <xf numFmtId="0" fontId="6" fillId="0" borderId="0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11" fillId="0" borderId="0" xfId="0" applyFont="1" applyFill="1" applyAlignment="1">
      <alignment vertical="center" textRotation="180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9525</xdr:rowOff>
    </xdr:from>
    <xdr:to>
      <xdr:col>2</xdr:col>
      <xdr:colOff>0</xdr:colOff>
      <xdr:row>9</xdr:row>
      <xdr:rowOff>9525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2038350" y="23050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0" y="21240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S27"/>
  <sheetViews>
    <sheetView defaultGridColor="0" colorId="12" workbookViewId="0">
      <selection activeCell="J16" sqref="J16"/>
    </sheetView>
  </sheetViews>
  <sheetFormatPr defaultColWidth="9.33203125" defaultRowHeight="18.75"/>
  <cols>
    <col min="1" max="1" width="4.6640625" style="1" customWidth="1"/>
    <col min="2" max="2" width="33.33203125" style="1" customWidth="1"/>
    <col min="3" max="3" width="13.6640625" style="1" customWidth="1"/>
    <col min="4" max="4" width="3.5" style="1" customWidth="1"/>
    <col min="5" max="5" width="13.6640625" style="1" customWidth="1"/>
    <col min="6" max="6" width="3.5" style="1" customWidth="1"/>
    <col min="7" max="7" width="13.6640625" style="1" customWidth="1"/>
    <col min="8" max="8" width="3.5" style="1" customWidth="1"/>
    <col min="9" max="9" width="13.6640625" style="1" customWidth="1"/>
    <col min="10" max="10" width="3.33203125" style="1" customWidth="1"/>
    <col min="11" max="11" width="13.6640625" style="1" customWidth="1"/>
    <col min="12" max="12" width="3.33203125" style="1" customWidth="1"/>
    <col min="13" max="13" width="13.6640625" style="1" customWidth="1"/>
    <col min="14" max="14" width="3.33203125" style="1" customWidth="1"/>
    <col min="15" max="15" width="13.6640625" style="1" customWidth="1"/>
    <col min="16" max="16" width="3.83203125" style="1" customWidth="1"/>
    <col min="17" max="17" width="13.6640625" style="1" customWidth="1"/>
    <col min="18" max="18" width="3.1640625" style="1" customWidth="1"/>
    <col min="19" max="19" width="4.33203125" style="1" customWidth="1"/>
    <col min="20" max="16384" width="9.33203125" style="1"/>
  </cols>
  <sheetData>
    <row r="1" spans="1:19">
      <c r="S1" s="58">
        <v>52</v>
      </c>
    </row>
    <row r="2" spans="1:19" ht="24.95" customHeight="1">
      <c r="A2" s="2" t="s">
        <v>33</v>
      </c>
    </row>
    <row r="3" spans="1:19" ht="23.1" customHeight="1">
      <c r="B3" s="3" t="s">
        <v>31</v>
      </c>
      <c r="Q3" s="4" t="s">
        <v>6</v>
      </c>
    </row>
    <row r="4" spans="1:19" ht="19.5" customHeight="1">
      <c r="B4" s="29" t="s">
        <v>34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Q4" s="6" t="s">
        <v>7</v>
      </c>
      <c r="R4" s="7"/>
    </row>
    <row r="5" spans="1:19" ht="5.2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18"/>
      <c r="Q5" s="17"/>
      <c r="R5" s="19"/>
    </row>
    <row r="6" spans="1:19" ht="21.95" customHeight="1">
      <c r="A6" s="49"/>
      <c r="B6" s="50"/>
      <c r="C6" s="48" t="s">
        <v>3</v>
      </c>
      <c r="D6" s="49"/>
      <c r="E6" s="49"/>
      <c r="F6" s="50"/>
      <c r="G6" s="48" t="s">
        <v>9</v>
      </c>
      <c r="H6" s="49"/>
      <c r="I6" s="49"/>
      <c r="J6" s="50"/>
      <c r="K6" s="48" t="s">
        <v>11</v>
      </c>
      <c r="L6" s="49"/>
      <c r="M6" s="49"/>
      <c r="N6" s="50"/>
      <c r="O6" s="46" t="s">
        <v>12</v>
      </c>
      <c r="P6" s="46"/>
      <c r="Q6" s="46"/>
      <c r="R6" s="46"/>
    </row>
    <row r="7" spans="1:19" ht="21.95" customHeight="1">
      <c r="A7" s="46" t="s">
        <v>18</v>
      </c>
      <c r="B7" s="53"/>
      <c r="C7" s="54" t="s">
        <v>1</v>
      </c>
      <c r="D7" s="55"/>
      <c r="E7" s="55"/>
      <c r="F7" s="56"/>
      <c r="G7" s="51" t="s">
        <v>8</v>
      </c>
      <c r="H7" s="47"/>
      <c r="I7" s="47"/>
      <c r="J7" s="52"/>
      <c r="K7" s="51" t="s">
        <v>10</v>
      </c>
      <c r="L7" s="47"/>
      <c r="M7" s="47"/>
      <c r="N7" s="52"/>
      <c r="O7" s="47" t="s">
        <v>10</v>
      </c>
      <c r="P7" s="47"/>
      <c r="Q7" s="47"/>
      <c r="R7" s="47"/>
    </row>
    <row r="8" spans="1:19" ht="21.95" customHeight="1">
      <c r="A8" s="46" t="s">
        <v>20</v>
      </c>
      <c r="B8" s="53"/>
      <c r="C8" s="43" t="s">
        <v>4</v>
      </c>
      <c r="D8" s="44"/>
      <c r="E8" s="37" t="s">
        <v>5</v>
      </c>
      <c r="F8" s="38"/>
      <c r="G8" s="43" t="s">
        <v>4</v>
      </c>
      <c r="H8" s="44"/>
      <c r="I8" s="37" t="s">
        <v>5</v>
      </c>
      <c r="J8" s="38"/>
      <c r="K8" s="43" t="s">
        <v>4</v>
      </c>
      <c r="L8" s="44"/>
      <c r="M8" s="37" t="s">
        <v>5</v>
      </c>
      <c r="N8" s="38"/>
      <c r="O8" s="43" t="s">
        <v>4</v>
      </c>
      <c r="P8" s="44"/>
      <c r="Q8" s="37" t="s">
        <v>5</v>
      </c>
      <c r="R8" s="41"/>
    </row>
    <row r="9" spans="1:19" ht="21.95" customHeight="1">
      <c r="A9" s="57" t="s">
        <v>19</v>
      </c>
      <c r="B9" s="52"/>
      <c r="C9" s="45" t="s">
        <v>49</v>
      </c>
      <c r="D9" s="40"/>
      <c r="E9" s="39" t="s">
        <v>2</v>
      </c>
      <c r="F9" s="40"/>
      <c r="G9" s="45" t="s">
        <v>49</v>
      </c>
      <c r="H9" s="40"/>
      <c r="I9" s="39" t="s">
        <v>2</v>
      </c>
      <c r="J9" s="40"/>
      <c r="K9" s="45" t="s">
        <v>49</v>
      </c>
      <c r="L9" s="40"/>
      <c r="M9" s="39" t="s">
        <v>2</v>
      </c>
      <c r="N9" s="40"/>
      <c r="O9" s="45" t="s">
        <v>48</v>
      </c>
      <c r="P9" s="40"/>
      <c r="Q9" s="39" t="s">
        <v>2</v>
      </c>
      <c r="R9" s="42"/>
    </row>
    <row r="10" spans="1:19" s="9" customFormat="1" ht="4.5" customHeight="1">
      <c r="A10" s="8"/>
      <c r="B10" s="22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9" s="11" customFormat="1" ht="24" customHeight="1">
      <c r="A11" s="35" t="s">
        <v>17</v>
      </c>
      <c r="B11" s="36"/>
      <c r="C11" s="32">
        <f>SUM(C12:C20)</f>
        <v>34412</v>
      </c>
      <c r="D11" s="32"/>
      <c r="E11" s="32">
        <f>SUM(E12:E20)</f>
        <v>424235.78250000003</v>
      </c>
      <c r="F11" s="32"/>
      <c r="G11" s="32">
        <f>SUM(G12:G20)</f>
        <v>20835</v>
      </c>
      <c r="H11" s="32"/>
      <c r="I11" s="33">
        <f>SUM(I12:I20)</f>
        <v>189073.50750000001</v>
      </c>
      <c r="J11" s="32"/>
      <c r="K11" s="32">
        <f>SUM(K12:K20)</f>
        <v>8320</v>
      </c>
      <c r="L11" s="32"/>
      <c r="M11" s="33">
        <f>SUM(M12:M20)</f>
        <v>111513.52250000001</v>
      </c>
      <c r="N11" s="32"/>
      <c r="O11" s="32">
        <f>SUM(O12:O20)</f>
        <v>3091</v>
      </c>
      <c r="P11" s="32"/>
      <c r="Q11" s="33">
        <f>SUM(Q12:Q20)</f>
        <v>57701.152499999997</v>
      </c>
      <c r="R11" s="10"/>
    </row>
    <row r="12" spans="1:19" s="9" customFormat="1" ht="24" customHeight="1">
      <c r="A12" s="5"/>
      <c r="B12" s="23" t="s">
        <v>21</v>
      </c>
      <c r="C12" s="30">
        <f>495+1423</f>
        <v>1918</v>
      </c>
      <c r="D12" s="30"/>
      <c r="E12" s="30">
        <f>67.4425+1255.79</f>
        <v>1323.2325000000001</v>
      </c>
      <c r="F12" s="30"/>
      <c r="G12" s="30">
        <f>492+1386</f>
        <v>1878</v>
      </c>
      <c r="H12" s="30"/>
      <c r="I12" s="30">
        <f>66.3175+1217.39</f>
        <v>1283.7075</v>
      </c>
      <c r="J12" s="30"/>
      <c r="K12" s="30">
        <f>2+34</f>
        <v>36</v>
      </c>
      <c r="L12" s="30"/>
      <c r="M12" s="30">
        <f>0.75+34.9825</f>
        <v>35.732500000000002</v>
      </c>
      <c r="N12" s="30"/>
      <c r="O12" s="30">
        <f>1+3</f>
        <v>4</v>
      </c>
      <c r="P12" s="30"/>
      <c r="Q12" s="30">
        <f>0.375+3.425</f>
        <v>3.8</v>
      </c>
      <c r="R12" s="12"/>
    </row>
    <row r="13" spans="1:19" s="9" customFormat="1" ht="24" customHeight="1">
      <c r="A13" s="5"/>
      <c r="B13" s="23" t="s">
        <v>22</v>
      </c>
      <c r="C13" s="30">
        <f>4892+5679</f>
        <v>10571</v>
      </c>
      <c r="D13" s="30"/>
      <c r="E13" s="30">
        <f>12092.53+25954.51</f>
        <v>38047.040000000001</v>
      </c>
      <c r="F13" s="30"/>
      <c r="G13" s="30">
        <f>4434+4431</f>
        <v>8865</v>
      </c>
      <c r="H13" s="30"/>
      <c r="I13" s="30">
        <f>10871.77+20347.23</f>
        <v>31219</v>
      </c>
      <c r="J13" s="30"/>
      <c r="K13" s="30">
        <f>424+1092</f>
        <v>1516</v>
      </c>
      <c r="L13" s="30"/>
      <c r="M13" s="30">
        <f>1124.98+4888.01</f>
        <v>6012.99</v>
      </c>
      <c r="N13" s="30"/>
      <c r="O13" s="30">
        <f>34+134</f>
        <v>168</v>
      </c>
      <c r="P13" s="30"/>
      <c r="Q13" s="30">
        <f>95.785+616.4775</f>
        <v>712.26249999999993</v>
      </c>
      <c r="R13" s="12"/>
    </row>
    <row r="14" spans="1:19" s="9" customFormat="1" ht="24" customHeight="1">
      <c r="A14" s="5"/>
      <c r="B14" s="23" t="s">
        <v>23</v>
      </c>
      <c r="C14" s="30">
        <f>3752+2525</f>
        <v>6277</v>
      </c>
      <c r="D14" s="30"/>
      <c r="E14" s="31">
        <f>24142.04+20890.63</f>
        <v>45032.67</v>
      </c>
      <c r="F14" s="30"/>
      <c r="G14" s="30">
        <f>2109+1192</f>
        <v>3301</v>
      </c>
      <c r="H14" s="30"/>
      <c r="I14" s="30">
        <f>13609.09+9781.37</f>
        <v>23390.46</v>
      </c>
      <c r="J14" s="30"/>
      <c r="K14" s="30">
        <f>1354+962</f>
        <v>2316</v>
      </c>
      <c r="L14" s="30"/>
      <c r="M14" s="31">
        <f>8685.29+8006.51</f>
        <v>16691.800000000003</v>
      </c>
      <c r="N14" s="30"/>
      <c r="O14" s="30">
        <f>255+285</f>
        <v>540</v>
      </c>
      <c r="P14" s="30"/>
      <c r="Q14" s="30">
        <f>1632.82+2388.75</f>
        <v>4021.5699999999997</v>
      </c>
      <c r="R14" s="12"/>
    </row>
    <row r="15" spans="1:19" s="9" customFormat="1" ht="24" customHeight="1">
      <c r="A15" s="5"/>
      <c r="B15" s="23" t="s">
        <v>24</v>
      </c>
      <c r="C15" s="30">
        <f>6251+3859</f>
        <v>10110</v>
      </c>
      <c r="D15" s="30"/>
      <c r="E15" s="31">
        <f>69010.48+63080.89</f>
        <v>132091.37</v>
      </c>
      <c r="F15" s="30"/>
      <c r="G15" s="30">
        <f>3318+1965</f>
        <v>5283</v>
      </c>
      <c r="H15" s="30"/>
      <c r="I15" s="31">
        <f>35483.94+31913.35</f>
        <v>67397.290000000008</v>
      </c>
      <c r="J15" s="30"/>
      <c r="K15" s="30">
        <f>1775+995</f>
        <v>2770</v>
      </c>
      <c r="L15" s="30"/>
      <c r="M15" s="30">
        <f>20070.39+16331.48</f>
        <v>36401.869999999995</v>
      </c>
      <c r="N15" s="30"/>
      <c r="O15" s="30">
        <f>811+517</f>
        <v>1328</v>
      </c>
      <c r="P15" s="30"/>
      <c r="Q15" s="31">
        <f>9327.27+8452.65</f>
        <v>17779.919999999998</v>
      </c>
      <c r="R15" s="12"/>
    </row>
    <row r="16" spans="1:19" s="9" customFormat="1" ht="24" customHeight="1">
      <c r="A16" s="5"/>
      <c r="B16" s="23" t="s">
        <v>25</v>
      </c>
      <c r="C16" s="30">
        <f>2141+915+1297</f>
        <v>4353</v>
      </c>
      <c r="D16" s="30"/>
      <c r="E16" s="31">
        <f>44709.09+23779.54+42057.57</f>
        <v>110546.20000000001</v>
      </c>
      <c r="F16" s="30"/>
      <c r="G16" s="30">
        <f>742+256+308</f>
        <v>1306</v>
      </c>
      <c r="H16" s="30"/>
      <c r="I16" s="31">
        <f>15139.17+6514.13+9578.5</f>
        <v>31231.8</v>
      </c>
      <c r="J16" s="30"/>
      <c r="K16" s="30">
        <f>670+277+471</f>
        <v>1418</v>
      </c>
      <c r="L16" s="30"/>
      <c r="M16" s="31">
        <f>13985.11+7215.25+15360.27</f>
        <v>36560.630000000005</v>
      </c>
      <c r="N16" s="30"/>
      <c r="O16" s="30">
        <f>372+186+234</f>
        <v>792</v>
      </c>
      <c r="P16" s="30"/>
      <c r="Q16" s="31">
        <f>7876.5+4869.5+7570.51</f>
        <v>20316.510000000002</v>
      </c>
      <c r="R16" s="12"/>
    </row>
    <row r="17" spans="1:19" s="9" customFormat="1" ht="24" customHeight="1">
      <c r="A17" s="5"/>
      <c r="B17" s="23" t="s">
        <v>26</v>
      </c>
      <c r="C17" s="30">
        <f>482+322</f>
        <v>804</v>
      </c>
      <c r="D17" s="30"/>
      <c r="E17" s="31">
        <f>20401.27+16606.22</f>
        <v>37007.490000000005</v>
      </c>
      <c r="F17" s="30"/>
      <c r="G17" s="30">
        <f>92+58</f>
        <v>150</v>
      </c>
      <c r="H17" s="30"/>
      <c r="I17" s="30">
        <f>3789+2914</f>
        <v>6703</v>
      </c>
      <c r="J17" s="30"/>
      <c r="K17" s="30">
        <f>114+77</f>
        <v>191</v>
      </c>
      <c r="L17" s="30"/>
      <c r="M17" s="31">
        <f>4774.5+3949</f>
        <v>8723.5</v>
      </c>
      <c r="N17" s="30"/>
      <c r="O17" s="30">
        <f>115+84</f>
        <v>199</v>
      </c>
      <c r="P17" s="30"/>
      <c r="Q17" s="31">
        <f>4936.09+4380.48</f>
        <v>9316.57</v>
      </c>
      <c r="R17" s="12"/>
    </row>
    <row r="18" spans="1:19" s="9" customFormat="1" ht="24" customHeight="1">
      <c r="A18" s="5"/>
      <c r="B18" s="23" t="s">
        <v>27</v>
      </c>
      <c r="C18" s="30">
        <f>207+71+57</f>
        <v>335</v>
      </c>
      <c r="D18" s="30"/>
      <c r="E18" s="31">
        <f>13569.38+6083.52+6256.13</f>
        <v>25909.030000000002</v>
      </c>
      <c r="F18" s="30"/>
      <c r="G18" s="30">
        <f>25+7+8</f>
        <v>40</v>
      </c>
      <c r="H18" s="30"/>
      <c r="I18" s="30">
        <f>1619.25+588+831</f>
        <v>3038.25</v>
      </c>
      <c r="J18" s="30"/>
      <c r="K18" s="30">
        <f>41+17+11</f>
        <v>69</v>
      </c>
      <c r="L18" s="30"/>
      <c r="M18" s="30">
        <f>2647+1417+1173</f>
        <v>5237</v>
      </c>
      <c r="N18" s="30"/>
      <c r="O18" s="30">
        <f>40+7+7</f>
        <v>54</v>
      </c>
      <c r="P18" s="30"/>
      <c r="Q18" s="30">
        <f>2597.5+612.02+776</f>
        <v>3985.52</v>
      </c>
      <c r="R18" s="12"/>
    </row>
    <row r="19" spans="1:19" s="9" customFormat="1" ht="24" customHeight="1">
      <c r="A19" s="5"/>
      <c r="B19" s="23" t="s">
        <v>28</v>
      </c>
      <c r="C19" s="30">
        <f>17+9+8</f>
        <v>34</v>
      </c>
      <c r="D19" s="30"/>
      <c r="E19" s="30">
        <f>2578.75+1831+2654</f>
        <v>7063.75</v>
      </c>
      <c r="F19" s="30"/>
      <c r="G19" s="30">
        <f>2+3+1</f>
        <v>6</v>
      </c>
      <c r="H19" s="30"/>
      <c r="I19" s="30">
        <f>300+600+300</f>
        <v>1200</v>
      </c>
      <c r="J19" s="30"/>
      <c r="K19" s="30">
        <f>1+2</f>
        <v>3</v>
      </c>
      <c r="L19" s="30"/>
      <c r="M19" s="30">
        <f>200+648</f>
        <v>848</v>
      </c>
      <c r="N19" s="30"/>
      <c r="O19" s="30">
        <f>4+1</f>
        <v>5</v>
      </c>
      <c r="P19" s="30"/>
      <c r="Q19" s="30">
        <f>590+475</f>
        <v>1065</v>
      </c>
      <c r="R19" s="12"/>
    </row>
    <row r="20" spans="1:19" s="9" customFormat="1" ht="24" customHeight="1">
      <c r="A20" s="5"/>
      <c r="B20" s="23" t="s">
        <v>29</v>
      </c>
      <c r="C20" s="30">
        <f>4+6</f>
        <v>10</v>
      </c>
      <c r="D20" s="30"/>
      <c r="E20" s="30">
        <f>24785+2430</f>
        <v>27215</v>
      </c>
      <c r="F20" s="30"/>
      <c r="G20" s="30">
        <f>3+3</f>
        <v>6</v>
      </c>
      <c r="H20" s="30"/>
      <c r="I20" s="30">
        <f>21680+1930</f>
        <v>23610</v>
      </c>
      <c r="J20" s="30"/>
      <c r="K20" s="30">
        <v>1</v>
      </c>
      <c r="L20" s="30"/>
      <c r="M20" s="30">
        <v>1002</v>
      </c>
      <c r="N20" s="30"/>
      <c r="O20" s="30">
        <v>1</v>
      </c>
      <c r="P20" s="30"/>
      <c r="Q20" s="30">
        <v>500</v>
      </c>
      <c r="R20" s="12"/>
    </row>
    <row r="21" spans="1:19" s="9" customFormat="1" ht="11.25" customHeight="1">
      <c r="A21" s="20"/>
      <c r="B21" s="24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19"/>
    </row>
    <row r="22" spans="1:19" s="9" customFormat="1" ht="17.25"/>
    <row r="23" spans="1:19" s="9" customFormat="1" ht="17.25"/>
    <row r="24" spans="1:19">
      <c r="G24" s="21"/>
      <c r="S24" s="13"/>
    </row>
    <row r="26" spans="1:19" ht="26.25" customHeight="1"/>
    <row r="27" spans="1:19" ht="25.5" customHeight="1"/>
  </sheetData>
  <mergeCells count="29">
    <mergeCell ref="A6:B6"/>
    <mergeCell ref="A7:B7"/>
    <mergeCell ref="C8:D8"/>
    <mergeCell ref="C9:D9"/>
    <mergeCell ref="C6:F6"/>
    <mergeCell ref="C7:F7"/>
    <mergeCell ref="A8:B8"/>
    <mergeCell ref="A9:B9"/>
    <mergeCell ref="O6:R6"/>
    <mergeCell ref="O7:R7"/>
    <mergeCell ref="I8:J8"/>
    <mergeCell ref="I9:J9"/>
    <mergeCell ref="K8:L8"/>
    <mergeCell ref="K9:L9"/>
    <mergeCell ref="G6:J6"/>
    <mergeCell ref="G7:J7"/>
    <mergeCell ref="K6:N6"/>
    <mergeCell ref="K7:N7"/>
    <mergeCell ref="A11:B11"/>
    <mergeCell ref="M8:N8"/>
    <mergeCell ref="M9:N9"/>
    <mergeCell ref="Q8:R8"/>
    <mergeCell ref="Q9:R9"/>
    <mergeCell ref="O8:P8"/>
    <mergeCell ref="O9:P9"/>
    <mergeCell ref="G8:H8"/>
    <mergeCell ref="G9:H9"/>
    <mergeCell ref="E8:F8"/>
    <mergeCell ref="E9:F9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>
    <oddFooter xml:space="preserve">&amp;C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2:O25"/>
  <sheetViews>
    <sheetView tabSelected="1" defaultGridColor="0" colorId="12" workbookViewId="0">
      <selection activeCell="D24" sqref="D24"/>
    </sheetView>
  </sheetViews>
  <sheetFormatPr defaultColWidth="9.33203125" defaultRowHeight="18.75"/>
  <cols>
    <col min="1" max="1" width="4.6640625" style="1" customWidth="1"/>
    <col min="2" max="2" width="31.1640625" style="1" customWidth="1"/>
    <col min="3" max="3" width="18.6640625" style="1" customWidth="1"/>
    <col min="4" max="4" width="5.33203125" style="1" customWidth="1"/>
    <col min="5" max="5" width="17.5" style="1" customWidth="1"/>
    <col min="6" max="6" width="5.33203125" style="1" customWidth="1"/>
    <col min="7" max="7" width="18.1640625" style="1" customWidth="1"/>
    <col min="8" max="8" width="5.33203125" style="1" customWidth="1"/>
    <col min="9" max="9" width="18.1640625" style="1" customWidth="1"/>
    <col min="10" max="10" width="5.33203125" style="1" customWidth="1"/>
    <col min="11" max="11" width="16.6640625" style="1" customWidth="1"/>
    <col min="12" max="12" width="5.5" style="1" customWidth="1"/>
    <col min="13" max="13" width="16.33203125" style="1" customWidth="1"/>
    <col min="14" max="14" width="5.1640625" style="1" customWidth="1"/>
    <col min="15" max="15" width="5.33203125" style="1" customWidth="1"/>
    <col min="16" max="16384" width="9.33203125" style="1"/>
  </cols>
  <sheetData>
    <row r="2" spans="1:15" ht="23.1" customHeight="1">
      <c r="B2" s="3" t="s">
        <v>32</v>
      </c>
      <c r="M2" s="4"/>
      <c r="N2" s="16" t="s">
        <v>46</v>
      </c>
    </row>
    <row r="3" spans="1:15" ht="24.95" customHeight="1">
      <c r="A3" s="5"/>
      <c r="B3" s="29" t="s">
        <v>35</v>
      </c>
      <c r="H3" s="7"/>
      <c r="M3" s="6"/>
      <c r="N3" s="16" t="s">
        <v>45</v>
      </c>
    </row>
    <row r="4" spans="1:15" ht="6.75" customHeight="1">
      <c r="A4" s="17"/>
      <c r="B4" s="25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5" ht="27" customHeight="1">
      <c r="A5" s="49"/>
      <c r="B5" s="50"/>
      <c r="C5" s="48" t="s">
        <v>13</v>
      </c>
      <c r="D5" s="49"/>
      <c r="E5" s="49"/>
      <c r="F5" s="50"/>
      <c r="G5" s="48" t="s">
        <v>14</v>
      </c>
      <c r="H5" s="49"/>
      <c r="I5" s="49"/>
      <c r="J5" s="50"/>
      <c r="K5" s="46" t="s">
        <v>15</v>
      </c>
      <c r="L5" s="46"/>
      <c r="M5" s="46"/>
      <c r="N5" s="46"/>
    </row>
    <row r="6" spans="1:15" ht="27" customHeight="1">
      <c r="A6" s="46" t="s">
        <v>18</v>
      </c>
      <c r="B6" s="53"/>
      <c r="C6" s="51" t="s">
        <v>10</v>
      </c>
      <c r="D6" s="47"/>
      <c r="E6" s="47"/>
      <c r="F6" s="52"/>
      <c r="G6" s="51" t="s">
        <v>10</v>
      </c>
      <c r="H6" s="47"/>
      <c r="I6" s="47"/>
      <c r="J6" s="52"/>
      <c r="K6" s="47" t="s">
        <v>16</v>
      </c>
      <c r="L6" s="47"/>
      <c r="M6" s="47"/>
      <c r="N6" s="47"/>
    </row>
    <row r="7" spans="1:15" ht="27" customHeight="1">
      <c r="A7" s="46" t="s">
        <v>20</v>
      </c>
      <c r="B7" s="53"/>
      <c r="C7" s="48" t="s">
        <v>4</v>
      </c>
      <c r="D7" s="50"/>
      <c r="E7" s="46" t="s">
        <v>5</v>
      </c>
      <c r="F7" s="53"/>
      <c r="G7" s="48" t="s">
        <v>4</v>
      </c>
      <c r="H7" s="50"/>
      <c r="I7" s="46" t="s">
        <v>5</v>
      </c>
      <c r="J7" s="53"/>
      <c r="K7" s="48" t="s">
        <v>4</v>
      </c>
      <c r="L7" s="50"/>
      <c r="M7" s="46" t="s">
        <v>5</v>
      </c>
      <c r="N7" s="46"/>
    </row>
    <row r="8" spans="1:15" ht="27" customHeight="1">
      <c r="A8" s="57" t="s">
        <v>19</v>
      </c>
      <c r="B8" s="52"/>
      <c r="C8" s="51" t="s">
        <v>48</v>
      </c>
      <c r="D8" s="52"/>
      <c r="E8" s="47" t="s">
        <v>2</v>
      </c>
      <c r="F8" s="52"/>
      <c r="G8" s="51" t="s">
        <v>48</v>
      </c>
      <c r="H8" s="52"/>
      <c r="I8" s="47" t="s">
        <v>2</v>
      </c>
      <c r="J8" s="52"/>
      <c r="K8" s="51" t="s">
        <v>48</v>
      </c>
      <c r="L8" s="52"/>
      <c r="M8" s="47" t="s">
        <v>2</v>
      </c>
      <c r="N8" s="47"/>
    </row>
    <row r="9" spans="1:15" ht="6.75" customHeight="1">
      <c r="A9" s="5"/>
      <c r="B9" s="23"/>
      <c r="C9" s="5"/>
      <c r="D9" s="5"/>
      <c r="E9" s="5"/>
      <c r="F9" s="5"/>
      <c r="G9" s="5"/>
      <c r="H9" s="5" t="s">
        <v>0</v>
      </c>
      <c r="I9" s="5"/>
      <c r="J9" s="5"/>
      <c r="K9" s="5"/>
      <c r="L9" s="5"/>
      <c r="M9" s="5"/>
      <c r="N9" s="5"/>
    </row>
    <row r="10" spans="1:15" s="11" customFormat="1" ht="27" customHeight="1">
      <c r="A10" s="14" t="s">
        <v>30</v>
      </c>
      <c r="B10" s="27"/>
      <c r="C10" s="32">
        <f>SUM(C11:C19)</f>
        <v>1195</v>
      </c>
      <c r="D10" s="32"/>
      <c r="E10" s="32">
        <f>SUM(E11:E19)</f>
        <v>29318.832499999997</v>
      </c>
      <c r="F10" s="32"/>
      <c r="G10" s="32">
        <f>SUM(G11:G19)</f>
        <v>485</v>
      </c>
      <c r="H10" s="32"/>
      <c r="I10" s="32">
        <f>SUM(I11:I19)</f>
        <v>14172.420000000002</v>
      </c>
      <c r="J10" s="32"/>
      <c r="K10" s="32">
        <f>SUM(K11:K19)</f>
        <v>486</v>
      </c>
      <c r="L10" s="32"/>
      <c r="M10" s="32">
        <f>SUM(M11:M19)</f>
        <v>22456.11</v>
      </c>
      <c r="N10" s="15"/>
      <c r="O10" s="15"/>
    </row>
    <row r="11" spans="1:15" s="9" customFormat="1" ht="27" customHeight="1">
      <c r="A11" s="8"/>
      <c r="B11" s="23" t="s">
        <v>36</v>
      </c>
      <c r="C11" s="30" t="s">
        <v>47</v>
      </c>
      <c r="D11" s="30"/>
      <c r="E11" s="30" t="s">
        <v>47</v>
      </c>
      <c r="F11" s="30"/>
      <c r="G11" s="30" t="s">
        <v>47</v>
      </c>
      <c r="H11" s="30"/>
      <c r="I11" s="30" t="s">
        <v>47</v>
      </c>
      <c r="J11" s="30"/>
      <c r="K11" s="30" t="s">
        <v>47</v>
      </c>
      <c r="L11" s="30"/>
      <c r="M11" s="30" t="s">
        <v>47</v>
      </c>
      <c r="N11" s="16"/>
    </row>
    <row r="12" spans="1:15" s="9" customFormat="1" ht="27" customHeight="1">
      <c r="A12" s="8"/>
      <c r="B12" s="23" t="s">
        <v>37</v>
      </c>
      <c r="C12" s="30">
        <v>14</v>
      </c>
      <c r="D12" s="30"/>
      <c r="E12" s="30">
        <v>66.047499999999999</v>
      </c>
      <c r="F12" s="30"/>
      <c r="G12" s="30">
        <v>5</v>
      </c>
      <c r="H12" s="30"/>
      <c r="I12" s="30">
        <v>23.5</v>
      </c>
      <c r="J12" s="30"/>
      <c r="K12" s="30">
        <v>3</v>
      </c>
      <c r="L12" s="30"/>
      <c r="M12" s="30">
        <f>13.25</f>
        <v>13.25</v>
      </c>
      <c r="N12" s="16"/>
    </row>
    <row r="13" spans="1:15" s="9" customFormat="1" ht="27" customHeight="1">
      <c r="A13" s="8"/>
      <c r="B13" s="23" t="s">
        <v>38</v>
      </c>
      <c r="C13" s="30">
        <f>23+71</f>
        <v>94</v>
      </c>
      <c r="D13" s="30"/>
      <c r="E13" s="30">
        <f>145.25+587.275</f>
        <v>732.52499999999998</v>
      </c>
      <c r="F13" s="30"/>
      <c r="G13" s="30">
        <f>9+13</f>
        <v>22</v>
      </c>
      <c r="H13" s="30"/>
      <c r="I13" s="30">
        <f>56.05+109.73</f>
        <v>165.78</v>
      </c>
      <c r="J13" s="30"/>
      <c r="K13" s="30">
        <f>2+2</f>
        <v>4</v>
      </c>
      <c r="L13" s="30"/>
      <c r="M13" s="30">
        <f>13.25+17</f>
        <v>30.25</v>
      </c>
      <c r="N13" s="16"/>
    </row>
    <row r="14" spans="1:15" s="9" customFormat="1" ht="27" customHeight="1">
      <c r="A14" s="8"/>
      <c r="B14" s="23" t="s">
        <v>39</v>
      </c>
      <c r="C14" s="30">
        <f>258+220</f>
        <v>478</v>
      </c>
      <c r="D14" s="30"/>
      <c r="E14" s="30">
        <f>3051.68+3672.46</f>
        <v>6724.1399999999994</v>
      </c>
      <c r="F14" s="30"/>
      <c r="G14" s="30">
        <f>59+100</f>
        <v>159</v>
      </c>
      <c r="H14" s="30"/>
      <c r="I14" s="30">
        <f>720.56+1660.32</f>
        <v>2380.88</v>
      </c>
      <c r="J14" s="30"/>
      <c r="K14" s="30">
        <f>30+62</f>
        <v>92</v>
      </c>
      <c r="L14" s="30"/>
      <c r="M14" s="30">
        <f>356.65+1050.63</f>
        <v>1407.2800000000002</v>
      </c>
      <c r="N14" s="16"/>
    </row>
    <row r="15" spans="1:15" s="9" customFormat="1" ht="27" customHeight="1">
      <c r="A15" s="8"/>
      <c r="B15" s="23" t="s">
        <v>40</v>
      </c>
      <c r="C15" s="30">
        <f>213+92+132</f>
        <v>437</v>
      </c>
      <c r="D15" s="30"/>
      <c r="E15" s="30">
        <f>4574.93+2426.74+4390.64</f>
        <v>11392.310000000001</v>
      </c>
      <c r="F15" s="30"/>
      <c r="G15" s="30">
        <f>83+54+58</f>
        <v>195</v>
      </c>
      <c r="H15" s="30"/>
      <c r="I15" s="30">
        <f>1789.75+1430.68+1953.05</f>
        <v>5173.4800000000005</v>
      </c>
      <c r="J15" s="30"/>
      <c r="K15" s="30">
        <f>61+50+94</f>
        <v>205</v>
      </c>
      <c r="L15" s="30"/>
      <c r="M15" s="30">
        <f>1343.64+1323.25+3204.6</f>
        <v>5871.49</v>
      </c>
      <c r="N15" s="16"/>
    </row>
    <row r="16" spans="1:15" s="9" customFormat="1" ht="27" customHeight="1">
      <c r="A16" s="8"/>
      <c r="B16" s="23" t="s">
        <v>41</v>
      </c>
      <c r="C16" s="30">
        <f>79+46</f>
        <v>125</v>
      </c>
      <c r="D16" s="30"/>
      <c r="E16" s="30">
        <f>3346.31+2386.5</f>
        <v>5732.8099999999995</v>
      </c>
      <c r="F16" s="30"/>
      <c r="G16" s="30">
        <f>34+24</f>
        <v>58</v>
      </c>
      <c r="H16" s="30"/>
      <c r="I16" s="30">
        <f>1458.03+1236.25</f>
        <v>2694.2799999999997</v>
      </c>
      <c r="J16" s="30"/>
      <c r="K16" s="30">
        <f>48+33</f>
        <v>81</v>
      </c>
      <c r="L16" s="30"/>
      <c r="M16" s="30">
        <f>2097.34+1739.99</f>
        <v>3837.33</v>
      </c>
      <c r="N16" s="16"/>
    </row>
    <row r="17" spans="1:15" s="9" customFormat="1" ht="27" customHeight="1">
      <c r="A17" s="8"/>
      <c r="B17" s="23" t="s">
        <v>42</v>
      </c>
      <c r="C17" s="30">
        <f>27+8+6</f>
        <v>41</v>
      </c>
      <c r="D17" s="30"/>
      <c r="E17" s="30">
        <f>1812+698+670</f>
        <v>3180</v>
      </c>
      <c r="F17" s="30"/>
      <c r="G17" s="30">
        <f>32+7+3</f>
        <v>42</v>
      </c>
      <c r="H17" s="30"/>
      <c r="I17" s="30">
        <f>2108.5+598+331</f>
        <v>3037.5</v>
      </c>
      <c r="J17" s="30"/>
      <c r="K17" s="30">
        <f>42+25+22</f>
        <v>89</v>
      </c>
      <c r="L17" s="30"/>
      <c r="M17" s="30">
        <f>2785.13+2170.5+2475.13</f>
        <v>7430.76</v>
      </c>
      <c r="N17" s="16"/>
    </row>
    <row r="18" spans="1:15" s="9" customFormat="1" ht="27" customHeight="1">
      <c r="A18" s="8"/>
      <c r="B18" s="23" t="s">
        <v>43</v>
      </c>
      <c r="C18" s="34">
        <f>1+2+3</f>
        <v>6</v>
      </c>
      <c r="D18" s="34"/>
      <c r="E18" s="34">
        <f>160+431+900</f>
        <v>1491</v>
      </c>
      <c r="F18" s="34"/>
      <c r="G18" s="34">
        <f>3+1</f>
        <v>4</v>
      </c>
      <c r="H18" s="34"/>
      <c r="I18" s="34">
        <f>497+200</f>
        <v>697</v>
      </c>
      <c r="J18" s="34"/>
      <c r="K18" s="34">
        <f>7+2+1</f>
        <v>10</v>
      </c>
      <c r="L18" s="34"/>
      <c r="M18" s="34">
        <f>1031.75+400+331</f>
        <v>1762.75</v>
      </c>
      <c r="N18" s="16"/>
    </row>
    <row r="19" spans="1:15" s="9" customFormat="1" ht="27" customHeight="1">
      <c r="A19" s="8"/>
      <c r="B19" s="23" t="s">
        <v>44</v>
      </c>
      <c r="C19" s="30" t="s">
        <v>47</v>
      </c>
      <c r="D19" s="30"/>
      <c r="E19" s="30" t="s">
        <v>47</v>
      </c>
      <c r="F19" s="30"/>
      <c r="G19" s="30" t="s">
        <v>47</v>
      </c>
      <c r="H19" s="30"/>
      <c r="I19" s="30" t="s">
        <v>47</v>
      </c>
      <c r="J19" s="30"/>
      <c r="K19" s="30">
        <v>2</v>
      </c>
      <c r="L19" s="30"/>
      <c r="M19" s="30">
        <f>2103</f>
        <v>2103</v>
      </c>
      <c r="N19" s="16"/>
    </row>
    <row r="20" spans="1:15" ht="11.25" customHeight="1">
      <c r="A20" s="17"/>
      <c r="B20" s="28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5" spans="1:15">
      <c r="O25" s="58">
        <v>53</v>
      </c>
    </row>
  </sheetData>
  <mergeCells count="22">
    <mergeCell ref="C7:D7"/>
    <mergeCell ref="E7:F7"/>
    <mergeCell ref="K5:N5"/>
    <mergeCell ref="A6:B6"/>
    <mergeCell ref="G6:J6"/>
    <mergeCell ref="K6:N6"/>
    <mergeCell ref="C6:F6"/>
    <mergeCell ref="G7:H7"/>
    <mergeCell ref="A5:B5"/>
    <mergeCell ref="C5:F5"/>
    <mergeCell ref="G5:J5"/>
    <mergeCell ref="I7:J7"/>
    <mergeCell ref="K7:L7"/>
    <mergeCell ref="M7:N7"/>
    <mergeCell ref="A7:B7"/>
    <mergeCell ref="G8:H8"/>
    <mergeCell ref="I8:J8"/>
    <mergeCell ref="A8:B8"/>
    <mergeCell ref="K8:L8"/>
    <mergeCell ref="M8:N8"/>
    <mergeCell ref="C8:D8"/>
    <mergeCell ref="E8:F8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3.1</vt:lpstr>
      <vt:lpstr>ตาราง 3.1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2015-02-04T04:18:09Z</cp:lastPrinted>
  <dcterms:created xsi:type="dcterms:W3CDTF">1999-10-20T08:48:16Z</dcterms:created>
  <dcterms:modified xsi:type="dcterms:W3CDTF">2015-02-04T04:18:20Z</dcterms:modified>
</cp:coreProperties>
</file>